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7.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8.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0.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2.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05" windowWidth="17100" windowHeight="7560" tabRatio="837" firstSheet="8" activeTab="10"/>
  </bookViews>
  <sheets>
    <sheet name="rzeta_bkwd_fk" sheetId="14" r:id="rId1"/>
    <sheet name="czeta_bkwd_fk_kmod" sheetId="15" r:id="rId2"/>
    <sheet name="rzeta_bkwd_sh" sheetId="11" r:id="rId3"/>
    <sheet name="rzeta_bkwd_sh_kmod_orig" sheetId="12" r:id="rId4"/>
    <sheet name="rzeta_bkwd_sh_kmod_new" sheetId="16" r:id="rId5"/>
    <sheet name="czeta_bkwd_3075s_actual_v1" sheetId="23" r:id="rId6"/>
    <sheet name="czeta_bkwd_3075s_trend_v2" sheetId="17" r:id="rId7"/>
    <sheet name="czeta_bkwd_3075s_trend_v3" sheetId="24" r:id="rId8"/>
    <sheet name="czeta_bkwd_3171s_trend_v5" sheetId="28" r:id="rId9"/>
    <sheet name="czeta_bkwd_3304s_trend_v6" sheetId="29" r:id="rId10"/>
    <sheet name="czeta_bkwd_3304s_createcurve_01" sheetId="31" r:id="rId11"/>
    <sheet name="czeta_bkwd_3075s_trend_v5" sheetId="30" r:id="rId12"/>
  </sheets>
  <definedNames>
    <definedName name="_xlnm.Print_Area" localSheetId="5">czeta_bkwd_3075s_actual_v1!$V$2:$AG$13</definedName>
    <definedName name="_xlnm.Print_Area" localSheetId="6">czeta_bkwd_3075s_trend_v2!$A$217:$P$246</definedName>
    <definedName name="_xlnm.Print_Area" localSheetId="7">czeta_bkwd_3075s_trend_v3!$A$217:$P$246</definedName>
    <definedName name="_xlnm.Print_Area" localSheetId="11">czeta_bkwd_3075s_trend_v5!$A$217:$P$246</definedName>
    <definedName name="_xlnm.Print_Area" localSheetId="8">czeta_bkwd_3171s_trend_v5!$A$217:$P$246</definedName>
    <definedName name="_xlnm.Print_Area" localSheetId="10">czeta_bkwd_3304s_createcurve_01!$A$217:$P$246</definedName>
    <definedName name="_xlnm.Print_Area" localSheetId="9">czeta_bkwd_3304s_trend_v6!$A$217:$P$246</definedName>
    <definedName name="_xlnm.Print_Area" localSheetId="1">czeta_bkwd_fk_kmod!$F$51:$U$67</definedName>
    <definedName name="_xlnm.Print_Area" localSheetId="0">rzeta_bkwd_fk!#REF!</definedName>
    <definedName name="_xlnm.Print_Area" localSheetId="2">rzeta_bkwd_sh!#REF!</definedName>
    <definedName name="_xlnm.Print_Area" localSheetId="4">rzeta_bkwd_sh_kmod_new!$C$69:$Q$100</definedName>
    <definedName name="_xlnm.Print_Area" localSheetId="3">rzeta_bkwd_sh_kmod_orig!$C$67:$Q$98</definedName>
  </definedNames>
  <calcPr calcId="145621"/>
</workbook>
</file>

<file path=xl/calcChain.xml><?xml version="1.0" encoding="utf-8"?>
<calcChain xmlns="http://schemas.openxmlformats.org/spreadsheetml/2006/main">
  <c r="Z91" i="31" l="1"/>
  <c r="Z96" i="31" s="1"/>
  <c r="AA96" i="31" s="1"/>
  <c r="V100" i="31"/>
  <c r="V101" i="31"/>
  <c r="V102" i="31"/>
  <c r="V103" i="31"/>
  <c r="V104" i="31"/>
  <c r="V105" i="31"/>
  <c r="V106" i="31"/>
  <c r="V107" i="31"/>
  <c r="X70" i="31"/>
  <c r="W70" i="31"/>
  <c r="Z138" i="31" l="1"/>
  <c r="AA138" i="31" s="1"/>
  <c r="Z114" i="31"/>
  <c r="AA114" i="31" s="1"/>
  <c r="Z93" i="31"/>
  <c r="AA93" i="31" s="1"/>
  <c r="Z127" i="31"/>
  <c r="AA127" i="31" s="1"/>
  <c r="Z111" i="31"/>
  <c r="AA111" i="31" s="1"/>
  <c r="Z95" i="31"/>
  <c r="AA95" i="31" s="1"/>
  <c r="Z142" i="31"/>
  <c r="AA142" i="31" s="1"/>
  <c r="Z126" i="31"/>
  <c r="AA126" i="31" s="1"/>
  <c r="Z139" i="31"/>
  <c r="AA139" i="31" s="1"/>
  <c r="Z131" i="31"/>
  <c r="AA131" i="31" s="1"/>
  <c r="Z123" i="31"/>
  <c r="AA123" i="31" s="1"/>
  <c r="Z115" i="31"/>
  <c r="AA115" i="31" s="1"/>
  <c r="Z107" i="31"/>
  <c r="AA107" i="31" s="1"/>
  <c r="Z99" i="31"/>
  <c r="AA99" i="31" s="1"/>
  <c r="Z130" i="31"/>
  <c r="AA130" i="31" s="1"/>
  <c r="Z122" i="31"/>
  <c r="AA122" i="31" s="1"/>
  <c r="Z106" i="31"/>
  <c r="AA106" i="31" s="1"/>
  <c r="Z98" i="31"/>
  <c r="AA98" i="31" s="1"/>
  <c r="Z135" i="31"/>
  <c r="AA135" i="31" s="1"/>
  <c r="Z119" i="31"/>
  <c r="AA119" i="31" s="1"/>
  <c r="Z103" i="31"/>
  <c r="AA103" i="31" s="1"/>
  <c r="Z134" i="31"/>
  <c r="AA134" i="31" s="1"/>
  <c r="Z118" i="31"/>
  <c r="AA118" i="31" s="1"/>
  <c r="Z110" i="31"/>
  <c r="AA110" i="31" s="1"/>
  <c r="Z102" i="31"/>
  <c r="AA102" i="31" s="1"/>
  <c r="Z94" i="31"/>
  <c r="AA94" i="31" s="1"/>
  <c r="Z141" i="31"/>
  <c r="AA141" i="31" s="1"/>
  <c r="Z137" i="31"/>
  <c r="AA137" i="31" s="1"/>
  <c r="Z133" i="31"/>
  <c r="AA133" i="31" s="1"/>
  <c r="Z129" i="31"/>
  <c r="AA129" i="31" s="1"/>
  <c r="Z125" i="31"/>
  <c r="AA125" i="31" s="1"/>
  <c r="Z121" i="31"/>
  <c r="AA121" i="31" s="1"/>
  <c r="Z117" i="31"/>
  <c r="AA117" i="31" s="1"/>
  <c r="Z113" i="31"/>
  <c r="AA113" i="31" s="1"/>
  <c r="Z109" i="31"/>
  <c r="AA109" i="31" s="1"/>
  <c r="Z105" i="31"/>
  <c r="AA105" i="31" s="1"/>
  <c r="Z101" i="31"/>
  <c r="AA101" i="31" s="1"/>
  <c r="Z97" i="31"/>
  <c r="AA97" i="31" s="1"/>
  <c r="Z140" i="31"/>
  <c r="AA140" i="31" s="1"/>
  <c r="Z136" i="31"/>
  <c r="AA136" i="31" s="1"/>
  <c r="Z132" i="31"/>
  <c r="AA132" i="31" s="1"/>
  <c r="Z128" i="31"/>
  <c r="AA128" i="31" s="1"/>
  <c r="Z124" i="31"/>
  <c r="AA124" i="31" s="1"/>
  <c r="Z120" i="31"/>
  <c r="AA120" i="31" s="1"/>
  <c r="Z116" i="31"/>
  <c r="AA116" i="31" s="1"/>
  <c r="Z112" i="31"/>
  <c r="AA112" i="31" s="1"/>
  <c r="Z108" i="31"/>
  <c r="AA108" i="31" s="1"/>
  <c r="Z104" i="31"/>
  <c r="AA104" i="31" s="1"/>
  <c r="Z100" i="31"/>
  <c r="AA100" i="31" s="1"/>
  <c r="X71" i="31"/>
  <c r="W93" i="31" l="1"/>
  <c r="X99" i="31"/>
  <c r="V99" i="31" s="1"/>
  <c r="W73" i="31"/>
  <c r="W72" i="31"/>
  <c r="W71" i="31"/>
  <c r="X98" i="31" l="1"/>
  <c r="V98" i="31" s="1"/>
  <c r="X101" i="31"/>
  <c r="X106" i="31"/>
  <c r="X100" i="31"/>
  <c r="X102" i="31"/>
  <c r="W96" i="31"/>
  <c r="W95" i="31"/>
  <c r="V95" i="31" s="1"/>
  <c r="W98" i="31"/>
  <c r="W94" i="31"/>
  <c r="V94" i="31" s="1"/>
  <c r="W97" i="31"/>
  <c r="V97" i="31" s="1"/>
  <c r="X141" i="31"/>
  <c r="V141" i="31" s="1"/>
  <c r="X137" i="31"/>
  <c r="V137" i="31" s="1"/>
  <c r="X133" i="31"/>
  <c r="V133" i="31" s="1"/>
  <c r="X129" i="31"/>
  <c r="V129" i="31" s="1"/>
  <c r="X125" i="31"/>
  <c r="V125" i="31" s="1"/>
  <c r="X121" i="31"/>
  <c r="V121" i="31" s="1"/>
  <c r="X117" i="31"/>
  <c r="V117" i="31" s="1"/>
  <c r="X113" i="31"/>
  <c r="V113" i="31" s="1"/>
  <c r="X109" i="31"/>
  <c r="V109" i="31" s="1"/>
  <c r="X105" i="31"/>
  <c r="X140" i="31"/>
  <c r="V140" i="31" s="1"/>
  <c r="X136" i="31"/>
  <c r="V136" i="31" s="1"/>
  <c r="X132" i="31"/>
  <c r="V132" i="31" s="1"/>
  <c r="X128" i="31"/>
  <c r="V128" i="31" s="1"/>
  <c r="X124" i="31"/>
  <c r="V124" i="31" s="1"/>
  <c r="X120" i="31"/>
  <c r="V120" i="31" s="1"/>
  <c r="X116" i="31"/>
  <c r="V116" i="31" s="1"/>
  <c r="X112" i="31"/>
  <c r="V112" i="31" s="1"/>
  <c r="X108" i="31"/>
  <c r="V108" i="31" s="1"/>
  <c r="X104" i="31"/>
  <c r="X139" i="31"/>
  <c r="V139" i="31" s="1"/>
  <c r="X135" i="31"/>
  <c r="V135" i="31" s="1"/>
  <c r="X131" i="31"/>
  <c r="V131" i="31" s="1"/>
  <c r="X127" i="31"/>
  <c r="V127" i="31" s="1"/>
  <c r="X123" i="31"/>
  <c r="V123" i="31" s="1"/>
  <c r="X119" i="31"/>
  <c r="V119" i="31" s="1"/>
  <c r="X115" i="31"/>
  <c r="V115" i="31" s="1"/>
  <c r="X111" i="31"/>
  <c r="V111" i="31" s="1"/>
  <c r="X107" i="31"/>
  <c r="X103" i="31"/>
  <c r="X142" i="31"/>
  <c r="V142" i="31" s="1"/>
  <c r="X138" i="31"/>
  <c r="V138" i="31" s="1"/>
  <c r="X134" i="31"/>
  <c r="V134" i="31" s="1"/>
  <c r="X130" i="31"/>
  <c r="V130" i="31" s="1"/>
  <c r="X126" i="31"/>
  <c r="V126" i="31" s="1"/>
  <c r="X122" i="31"/>
  <c r="V122" i="31" s="1"/>
  <c r="X118" i="31"/>
  <c r="V118" i="31" s="1"/>
  <c r="X114" i="31"/>
  <c r="V114" i="31" s="1"/>
  <c r="X110" i="31"/>
  <c r="V110" i="31" s="1"/>
  <c r="V93" i="31"/>
  <c r="V96" i="31"/>
  <c r="V79" i="31"/>
  <c r="V80" i="31"/>
  <c r="V81" i="31"/>
  <c r="V82" i="31"/>
  <c r="V83" i="31"/>
  <c r="V84" i="31"/>
  <c r="V85" i="31"/>
  <c r="V86" i="31"/>
  <c r="V87" i="31"/>
  <c r="X72" i="31"/>
  <c r="V78" i="31"/>
  <c r="F73" i="31"/>
  <c r="F72" i="31"/>
  <c r="F71" i="31"/>
  <c r="F70" i="31"/>
  <c r="E73" i="31"/>
  <c r="E72" i="31"/>
  <c r="E71" i="31"/>
  <c r="E70" i="31"/>
  <c r="L241" i="31"/>
  <c r="P241" i="31" s="1"/>
  <c r="J241" i="31"/>
  <c r="I241" i="31"/>
  <c r="H241" i="31"/>
  <c r="P240" i="31"/>
  <c r="L240" i="31"/>
  <c r="J240" i="31"/>
  <c r="I240" i="31"/>
  <c r="P239" i="31"/>
  <c r="L239" i="31"/>
  <c r="J239" i="31"/>
  <c r="I239" i="31"/>
  <c r="P238" i="31"/>
  <c r="L238" i="31"/>
  <c r="J238" i="31"/>
  <c r="I238" i="31"/>
  <c r="L237" i="31"/>
  <c r="P237" i="31" s="1"/>
  <c r="J237" i="31"/>
  <c r="I237" i="31"/>
  <c r="H237" i="31"/>
  <c r="P236" i="31"/>
  <c r="L236" i="31"/>
  <c r="J236" i="31"/>
  <c r="I236" i="31"/>
  <c r="P235" i="31"/>
  <c r="L235" i="31"/>
  <c r="J235" i="31"/>
  <c r="I235" i="31"/>
  <c r="L234" i="31"/>
  <c r="P234" i="31" s="1"/>
  <c r="J234" i="31"/>
  <c r="I234" i="31"/>
  <c r="H234" i="31"/>
  <c r="L233" i="31"/>
  <c r="P233" i="31" s="1"/>
  <c r="J233" i="31"/>
  <c r="I233" i="31"/>
  <c r="H233" i="31"/>
  <c r="L232" i="31"/>
  <c r="P232" i="31" s="1"/>
  <c r="J232" i="31"/>
  <c r="I232" i="31"/>
  <c r="B229" i="31"/>
  <c r="H228" i="31"/>
  <c r="C225" i="31"/>
  <c r="B225" i="31"/>
  <c r="B224" i="31"/>
  <c r="D223" i="31"/>
  <c r="B223" i="31"/>
  <c r="D222" i="31"/>
  <c r="B222" i="31"/>
  <c r="B221" i="31"/>
  <c r="Q210" i="31"/>
  <c r="N210" i="31"/>
  <c r="O210" i="31" s="1"/>
  <c r="L210" i="31"/>
  <c r="F210" i="31"/>
  <c r="G210" i="31" s="1"/>
  <c r="Q209" i="31"/>
  <c r="L209" i="31"/>
  <c r="N209" i="31" s="1"/>
  <c r="O209" i="31" s="1"/>
  <c r="Q208" i="31"/>
  <c r="L208" i="31"/>
  <c r="Q207" i="31"/>
  <c r="L207" i="31"/>
  <c r="Q206" i="31"/>
  <c r="L206" i="31"/>
  <c r="N206" i="31" s="1"/>
  <c r="O206" i="31" s="1"/>
  <c r="F206" i="31"/>
  <c r="G206" i="31" s="1"/>
  <c r="H206" i="31" s="1"/>
  <c r="N237" i="31" s="1"/>
  <c r="Q205" i="31"/>
  <c r="L205" i="31"/>
  <c r="Q204" i="31"/>
  <c r="L204" i="31"/>
  <c r="Q203" i="31"/>
  <c r="L203" i="31"/>
  <c r="Q202" i="31"/>
  <c r="N202" i="31"/>
  <c r="O202" i="31" s="1"/>
  <c r="L202" i="31"/>
  <c r="B202" i="31"/>
  <c r="N207" i="31" s="1"/>
  <c r="O207" i="31" s="1"/>
  <c r="Q201" i="31"/>
  <c r="M201" i="31"/>
  <c r="L201" i="31"/>
  <c r="B201" i="31"/>
  <c r="B200" i="31"/>
  <c r="N208" i="31" s="1"/>
  <c r="O208" i="31" s="1"/>
  <c r="R192" i="31"/>
  <c r="R191" i="31"/>
  <c r="R190" i="31"/>
  <c r="R189" i="31"/>
  <c r="R188" i="31"/>
  <c r="R187" i="31"/>
  <c r="R186" i="31"/>
  <c r="R185" i="31"/>
  <c r="R184" i="31"/>
  <c r="R183" i="31"/>
  <c r="L180" i="31"/>
  <c r="L179" i="31"/>
  <c r="L178" i="31"/>
  <c r="N177" i="31"/>
  <c r="O177" i="31" s="1"/>
  <c r="L177" i="31"/>
  <c r="L176" i="31"/>
  <c r="L175" i="31"/>
  <c r="L174" i="31"/>
  <c r="L173" i="31"/>
  <c r="L172" i="31"/>
  <c r="B172" i="31"/>
  <c r="L171" i="31"/>
  <c r="B171" i="31"/>
  <c r="M171" i="31" s="1"/>
  <c r="N175" i="31" s="1"/>
  <c r="O175" i="31" s="1"/>
  <c r="B170" i="31"/>
  <c r="N179" i="31" s="1"/>
  <c r="O179" i="31" s="1"/>
  <c r="I157" i="31"/>
  <c r="M157" i="31" s="1"/>
  <c r="I156" i="31"/>
  <c r="M156" i="31" s="1"/>
  <c r="M153" i="31"/>
  <c r="I153" i="31"/>
  <c r="I152" i="31"/>
  <c r="M152" i="31" s="1"/>
  <c r="I149" i="31"/>
  <c r="M149" i="31" s="1"/>
  <c r="H149" i="31"/>
  <c r="I158" i="31" s="1"/>
  <c r="M158" i="31" s="1"/>
  <c r="Q147" i="31"/>
  <c r="R147" i="31" s="1"/>
  <c r="P140" i="31"/>
  <c r="S138" i="31"/>
  <c r="K138" i="31"/>
  <c r="I138" i="31"/>
  <c r="G138" i="31"/>
  <c r="S137" i="31"/>
  <c r="K137" i="31"/>
  <c r="I137" i="31"/>
  <c r="G137" i="31"/>
  <c r="S136" i="31"/>
  <c r="I136" i="31"/>
  <c r="K136" i="31" s="1"/>
  <c r="G136" i="31"/>
  <c r="F208" i="31" s="1"/>
  <c r="G208" i="31" s="1"/>
  <c r="H208" i="31" s="1"/>
  <c r="N239" i="31" s="1"/>
  <c r="K135" i="31"/>
  <c r="I135" i="31"/>
  <c r="G135" i="31"/>
  <c r="S134" i="31"/>
  <c r="K134" i="31"/>
  <c r="I134" i="31"/>
  <c r="G134" i="31"/>
  <c r="K133" i="31"/>
  <c r="I133" i="31"/>
  <c r="G133" i="31"/>
  <c r="S132" i="31"/>
  <c r="K132" i="31"/>
  <c r="I132" i="31"/>
  <c r="G132" i="31"/>
  <c r="F204" i="31" s="1"/>
  <c r="G204" i="31" s="1"/>
  <c r="H204" i="31" s="1"/>
  <c r="N235" i="31" s="1"/>
  <c r="S131" i="31"/>
  <c r="K131" i="31"/>
  <c r="I131" i="31"/>
  <c r="G131" i="31"/>
  <c r="F203" i="31" s="1"/>
  <c r="G203" i="31" s="1"/>
  <c r="H203" i="31" s="1"/>
  <c r="N234" i="31" s="1"/>
  <c r="I130" i="31"/>
  <c r="K130" i="31" s="1"/>
  <c r="G130" i="31"/>
  <c r="S130" i="31" s="1"/>
  <c r="K129" i="31"/>
  <c r="I129" i="31"/>
  <c r="G129" i="31"/>
  <c r="H232" i="31" s="1"/>
  <c r="H126" i="31"/>
  <c r="J110" i="31"/>
  <c r="H110" i="31"/>
  <c r="G110" i="31"/>
  <c r="J109" i="31"/>
  <c r="H109" i="31"/>
  <c r="G109" i="31"/>
  <c r="J108" i="31"/>
  <c r="H108" i="31"/>
  <c r="G108" i="31"/>
  <c r="J107" i="31"/>
  <c r="H107" i="31"/>
  <c r="G107" i="31"/>
  <c r="J106" i="31"/>
  <c r="H106" i="31"/>
  <c r="G106" i="31"/>
  <c r="J105" i="31"/>
  <c r="H105" i="31"/>
  <c r="G105" i="31"/>
  <c r="J104" i="31"/>
  <c r="H104" i="31"/>
  <c r="G104" i="31"/>
  <c r="J103" i="31"/>
  <c r="H103" i="31"/>
  <c r="G103" i="31"/>
  <c r="J102" i="31"/>
  <c r="H102" i="31"/>
  <c r="G102" i="31"/>
  <c r="J101" i="31"/>
  <c r="H101" i="31"/>
  <c r="G101" i="31"/>
  <c r="J87" i="31"/>
  <c r="D87" i="31"/>
  <c r="J86" i="31"/>
  <c r="D86" i="31"/>
  <c r="J85" i="31"/>
  <c r="D85" i="31"/>
  <c r="J84" i="31"/>
  <c r="D84" i="31"/>
  <c r="J83" i="31"/>
  <c r="D83" i="31"/>
  <c r="J82" i="31"/>
  <c r="D82" i="31"/>
  <c r="J81" i="31"/>
  <c r="D81" i="31"/>
  <c r="J80" i="31"/>
  <c r="D80" i="31"/>
  <c r="J79" i="31"/>
  <c r="D79" i="31"/>
  <c r="J78" i="31"/>
  <c r="D78" i="31"/>
  <c r="E39" i="31"/>
  <c r="E38" i="31"/>
  <c r="E37" i="31"/>
  <c r="E36" i="31"/>
  <c r="E35" i="31"/>
  <c r="E34" i="31"/>
  <c r="E33" i="31"/>
  <c r="E32" i="31"/>
  <c r="E31" i="31"/>
  <c r="E30" i="31"/>
  <c r="D20" i="31"/>
  <c r="C20" i="31"/>
  <c r="Q10" i="31"/>
  <c r="P10" i="31"/>
  <c r="X73" i="31" l="1"/>
  <c r="F87" i="31"/>
  <c r="F84" i="31"/>
  <c r="F86" i="31"/>
  <c r="F85" i="31"/>
  <c r="F83" i="31"/>
  <c r="E80" i="31"/>
  <c r="E83" i="31"/>
  <c r="E79" i="31"/>
  <c r="E82" i="31"/>
  <c r="E81" i="31"/>
  <c r="E78" i="31"/>
  <c r="H238" i="31"/>
  <c r="S135" i="31"/>
  <c r="F207" i="31"/>
  <c r="G207" i="31" s="1"/>
  <c r="H207" i="31" s="1"/>
  <c r="N238" i="31" s="1"/>
  <c r="N180" i="31"/>
  <c r="O180" i="31" s="1"/>
  <c r="H236" i="31"/>
  <c r="F205" i="31"/>
  <c r="G205" i="31" s="1"/>
  <c r="H205" i="31" s="1"/>
  <c r="N236" i="31" s="1"/>
  <c r="S133" i="31"/>
  <c r="N172" i="31"/>
  <c r="O172" i="31" s="1"/>
  <c r="N178" i="31"/>
  <c r="O178" i="31" s="1"/>
  <c r="N203" i="31"/>
  <c r="O203" i="31" s="1"/>
  <c r="S129" i="31"/>
  <c r="H240" i="31"/>
  <c r="F209" i="31"/>
  <c r="G209" i="31" s="1"/>
  <c r="H209" i="31" s="1"/>
  <c r="N240" i="31" s="1"/>
  <c r="N171" i="31"/>
  <c r="O171" i="31" s="1"/>
  <c r="N173" i="31"/>
  <c r="O173" i="31" s="1"/>
  <c r="N176" i="31"/>
  <c r="O176" i="31" s="1"/>
  <c r="F202" i="31"/>
  <c r="G202" i="31" s="1"/>
  <c r="H202" i="31" s="1"/>
  <c r="N233" i="31" s="1"/>
  <c r="N205" i="31"/>
  <c r="O205" i="31" s="1"/>
  <c r="H210" i="31"/>
  <c r="N241" i="31" s="1"/>
  <c r="N174" i="31"/>
  <c r="O174" i="31" s="1"/>
  <c r="F201" i="31"/>
  <c r="G201" i="31" s="1"/>
  <c r="H201" i="31" s="1"/>
  <c r="N232" i="31" s="1"/>
  <c r="N201" i="31"/>
  <c r="O201" i="31" s="1"/>
  <c r="I151" i="31"/>
  <c r="M151" i="31" s="1"/>
  <c r="I155" i="31"/>
  <c r="M155" i="31" s="1"/>
  <c r="H235" i="31"/>
  <c r="H239" i="31"/>
  <c r="I150" i="31"/>
  <c r="M150" i="31" s="1"/>
  <c r="I154" i="31"/>
  <c r="M154" i="31" s="1"/>
  <c r="N204" i="31"/>
  <c r="O204" i="31" s="1"/>
  <c r="K30" i="12"/>
  <c r="P30" i="12" s="1"/>
  <c r="J30" i="12"/>
  <c r="W80" i="31" l="1"/>
  <c r="W78" i="31"/>
  <c r="W81" i="31"/>
  <c r="W82" i="31"/>
  <c r="W83" i="31"/>
  <c r="X87" i="31"/>
  <c r="X83" i="31"/>
  <c r="X84" i="31"/>
  <c r="X85" i="31"/>
  <c r="X86" i="31"/>
  <c r="W79" i="31"/>
  <c r="I83" i="31"/>
  <c r="I79" i="31"/>
  <c r="I82" i="31"/>
  <c r="I78" i="31"/>
  <c r="I81" i="31"/>
  <c r="I80" i="31"/>
  <c r="I86" i="31"/>
  <c r="I85" i="31"/>
  <c r="I84" i="31"/>
  <c r="I87" i="31"/>
  <c r="Q53" i="28"/>
  <c r="Q54" i="28"/>
  <c r="Q55" i="28"/>
  <c r="Q56" i="28"/>
  <c r="Q57" i="28"/>
  <c r="Q58" i="28"/>
  <c r="Q59" i="28"/>
  <c r="Q60" i="28"/>
  <c r="Q61" i="28"/>
  <c r="Q52" i="28"/>
  <c r="P53" i="28"/>
  <c r="P54" i="28"/>
  <c r="P55" i="28"/>
  <c r="P56" i="28"/>
  <c r="P57" i="28"/>
  <c r="P58" i="28"/>
  <c r="P59" i="28"/>
  <c r="P60" i="28"/>
  <c r="P61" i="28"/>
  <c r="P52" i="28"/>
  <c r="K86" i="31" l="1"/>
  <c r="D109" i="31"/>
  <c r="K83" i="31"/>
  <c r="D106" i="31"/>
  <c r="D101" i="31"/>
  <c r="K78" i="31"/>
  <c r="D107" i="31"/>
  <c r="K84" i="31"/>
  <c r="D105" i="31"/>
  <c r="K82" i="31"/>
  <c r="K87" i="31"/>
  <c r="D110" i="31"/>
  <c r="D104" i="31"/>
  <c r="K81" i="31"/>
  <c r="D108" i="31"/>
  <c r="K85" i="31"/>
  <c r="K80" i="31"/>
  <c r="D103" i="31"/>
  <c r="D102" i="31"/>
  <c r="K79" i="31"/>
  <c r="D129" i="24"/>
  <c r="E129" i="30"/>
  <c r="J102" i="30"/>
  <c r="J103" i="30"/>
  <c r="J104" i="30"/>
  <c r="J105" i="30"/>
  <c r="J106" i="30"/>
  <c r="J107" i="30"/>
  <c r="J108" i="30"/>
  <c r="J109" i="30"/>
  <c r="J110" i="30"/>
  <c r="J101" i="30"/>
  <c r="P241" i="30"/>
  <c r="L241" i="30"/>
  <c r="J241" i="30"/>
  <c r="I241" i="30"/>
  <c r="L240" i="30"/>
  <c r="P240" i="30" s="1"/>
  <c r="J240" i="30"/>
  <c r="I240" i="30"/>
  <c r="L239" i="30"/>
  <c r="P239" i="30" s="1"/>
  <c r="J239" i="30"/>
  <c r="I239" i="30"/>
  <c r="L238" i="30"/>
  <c r="P238" i="30" s="1"/>
  <c r="J238" i="30"/>
  <c r="I238" i="30"/>
  <c r="L237" i="30"/>
  <c r="P237" i="30" s="1"/>
  <c r="J237" i="30"/>
  <c r="I237" i="30"/>
  <c r="L236" i="30"/>
  <c r="P236" i="30" s="1"/>
  <c r="J236" i="30"/>
  <c r="I236" i="30"/>
  <c r="L235" i="30"/>
  <c r="P235" i="30" s="1"/>
  <c r="J235" i="30"/>
  <c r="I235" i="30"/>
  <c r="P234" i="30"/>
  <c r="L234" i="30"/>
  <c r="J234" i="30"/>
  <c r="I234" i="30"/>
  <c r="P233" i="30"/>
  <c r="L233" i="30"/>
  <c r="J233" i="30"/>
  <c r="I233" i="30"/>
  <c r="L232" i="30"/>
  <c r="P232" i="30" s="1"/>
  <c r="J232" i="30"/>
  <c r="I232" i="30"/>
  <c r="B229" i="30"/>
  <c r="H228" i="30"/>
  <c r="C225" i="30"/>
  <c r="B225" i="30"/>
  <c r="B224" i="30"/>
  <c r="D223" i="30"/>
  <c r="B223" i="30"/>
  <c r="D222" i="30"/>
  <c r="B222" i="30"/>
  <c r="B221" i="30"/>
  <c r="Q210" i="30"/>
  <c r="L210" i="30"/>
  <c r="Q209" i="30"/>
  <c r="L209" i="30"/>
  <c r="Q208" i="30"/>
  <c r="L208" i="30"/>
  <c r="Q207" i="30"/>
  <c r="L207" i="30"/>
  <c r="Q206" i="30"/>
  <c r="L206" i="30"/>
  <c r="Q205" i="30"/>
  <c r="L205" i="30"/>
  <c r="Q204" i="30"/>
  <c r="L204" i="30"/>
  <c r="Q203" i="30"/>
  <c r="L203" i="30"/>
  <c r="N203" i="30" s="1"/>
  <c r="O203" i="30" s="1"/>
  <c r="Q202" i="30"/>
  <c r="L202" i="30"/>
  <c r="B202" i="30"/>
  <c r="Q201" i="30"/>
  <c r="L201" i="30"/>
  <c r="B201" i="30"/>
  <c r="M201" i="30" s="1"/>
  <c r="N207" i="30" s="1"/>
  <c r="O207" i="30" s="1"/>
  <c r="B200" i="30"/>
  <c r="R192" i="30"/>
  <c r="R191" i="30"/>
  <c r="R190" i="30"/>
  <c r="R189" i="30"/>
  <c r="R188" i="30"/>
  <c r="R187" i="30"/>
  <c r="R186" i="30"/>
  <c r="R185" i="30"/>
  <c r="R184" i="30"/>
  <c r="R183" i="30"/>
  <c r="L180" i="30"/>
  <c r="L179" i="30"/>
  <c r="L178" i="30"/>
  <c r="L177" i="30"/>
  <c r="L176" i="30"/>
  <c r="L175" i="30"/>
  <c r="L174" i="30"/>
  <c r="L173" i="30"/>
  <c r="L172" i="30"/>
  <c r="B172" i="30"/>
  <c r="M171" i="30"/>
  <c r="L171" i="30"/>
  <c r="B171" i="30"/>
  <c r="B170" i="30"/>
  <c r="AD169" i="30"/>
  <c r="AB169" i="30"/>
  <c r="Z169" i="30"/>
  <c r="AD168" i="30"/>
  <c r="AB168" i="30"/>
  <c r="Z168" i="30"/>
  <c r="AD167" i="30"/>
  <c r="AB167" i="30"/>
  <c r="Z167" i="30"/>
  <c r="AD166" i="30"/>
  <c r="AB166" i="30"/>
  <c r="Z166" i="30"/>
  <c r="AD165" i="30"/>
  <c r="AB165" i="30"/>
  <c r="Z165" i="30"/>
  <c r="AD164" i="30"/>
  <c r="AB164" i="30"/>
  <c r="Z164" i="30"/>
  <c r="AD163" i="30"/>
  <c r="AB163" i="30"/>
  <c r="Z163" i="30"/>
  <c r="AD162" i="30"/>
  <c r="AB162" i="30"/>
  <c r="Z162" i="30"/>
  <c r="AD161" i="30"/>
  <c r="AB161" i="30"/>
  <c r="Z161" i="30"/>
  <c r="AD160" i="30"/>
  <c r="AB160" i="30"/>
  <c r="Z160" i="30"/>
  <c r="I157" i="30"/>
  <c r="M157" i="30" s="1"/>
  <c r="I155" i="30"/>
  <c r="M155" i="30" s="1"/>
  <c r="I151" i="30"/>
  <c r="M151" i="30" s="1"/>
  <c r="I150" i="30"/>
  <c r="M150" i="30" s="1"/>
  <c r="I149" i="30"/>
  <c r="M149" i="30" s="1"/>
  <c r="H149" i="30"/>
  <c r="I158" i="30" s="1"/>
  <c r="M158" i="30" s="1"/>
  <c r="R147" i="30"/>
  <c r="Q147" i="30"/>
  <c r="P140" i="30"/>
  <c r="I138" i="30"/>
  <c r="K138" i="30" s="1"/>
  <c r="G138" i="30"/>
  <c r="I137" i="30"/>
  <c r="K137" i="30" s="1"/>
  <c r="G137" i="30"/>
  <c r="F209" i="30" s="1"/>
  <c r="G209" i="30" s="1"/>
  <c r="H209" i="30" s="1"/>
  <c r="N240" i="30" s="1"/>
  <c r="I136" i="30"/>
  <c r="K136" i="30" s="1"/>
  <c r="G136" i="30"/>
  <c r="F208" i="30" s="1"/>
  <c r="G208" i="30" s="1"/>
  <c r="H208" i="30" s="1"/>
  <c r="N239" i="30" s="1"/>
  <c r="I135" i="30"/>
  <c r="K135" i="30" s="1"/>
  <c r="G135" i="30"/>
  <c r="I134" i="30"/>
  <c r="K134" i="30" s="1"/>
  <c r="G134" i="30"/>
  <c r="I133" i="30"/>
  <c r="K133" i="30" s="1"/>
  <c r="G133" i="30"/>
  <c r="H236" i="30" s="1"/>
  <c r="S132" i="30"/>
  <c r="I132" i="30"/>
  <c r="K132" i="30" s="1"/>
  <c r="G132" i="30"/>
  <c r="I131" i="30"/>
  <c r="K131" i="30" s="1"/>
  <c r="G131" i="30"/>
  <c r="F203" i="30" s="1"/>
  <c r="G203" i="30" s="1"/>
  <c r="I130" i="30"/>
  <c r="K130" i="30" s="1"/>
  <c r="G130" i="30"/>
  <c r="S129" i="30"/>
  <c r="K129" i="30"/>
  <c r="I129" i="30"/>
  <c r="G129" i="30"/>
  <c r="H232" i="30" s="1"/>
  <c r="H126" i="30"/>
  <c r="G110" i="30"/>
  <c r="H110" i="30" s="1"/>
  <c r="G109" i="30"/>
  <c r="H109" i="30" s="1"/>
  <c r="G108" i="30"/>
  <c r="H108" i="30" s="1"/>
  <c r="G107" i="30"/>
  <c r="H107" i="30" s="1"/>
  <c r="G106" i="30"/>
  <c r="H106" i="30" s="1"/>
  <c r="G105" i="30"/>
  <c r="H105" i="30" s="1"/>
  <c r="G104" i="30"/>
  <c r="H104" i="30" s="1"/>
  <c r="H103" i="30"/>
  <c r="G103" i="30"/>
  <c r="G102" i="30"/>
  <c r="H102" i="30" s="1"/>
  <c r="G101" i="30"/>
  <c r="H101" i="30" s="1"/>
  <c r="J87" i="30"/>
  <c r="D87" i="30"/>
  <c r="J86" i="30"/>
  <c r="D86" i="30"/>
  <c r="J85" i="30"/>
  <c r="D85" i="30"/>
  <c r="J84" i="30"/>
  <c r="D84" i="30"/>
  <c r="J83" i="30"/>
  <c r="D83" i="30"/>
  <c r="J82" i="30"/>
  <c r="D82" i="30"/>
  <c r="J81" i="30"/>
  <c r="D81" i="30"/>
  <c r="J80" i="30"/>
  <c r="D80" i="30"/>
  <c r="J79" i="30"/>
  <c r="D79" i="30"/>
  <c r="J78" i="30"/>
  <c r="D78" i="30"/>
  <c r="F70" i="30"/>
  <c r="E39" i="30"/>
  <c r="E38" i="30"/>
  <c r="E37" i="30"/>
  <c r="E36" i="30"/>
  <c r="E35" i="30"/>
  <c r="E34" i="30"/>
  <c r="E33" i="30"/>
  <c r="E32" i="30"/>
  <c r="E31" i="30"/>
  <c r="E30" i="30"/>
  <c r="D20" i="30"/>
  <c r="C20" i="30"/>
  <c r="Q10" i="30"/>
  <c r="P10" i="30"/>
  <c r="H126" i="28"/>
  <c r="H126" i="29"/>
  <c r="F138" i="31" l="1"/>
  <c r="C110" i="31"/>
  <c r="F130" i="31"/>
  <c r="C102" i="31"/>
  <c r="F131" i="31"/>
  <c r="C103" i="31"/>
  <c r="F137" i="31"/>
  <c r="C109" i="31"/>
  <c r="F134" i="31"/>
  <c r="C106" i="31"/>
  <c r="F136" i="31"/>
  <c r="C108" i="31"/>
  <c r="F135" i="31"/>
  <c r="C107" i="31"/>
  <c r="F132" i="31"/>
  <c r="C104" i="31"/>
  <c r="F133" i="31"/>
  <c r="C105" i="31"/>
  <c r="C101" i="31"/>
  <c r="F129" i="31"/>
  <c r="N171" i="30"/>
  <c r="O171" i="30" s="1"/>
  <c r="I153" i="30"/>
  <c r="M153" i="30" s="1"/>
  <c r="H239" i="30"/>
  <c r="S136" i="30"/>
  <c r="F205" i="30"/>
  <c r="G205" i="30" s="1"/>
  <c r="H205" i="30" s="1"/>
  <c r="N236" i="30" s="1"/>
  <c r="F73" i="30"/>
  <c r="F71" i="30"/>
  <c r="F72" i="30"/>
  <c r="F84" i="30" s="1"/>
  <c r="I84" i="30" s="1"/>
  <c r="E72" i="30"/>
  <c r="E70" i="30"/>
  <c r="E73" i="30"/>
  <c r="E71" i="30"/>
  <c r="N204" i="30"/>
  <c r="O204" i="30" s="1"/>
  <c r="N208" i="30"/>
  <c r="O208" i="30" s="1"/>
  <c r="H238" i="30"/>
  <c r="S135" i="30"/>
  <c r="H203" i="30"/>
  <c r="N234" i="30" s="1"/>
  <c r="N206" i="30"/>
  <c r="O206" i="30" s="1"/>
  <c r="F204" i="30"/>
  <c r="G204" i="30" s="1"/>
  <c r="H204" i="30" s="1"/>
  <c r="N235" i="30" s="1"/>
  <c r="F206" i="30"/>
  <c r="G206" i="30" s="1"/>
  <c r="H206" i="30" s="1"/>
  <c r="N237" i="30" s="1"/>
  <c r="H237" i="30"/>
  <c r="S134" i="30"/>
  <c r="N172" i="30"/>
  <c r="O172" i="30" s="1"/>
  <c r="N174" i="30"/>
  <c r="O174" i="30" s="1"/>
  <c r="N176" i="30"/>
  <c r="O176" i="30" s="1"/>
  <c r="N178" i="30"/>
  <c r="O178" i="30" s="1"/>
  <c r="N180" i="30"/>
  <c r="O180" i="30" s="1"/>
  <c r="F201" i="30"/>
  <c r="G201" i="30" s="1"/>
  <c r="H201" i="30" s="1"/>
  <c r="N232" i="30" s="1"/>
  <c r="H235" i="30"/>
  <c r="N201" i="30"/>
  <c r="O201" i="30" s="1"/>
  <c r="F207" i="30"/>
  <c r="G207" i="30" s="1"/>
  <c r="H207" i="30" s="1"/>
  <c r="N238" i="30" s="1"/>
  <c r="N210" i="30"/>
  <c r="O210" i="30" s="1"/>
  <c r="S133" i="30"/>
  <c r="S137" i="30"/>
  <c r="N173" i="30"/>
  <c r="O173" i="30" s="1"/>
  <c r="N175" i="30"/>
  <c r="O175" i="30" s="1"/>
  <c r="N177" i="30"/>
  <c r="O177" i="30" s="1"/>
  <c r="N179" i="30"/>
  <c r="O179" i="30" s="1"/>
  <c r="N209" i="30"/>
  <c r="O209" i="30" s="1"/>
  <c r="N205" i="30"/>
  <c r="O205" i="30" s="1"/>
  <c r="H240" i="30"/>
  <c r="F202" i="30"/>
  <c r="G202" i="30" s="1"/>
  <c r="H202" i="30" s="1"/>
  <c r="N233" i="30" s="1"/>
  <c r="H233" i="30"/>
  <c r="S130" i="30"/>
  <c r="H234" i="30"/>
  <c r="S131" i="30"/>
  <c r="F210" i="30"/>
  <c r="G210" i="30" s="1"/>
  <c r="H210" i="30" s="1"/>
  <c r="N241" i="30" s="1"/>
  <c r="H241" i="30"/>
  <c r="S138" i="30"/>
  <c r="I156" i="30"/>
  <c r="M156" i="30" s="1"/>
  <c r="I152" i="30"/>
  <c r="M152" i="30" s="1"/>
  <c r="I154" i="30"/>
  <c r="M154" i="30" s="1"/>
  <c r="N202" i="30"/>
  <c r="O202" i="30" s="1"/>
  <c r="P241" i="29"/>
  <c r="L241" i="29"/>
  <c r="J241" i="29"/>
  <c r="I241" i="29"/>
  <c r="L240" i="29"/>
  <c r="P240" i="29" s="1"/>
  <c r="J240" i="29"/>
  <c r="I240" i="29"/>
  <c r="P239" i="29"/>
  <c r="L239" i="29"/>
  <c r="J239" i="29"/>
  <c r="I239" i="29"/>
  <c r="L238" i="29"/>
  <c r="P238" i="29" s="1"/>
  <c r="J238" i="29"/>
  <c r="I238" i="29"/>
  <c r="L237" i="29"/>
  <c r="P237" i="29" s="1"/>
  <c r="J237" i="29"/>
  <c r="I237" i="29"/>
  <c r="L236" i="29"/>
  <c r="P236" i="29" s="1"/>
  <c r="J236" i="29"/>
  <c r="I236" i="29"/>
  <c r="L235" i="29"/>
  <c r="P235" i="29" s="1"/>
  <c r="J235" i="29"/>
  <c r="I235" i="29"/>
  <c r="L234" i="29"/>
  <c r="P234" i="29" s="1"/>
  <c r="J234" i="29"/>
  <c r="I234" i="29"/>
  <c r="P233" i="29"/>
  <c r="L233" i="29"/>
  <c r="J233" i="29"/>
  <c r="I233" i="29"/>
  <c r="L232" i="29"/>
  <c r="P232" i="29" s="1"/>
  <c r="J232" i="29"/>
  <c r="I232" i="29"/>
  <c r="B229" i="29"/>
  <c r="H228" i="29"/>
  <c r="C225" i="29"/>
  <c r="B225" i="29"/>
  <c r="B224" i="29"/>
  <c r="D223" i="29"/>
  <c r="B223" i="29"/>
  <c r="D222" i="29"/>
  <c r="B222" i="29"/>
  <c r="B221" i="29"/>
  <c r="Q210" i="29"/>
  <c r="L210" i="29"/>
  <c r="Q209" i="29"/>
  <c r="L209" i="29"/>
  <c r="Q208" i="29"/>
  <c r="L208" i="29"/>
  <c r="F208" i="29"/>
  <c r="G208" i="29" s="1"/>
  <c r="H208" i="29" s="1"/>
  <c r="N239" i="29" s="1"/>
  <c r="Q207" i="29"/>
  <c r="L207" i="29"/>
  <c r="Q206" i="29"/>
  <c r="L206" i="29"/>
  <c r="N206" i="29" s="1"/>
  <c r="O206" i="29" s="1"/>
  <c r="Q205" i="29"/>
  <c r="L205" i="29"/>
  <c r="Q204" i="29"/>
  <c r="L204" i="29"/>
  <c r="Q203" i="29"/>
  <c r="L203" i="29"/>
  <c r="Q202" i="29"/>
  <c r="L202" i="29"/>
  <c r="B202" i="29"/>
  <c r="Q201" i="29"/>
  <c r="L201" i="29"/>
  <c r="B201" i="29"/>
  <c r="M201" i="29" s="1"/>
  <c r="N208" i="29" s="1"/>
  <c r="O208" i="29" s="1"/>
  <c r="B200" i="29"/>
  <c r="R192" i="29"/>
  <c r="R191" i="29"/>
  <c r="R190" i="29"/>
  <c r="R189" i="29"/>
  <c r="R188" i="29"/>
  <c r="R187" i="29"/>
  <c r="R186" i="29"/>
  <c r="R185" i="29"/>
  <c r="R184" i="29"/>
  <c r="R183" i="29"/>
  <c r="L180" i="29"/>
  <c r="L179" i="29"/>
  <c r="L178" i="29"/>
  <c r="L177" i="29"/>
  <c r="L176" i="29"/>
  <c r="L175" i="29"/>
  <c r="L174" i="29"/>
  <c r="L173" i="29"/>
  <c r="L172" i="29"/>
  <c r="B172" i="29"/>
  <c r="L171" i="29"/>
  <c r="B171" i="29"/>
  <c r="M171" i="29" s="1"/>
  <c r="B170" i="29"/>
  <c r="AD169" i="29"/>
  <c r="AB169" i="29"/>
  <c r="Z169" i="29"/>
  <c r="AD168" i="29"/>
  <c r="AB168" i="29"/>
  <c r="Z168" i="29"/>
  <c r="AD167" i="29"/>
  <c r="AB167" i="29"/>
  <c r="Z167" i="29"/>
  <c r="AD166" i="29"/>
  <c r="AB166" i="29"/>
  <c r="Z166" i="29"/>
  <c r="AD165" i="29"/>
  <c r="AB165" i="29"/>
  <c r="Z165" i="29"/>
  <c r="AD164" i="29"/>
  <c r="AB164" i="29"/>
  <c r="Z164" i="29"/>
  <c r="AD163" i="29"/>
  <c r="AB163" i="29"/>
  <c r="Z163" i="29"/>
  <c r="AD162" i="29"/>
  <c r="AB162" i="29"/>
  <c r="Z162" i="29"/>
  <c r="AD161" i="29"/>
  <c r="AB161" i="29"/>
  <c r="Z161" i="29"/>
  <c r="AD160" i="29"/>
  <c r="AB160" i="29"/>
  <c r="Z160" i="29"/>
  <c r="I156" i="29"/>
  <c r="M156" i="29" s="1"/>
  <c r="I152" i="29"/>
  <c r="M152" i="29" s="1"/>
  <c r="H149" i="29"/>
  <c r="I150" i="29" s="1"/>
  <c r="M150" i="29" s="1"/>
  <c r="Q147" i="29"/>
  <c r="R147" i="29" s="1"/>
  <c r="P140" i="29"/>
  <c r="S138" i="29"/>
  <c r="K138" i="29"/>
  <c r="I138" i="29"/>
  <c r="G138" i="29"/>
  <c r="H241" i="29" s="1"/>
  <c r="I137" i="29"/>
  <c r="K137" i="29" s="1"/>
  <c r="G137" i="29"/>
  <c r="F209" i="29" s="1"/>
  <c r="G209" i="29" s="1"/>
  <c r="S136" i="29"/>
  <c r="I136" i="29"/>
  <c r="K136" i="29" s="1"/>
  <c r="G136" i="29"/>
  <c r="H239" i="29" s="1"/>
  <c r="I135" i="29"/>
  <c r="K135" i="29" s="1"/>
  <c r="G135" i="29"/>
  <c r="H238" i="29" s="1"/>
  <c r="I134" i="29"/>
  <c r="K134" i="29" s="1"/>
  <c r="G134" i="29"/>
  <c r="H237" i="29" s="1"/>
  <c r="I133" i="29"/>
  <c r="K133" i="29" s="1"/>
  <c r="G133" i="29"/>
  <c r="F205" i="29" s="1"/>
  <c r="G205" i="29" s="1"/>
  <c r="I132" i="29"/>
  <c r="K132" i="29" s="1"/>
  <c r="G132" i="29"/>
  <c r="H235" i="29" s="1"/>
  <c r="I131" i="29"/>
  <c r="K131" i="29" s="1"/>
  <c r="G131" i="29"/>
  <c r="I130" i="29"/>
  <c r="K130" i="29" s="1"/>
  <c r="G130" i="29"/>
  <c r="I129" i="29"/>
  <c r="K129" i="29" s="1"/>
  <c r="G129" i="29"/>
  <c r="H232" i="29" s="1"/>
  <c r="J110" i="29"/>
  <c r="G110" i="29"/>
  <c r="H110" i="29" s="1"/>
  <c r="J109" i="29"/>
  <c r="G109" i="29"/>
  <c r="H109" i="29" s="1"/>
  <c r="J108" i="29"/>
  <c r="G108" i="29"/>
  <c r="H108" i="29" s="1"/>
  <c r="J107" i="29"/>
  <c r="H107" i="29"/>
  <c r="G107" i="29"/>
  <c r="J106" i="29"/>
  <c r="G106" i="29"/>
  <c r="H106" i="29" s="1"/>
  <c r="J105" i="29"/>
  <c r="G105" i="29"/>
  <c r="H105" i="29" s="1"/>
  <c r="J104" i="29"/>
  <c r="G104" i="29"/>
  <c r="H104" i="29" s="1"/>
  <c r="J103" i="29"/>
  <c r="H103" i="29"/>
  <c r="G103" i="29"/>
  <c r="J102" i="29"/>
  <c r="G102" i="29"/>
  <c r="H102" i="29" s="1"/>
  <c r="J101" i="29"/>
  <c r="G101" i="29"/>
  <c r="H101" i="29" s="1"/>
  <c r="J87" i="29"/>
  <c r="D87" i="29"/>
  <c r="J86" i="29"/>
  <c r="D86" i="29"/>
  <c r="F71" i="29" s="1"/>
  <c r="J85" i="29"/>
  <c r="D85" i="29"/>
  <c r="J84" i="29"/>
  <c r="D84" i="29"/>
  <c r="F70" i="29" s="1"/>
  <c r="J83" i="29"/>
  <c r="D83" i="29"/>
  <c r="J82" i="29"/>
  <c r="D82" i="29"/>
  <c r="J81" i="29"/>
  <c r="D81" i="29"/>
  <c r="J80" i="29"/>
  <c r="D80" i="29"/>
  <c r="J79" i="29"/>
  <c r="D79" i="29"/>
  <c r="J78" i="29"/>
  <c r="D78" i="29"/>
  <c r="E39" i="29"/>
  <c r="E38" i="29"/>
  <c r="E37" i="29"/>
  <c r="E36" i="29"/>
  <c r="E35" i="29"/>
  <c r="E34" i="29"/>
  <c r="E33" i="29"/>
  <c r="E32" i="29"/>
  <c r="E31" i="29"/>
  <c r="E30" i="29"/>
  <c r="D20" i="29"/>
  <c r="C20" i="29"/>
  <c r="Q10" i="29"/>
  <c r="P10" i="29"/>
  <c r="C225" i="28"/>
  <c r="P140" i="28"/>
  <c r="J87" i="23"/>
  <c r="D87" i="23"/>
  <c r="J86" i="23"/>
  <c r="D86" i="23"/>
  <c r="J85" i="23"/>
  <c r="D85" i="23"/>
  <c r="J84" i="23"/>
  <c r="D84" i="23"/>
  <c r="J83" i="23"/>
  <c r="D83" i="23"/>
  <c r="F73" i="23" s="1"/>
  <c r="J82" i="23"/>
  <c r="D82" i="23"/>
  <c r="J81" i="23"/>
  <c r="D81" i="23"/>
  <c r="J80" i="23"/>
  <c r="D80" i="23"/>
  <c r="J79" i="23"/>
  <c r="D79" i="23"/>
  <c r="E73" i="23" s="1"/>
  <c r="J78" i="23"/>
  <c r="D78" i="23"/>
  <c r="F72" i="23"/>
  <c r="F70" i="23"/>
  <c r="J87" i="17"/>
  <c r="D87" i="17"/>
  <c r="J86" i="17"/>
  <c r="D86" i="17"/>
  <c r="J85" i="17"/>
  <c r="D85" i="17"/>
  <c r="J84" i="17"/>
  <c r="D84" i="17"/>
  <c r="F72" i="17" s="1"/>
  <c r="J83" i="17"/>
  <c r="D83" i="17"/>
  <c r="J82" i="17"/>
  <c r="D82" i="17"/>
  <c r="J81" i="17"/>
  <c r="D81" i="17"/>
  <c r="J80" i="17"/>
  <c r="D80" i="17"/>
  <c r="J79" i="17"/>
  <c r="D79" i="17"/>
  <c r="E73" i="17" s="1"/>
  <c r="J78" i="17"/>
  <c r="D78" i="17"/>
  <c r="F73" i="17"/>
  <c r="F71" i="17"/>
  <c r="J87" i="24"/>
  <c r="D87" i="24"/>
  <c r="J86" i="24"/>
  <c r="D86" i="24"/>
  <c r="J85" i="24"/>
  <c r="D85" i="24"/>
  <c r="J84" i="24"/>
  <c r="D84" i="24"/>
  <c r="J83" i="24"/>
  <c r="D83" i="24"/>
  <c r="F73" i="24" s="1"/>
  <c r="J82" i="24"/>
  <c r="D82" i="24"/>
  <c r="J81" i="24"/>
  <c r="D81" i="24"/>
  <c r="J80" i="24"/>
  <c r="D80" i="24"/>
  <c r="J79" i="24"/>
  <c r="D79" i="24"/>
  <c r="E73" i="24" s="1"/>
  <c r="J78" i="24"/>
  <c r="D78" i="24"/>
  <c r="F72" i="24"/>
  <c r="F70" i="24"/>
  <c r="K79" i="28"/>
  <c r="K80" i="28"/>
  <c r="K81" i="28"/>
  <c r="K82" i="28"/>
  <c r="K83" i="28"/>
  <c r="K84" i="28"/>
  <c r="K85" i="28"/>
  <c r="K86" i="28"/>
  <c r="K87" i="28"/>
  <c r="K78" i="28"/>
  <c r="I78" i="28"/>
  <c r="F84" i="28"/>
  <c r="F85" i="28"/>
  <c r="F86" i="28"/>
  <c r="F87" i="28"/>
  <c r="F83" i="28"/>
  <c r="E79" i="28"/>
  <c r="E80" i="28"/>
  <c r="E81" i="28"/>
  <c r="E82" i="28"/>
  <c r="E83" i="28"/>
  <c r="E78" i="28"/>
  <c r="F73" i="28"/>
  <c r="F72" i="28"/>
  <c r="F71" i="28"/>
  <c r="F70" i="28"/>
  <c r="E73" i="28"/>
  <c r="E72" i="28"/>
  <c r="E71" i="28"/>
  <c r="E70" i="28"/>
  <c r="D136" i="31" l="1"/>
  <c r="F178" i="31"/>
  <c r="G178" i="31" s="1"/>
  <c r="H178" i="31" s="1"/>
  <c r="M239" i="31" s="1"/>
  <c r="G239" i="31"/>
  <c r="F239" i="31" s="1"/>
  <c r="E136" i="31"/>
  <c r="M109" i="31"/>
  <c r="F109" i="31"/>
  <c r="G233" i="31"/>
  <c r="F233" i="31" s="1"/>
  <c r="F172" i="31"/>
  <c r="G172" i="31" s="1"/>
  <c r="H172" i="31" s="1"/>
  <c r="M233" i="31" s="1"/>
  <c r="E130" i="31"/>
  <c r="D130" i="31"/>
  <c r="M105" i="31"/>
  <c r="F105" i="31"/>
  <c r="E135" i="31"/>
  <c r="D135" i="31"/>
  <c r="G238" i="31"/>
  <c r="F238" i="31" s="1"/>
  <c r="F177" i="31"/>
  <c r="G177" i="31" s="1"/>
  <c r="H177" i="31" s="1"/>
  <c r="M238" i="31" s="1"/>
  <c r="M106" i="31"/>
  <c r="F106" i="31"/>
  <c r="M110" i="31"/>
  <c r="F110" i="31"/>
  <c r="G232" i="31"/>
  <c r="F232" i="31" s="1"/>
  <c r="F171" i="31"/>
  <c r="G171" i="31" s="1"/>
  <c r="H171" i="31" s="1"/>
  <c r="M232" i="31" s="1"/>
  <c r="E129" i="31"/>
  <c r="D129" i="31"/>
  <c r="F174" i="31"/>
  <c r="G174" i="31" s="1"/>
  <c r="H174" i="31" s="1"/>
  <c r="M235" i="31" s="1"/>
  <c r="E132" i="31"/>
  <c r="G235" i="31"/>
  <c r="F235" i="31" s="1"/>
  <c r="D132" i="31"/>
  <c r="G240" i="31"/>
  <c r="F240" i="31" s="1"/>
  <c r="E137" i="31"/>
  <c r="D137" i="31"/>
  <c r="F179" i="31"/>
  <c r="G179" i="31" s="1"/>
  <c r="H179" i="31" s="1"/>
  <c r="M240" i="31" s="1"/>
  <c r="M102" i="31"/>
  <c r="F102" i="31"/>
  <c r="M104" i="31"/>
  <c r="F104" i="31"/>
  <c r="E131" i="31"/>
  <c r="F173" i="31"/>
  <c r="G173" i="31" s="1"/>
  <c r="H173" i="31" s="1"/>
  <c r="M234" i="31" s="1"/>
  <c r="D131" i="31"/>
  <c r="G234" i="31"/>
  <c r="F234" i="31" s="1"/>
  <c r="M101" i="31"/>
  <c r="F101" i="31"/>
  <c r="G236" i="31"/>
  <c r="F236" i="31" s="1"/>
  <c r="E133" i="31"/>
  <c r="F175" i="31"/>
  <c r="G175" i="31" s="1"/>
  <c r="H175" i="31" s="1"/>
  <c r="M236" i="31" s="1"/>
  <c r="D133" i="31"/>
  <c r="M107" i="31"/>
  <c r="F107" i="31"/>
  <c r="M108" i="31"/>
  <c r="F108" i="31"/>
  <c r="G237" i="31"/>
  <c r="F237" i="31" s="1"/>
  <c r="F176" i="31"/>
  <c r="G176" i="31" s="1"/>
  <c r="H176" i="31" s="1"/>
  <c r="M237" i="31" s="1"/>
  <c r="E134" i="31"/>
  <c r="D134" i="31"/>
  <c r="M103" i="31"/>
  <c r="F103" i="31"/>
  <c r="G241" i="31"/>
  <c r="F241" i="31" s="1"/>
  <c r="D138" i="31"/>
  <c r="F180" i="31"/>
  <c r="G180" i="31" s="1"/>
  <c r="H180" i="31" s="1"/>
  <c r="M241" i="31" s="1"/>
  <c r="E138" i="31"/>
  <c r="F86" i="30"/>
  <c r="I86" i="30" s="1"/>
  <c r="F85" i="30"/>
  <c r="I85" i="30" s="1"/>
  <c r="F83" i="30"/>
  <c r="D109" i="30"/>
  <c r="K86" i="30"/>
  <c r="K84" i="30"/>
  <c r="D107" i="30"/>
  <c r="D108" i="30"/>
  <c r="K85" i="30"/>
  <c r="F87" i="30"/>
  <c r="I87" i="30" s="1"/>
  <c r="E81" i="30"/>
  <c r="I81" i="30" s="1"/>
  <c r="E80" i="30"/>
  <c r="I80" i="30" s="1"/>
  <c r="E83" i="30"/>
  <c r="E79" i="30"/>
  <c r="I79" i="30" s="1"/>
  <c r="E78" i="30"/>
  <c r="I78" i="30" s="1"/>
  <c r="E82" i="30"/>
  <c r="I82" i="30" s="1"/>
  <c r="N205" i="29"/>
  <c r="O205" i="29" s="1"/>
  <c r="H209" i="29"/>
  <c r="N240" i="29" s="1"/>
  <c r="I158" i="29"/>
  <c r="M158" i="29" s="1"/>
  <c r="N210" i="29"/>
  <c r="O210" i="29" s="1"/>
  <c r="N171" i="29"/>
  <c r="O171" i="29" s="1"/>
  <c r="N201" i="29"/>
  <c r="O201" i="29" s="1"/>
  <c r="N202" i="29"/>
  <c r="O202" i="29" s="1"/>
  <c r="N209" i="29"/>
  <c r="O209" i="29" s="1"/>
  <c r="S134" i="29"/>
  <c r="S132" i="29"/>
  <c r="S133" i="29"/>
  <c r="H236" i="29"/>
  <c r="F204" i="29"/>
  <c r="G204" i="29" s="1"/>
  <c r="H204" i="29" s="1"/>
  <c r="N235" i="29" s="1"/>
  <c r="F206" i="29"/>
  <c r="G206" i="29" s="1"/>
  <c r="H206" i="29" s="1"/>
  <c r="N237" i="29" s="1"/>
  <c r="F210" i="29"/>
  <c r="G210" i="29" s="1"/>
  <c r="H210" i="29" s="1"/>
  <c r="N241" i="29" s="1"/>
  <c r="H240" i="29"/>
  <c r="F73" i="29"/>
  <c r="F72" i="29"/>
  <c r="F83" i="29" s="1"/>
  <c r="H233" i="29"/>
  <c r="S130" i="29"/>
  <c r="F202" i="29"/>
  <c r="G202" i="29" s="1"/>
  <c r="H202" i="29" s="1"/>
  <c r="N233" i="29" s="1"/>
  <c r="F203" i="29"/>
  <c r="G203" i="29" s="1"/>
  <c r="H203" i="29" s="1"/>
  <c r="N234" i="29" s="1"/>
  <c r="S131" i="29"/>
  <c r="N172" i="29"/>
  <c r="O172" i="29" s="1"/>
  <c r="N176" i="29"/>
  <c r="O176" i="29" s="1"/>
  <c r="N180" i="29"/>
  <c r="O180" i="29" s="1"/>
  <c r="H234" i="29"/>
  <c r="E73" i="29"/>
  <c r="E72" i="29"/>
  <c r="E70" i="29"/>
  <c r="E71" i="29"/>
  <c r="F87" i="29"/>
  <c r="I87" i="29" s="1"/>
  <c r="F201" i="29"/>
  <c r="G201" i="29" s="1"/>
  <c r="H201" i="29" s="1"/>
  <c r="N232" i="29" s="1"/>
  <c r="S129" i="29"/>
  <c r="F207" i="29"/>
  <c r="G207" i="29" s="1"/>
  <c r="H207" i="29" s="1"/>
  <c r="N238" i="29" s="1"/>
  <c r="S135" i="29"/>
  <c r="N174" i="29"/>
  <c r="O174" i="29" s="1"/>
  <c r="N178" i="29"/>
  <c r="O178" i="29" s="1"/>
  <c r="I155" i="29"/>
  <c r="M155" i="29" s="1"/>
  <c r="I151" i="29"/>
  <c r="M151" i="29" s="1"/>
  <c r="I157" i="29"/>
  <c r="M157" i="29" s="1"/>
  <c r="I153" i="29"/>
  <c r="M153" i="29" s="1"/>
  <c r="I149" i="29"/>
  <c r="M149" i="29" s="1"/>
  <c r="I154" i="29"/>
  <c r="M154" i="29" s="1"/>
  <c r="N173" i="29"/>
  <c r="O173" i="29" s="1"/>
  <c r="N177" i="29"/>
  <c r="O177" i="29" s="1"/>
  <c r="N204" i="29"/>
  <c r="O204" i="29" s="1"/>
  <c r="N207" i="29"/>
  <c r="O207" i="29" s="1"/>
  <c r="S137" i="29"/>
  <c r="N175" i="29"/>
  <c r="O175" i="29" s="1"/>
  <c r="N179" i="29"/>
  <c r="O179" i="29" s="1"/>
  <c r="N203" i="29"/>
  <c r="O203" i="29" s="1"/>
  <c r="H205" i="29"/>
  <c r="N236" i="29" s="1"/>
  <c r="F71" i="23"/>
  <c r="F86" i="23" s="1"/>
  <c r="I86" i="23" s="1"/>
  <c r="K86" i="23" s="1"/>
  <c r="E70" i="23"/>
  <c r="E72" i="23"/>
  <c r="E71" i="23"/>
  <c r="E70" i="17"/>
  <c r="E72" i="17"/>
  <c r="F70" i="17"/>
  <c r="E71" i="17"/>
  <c r="F86" i="24"/>
  <c r="I86" i="24" s="1"/>
  <c r="K86" i="24" s="1"/>
  <c r="F71" i="24"/>
  <c r="F83" i="24"/>
  <c r="F87" i="24"/>
  <c r="I87" i="24" s="1"/>
  <c r="K87" i="24" s="1"/>
  <c r="E70" i="24"/>
  <c r="E72" i="24"/>
  <c r="F84" i="24"/>
  <c r="I84" i="24" s="1"/>
  <c r="K84" i="24" s="1"/>
  <c r="F85" i="24"/>
  <c r="I85" i="24" s="1"/>
  <c r="K85" i="24" s="1"/>
  <c r="E71" i="24"/>
  <c r="L241" i="28"/>
  <c r="P241" i="28" s="1"/>
  <c r="I241" i="28"/>
  <c r="L240" i="28"/>
  <c r="P240" i="28" s="1"/>
  <c r="I240" i="28"/>
  <c r="L239" i="28"/>
  <c r="P239" i="28" s="1"/>
  <c r="J239" i="28"/>
  <c r="I239" i="28"/>
  <c r="L238" i="28"/>
  <c r="P238" i="28" s="1"/>
  <c r="J238" i="28"/>
  <c r="I238" i="28"/>
  <c r="L237" i="28"/>
  <c r="P237" i="28" s="1"/>
  <c r="I237" i="28"/>
  <c r="L236" i="28"/>
  <c r="P236" i="28" s="1"/>
  <c r="I236" i="28"/>
  <c r="L235" i="28"/>
  <c r="P235" i="28" s="1"/>
  <c r="J235" i="28"/>
  <c r="I235" i="28"/>
  <c r="L234" i="28"/>
  <c r="P234" i="28" s="1"/>
  <c r="I234" i="28"/>
  <c r="L233" i="28"/>
  <c r="P233" i="28" s="1"/>
  <c r="I233" i="28"/>
  <c r="L232" i="28"/>
  <c r="P232" i="28" s="1"/>
  <c r="I232" i="28"/>
  <c r="B229" i="28"/>
  <c r="H228" i="28"/>
  <c r="B225" i="28"/>
  <c r="B224" i="28"/>
  <c r="D223" i="28"/>
  <c r="B223" i="28"/>
  <c r="D222" i="28"/>
  <c r="B222" i="28"/>
  <c r="B221" i="28"/>
  <c r="Q210" i="28"/>
  <c r="L210" i="28"/>
  <c r="N210" i="28" s="1"/>
  <c r="O210" i="28" s="1"/>
  <c r="Q209" i="28"/>
  <c r="N209" i="28"/>
  <c r="O209" i="28" s="1"/>
  <c r="L209" i="28"/>
  <c r="Q208" i="28"/>
  <c r="L208" i="28"/>
  <c r="N208" i="28" s="1"/>
  <c r="O208" i="28" s="1"/>
  <c r="Q207" i="28"/>
  <c r="L207" i="28"/>
  <c r="Q206" i="28"/>
  <c r="L206" i="28"/>
  <c r="Q205" i="28"/>
  <c r="L205" i="28"/>
  <c r="Q204" i="28"/>
  <c r="L204" i="28"/>
  <c r="N204" i="28" s="1"/>
  <c r="O204" i="28" s="1"/>
  <c r="F204" i="28"/>
  <c r="G204" i="28" s="1"/>
  <c r="Q203" i="28"/>
  <c r="L203" i="28"/>
  <c r="N203" i="28" s="1"/>
  <c r="O203" i="28" s="1"/>
  <c r="Q202" i="28"/>
  <c r="L202" i="28"/>
  <c r="N202" i="28" s="1"/>
  <c r="O202" i="28" s="1"/>
  <c r="B202" i="28"/>
  <c r="Q201" i="28"/>
  <c r="L201" i="28"/>
  <c r="B201" i="28"/>
  <c r="M201" i="28" s="1"/>
  <c r="B200" i="28"/>
  <c r="N205" i="28" s="1"/>
  <c r="O205" i="28" s="1"/>
  <c r="R192" i="28"/>
  <c r="R191" i="28"/>
  <c r="R190" i="28"/>
  <c r="R189" i="28"/>
  <c r="R188" i="28"/>
  <c r="R187" i="28"/>
  <c r="R186" i="28"/>
  <c r="R185" i="28"/>
  <c r="R184" i="28"/>
  <c r="R183" i="28"/>
  <c r="L180" i="28"/>
  <c r="L179" i="28"/>
  <c r="N179" i="28" s="1"/>
  <c r="O179" i="28" s="1"/>
  <c r="L178" i="28"/>
  <c r="L177" i="28"/>
  <c r="N177" i="28" s="1"/>
  <c r="O177" i="28" s="1"/>
  <c r="L176" i="28"/>
  <c r="N176" i="28" s="1"/>
  <c r="O176" i="28" s="1"/>
  <c r="L175" i="28"/>
  <c r="N174" i="28"/>
  <c r="O174" i="28" s="1"/>
  <c r="L174" i="28"/>
  <c r="L173" i="28"/>
  <c r="L172" i="28"/>
  <c r="B172" i="28"/>
  <c r="M171" i="28"/>
  <c r="L171" i="28"/>
  <c r="B171" i="28"/>
  <c r="B170" i="28"/>
  <c r="AD169" i="28"/>
  <c r="AB169" i="28"/>
  <c r="Z169" i="28"/>
  <c r="AD168" i="28"/>
  <c r="AB168" i="28"/>
  <c r="Z168" i="28"/>
  <c r="AD167" i="28"/>
  <c r="AB167" i="28"/>
  <c r="Z167" i="28"/>
  <c r="AD166" i="28"/>
  <c r="AB166" i="28"/>
  <c r="Z166" i="28"/>
  <c r="AD165" i="28"/>
  <c r="AB165" i="28"/>
  <c r="Z165" i="28"/>
  <c r="AD164" i="28"/>
  <c r="AB164" i="28"/>
  <c r="Z164" i="28"/>
  <c r="AD163" i="28"/>
  <c r="AB163" i="28"/>
  <c r="Z163" i="28"/>
  <c r="AD162" i="28"/>
  <c r="AB162" i="28"/>
  <c r="Z162" i="28"/>
  <c r="AD161" i="28"/>
  <c r="AB161" i="28"/>
  <c r="Z161" i="28"/>
  <c r="AD160" i="28"/>
  <c r="AB160" i="28"/>
  <c r="Z160" i="28"/>
  <c r="H149" i="28"/>
  <c r="I154" i="28" s="1"/>
  <c r="M154" i="28" s="1"/>
  <c r="R147" i="28"/>
  <c r="Q147" i="28"/>
  <c r="J241" i="28"/>
  <c r="K138" i="28"/>
  <c r="I138" i="28"/>
  <c r="G138" i="28"/>
  <c r="J240" i="28"/>
  <c r="K137" i="28"/>
  <c r="I137" i="28"/>
  <c r="G137" i="28"/>
  <c r="H240" i="28" s="1"/>
  <c r="I136" i="28"/>
  <c r="K136" i="28" s="1"/>
  <c r="G136" i="28"/>
  <c r="H239" i="28" s="1"/>
  <c r="I135" i="28"/>
  <c r="K135" i="28" s="1"/>
  <c r="G135" i="28"/>
  <c r="H238" i="28" s="1"/>
  <c r="J237" i="28"/>
  <c r="K134" i="28"/>
  <c r="I134" i="28"/>
  <c r="G134" i="28"/>
  <c r="H237" i="28" s="1"/>
  <c r="J236" i="28"/>
  <c r="K133" i="28"/>
  <c r="I133" i="28"/>
  <c r="G133" i="28"/>
  <c r="S132" i="28"/>
  <c r="I132" i="28"/>
  <c r="K132" i="28" s="1"/>
  <c r="G132" i="28"/>
  <c r="H235" i="28" s="1"/>
  <c r="S131" i="28"/>
  <c r="J234" i="28"/>
  <c r="I131" i="28"/>
  <c r="K131" i="28" s="1"/>
  <c r="G131" i="28"/>
  <c r="J233" i="28"/>
  <c r="I130" i="28"/>
  <c r="K130" i="28" s="1"/>
  <c r="G130" i="28"/>
  <c r="J232" i="28"/>
  <c r="K129" i="28"/>
  <c r="I129" i="28"/>
  <c r="G129" i="28"/>
  <c r="J110" i="28"/>
  <c r="G110" i="28"/>
  <c r="H110" i="28" s="1"/>
  <c r="J109" i="28"/>
  <c r="G109" i="28"/>
  <c r="H109" i="28" s="1"/>
  <c r="J108" i="28"/>
  <c r="H108" i="28"/>
  <c r="G108" i="28"/>
  <c r="J107" i="28"/>
  <c r="G107" i="28"/>
  <c r="H107" i="28" s="1"/>
  <c r="J106" i="28"/>
  <c r="G106" i="28"/>
  <c r="H106" i="28" s="1"/>
  <c r="J105" i="28"/>
  <c r="G105" i="28"/>
  <c r="H105" i="28" s="1"/>
  <c r="J104" i="28"/>
  <c r="H104" i="28"/>
  <c r="G104" i="28"/>
  <c r="J103" i="28"/>
  <c r="G103" i="28"/>
  <c r="H103" i="28" s="1"/>
  <c r="J102" i="28"/>
  <c r="G102" i="28"/>
  <c r="H102" i="28" s="1"/>
  <c r="J101" i="28"/>
  <c r="G101" i="28"/>
  <c r="H101" i="28" s="1"/>
  <c r="J87" i="28"/>
  <c r="I87" i="28"/>
  <c r="D110" i="28" s="1"/>
  <c r="F138" i="28" s="1"/>
  <c r="D87" i="28"/>
  <c r="J86" i="28"/>
  <c r="I86" i="28"/>
  <c r="D109" i="28" s="1"/>
  <c r="F137" i="28" s="1"/>
  <c r="D86" i="28"/>
  <c r="J85" i="28"/>
  <c r="I85" i="28"/>
  <c r="D108" i="28" s="1"/>
  <c r="D85" i="28"/>
  <c r="J84" i="28"/>
  <c r="I84" i="28"/>
  <c r="D107" i="28" s="1"/>
  <c r="F135" i="28" s="1"/>
  <c r="D84" i="28"/>
  <c r="J83" i="28"/>
  <c r="I83" i="28"/>
  <c r="D106" i="28" s="1"/>
  <c r="D83" i="28"/>
  <c r="J82" i="28"/>
  <c r="I82" i="28"/>
  <c r="D105" i="28" s="1"/>
  <c r="D82" i="28"/>
  <c r="J81" i="28"/>
  <c r="I81" i="28"/>
  <c r="D104" i="28" s="1"/>
  <c r="D81" i="28"/>
  <c r="J80" i="28"/>
  <c r="I80" i="28"/>
  <c r="D103" i="28" s="1"/>
  <c r="D80" i="28"/>
  <c r="J79" i="28"/>
  <c r="I79" i="28"/>
  <c r="D102" i="28" s="1"/>
  <c r="D79" i="28"/>
  <c r="J78" i="28"/>
  <c r="D101" i="28"/>
  <c r="D78" i="28"/>
  <c r="E39" i="28"/>
  <c r="E38" i="28"/>
  <c r="E37" i="28"/>
  <c r="E36" i="28"/>
  <c r="E35" i="28"/>
  <c r="E34" i="28"/>
  <c r="E33" i="28"/>
  <c r="E32" i="28"/>
  <c r="E31" i="28"/>
  <c r="E30" i="28"/>
  <c r="D20" i="28"/>
  <c r="C20" i="28"/>
  <c r="Q10" i="28"/>
  <c r="P10" i="28"/>
  <c r="D232" i="31" l="1"/>
  <c r="R129" i="31"/>
  <c r="C129" i="31"/>
  <c r="P105" i="31"/>
  <c r="Q105" i="31" s="1"/>
  <c r="K105" i="31"/>
  <c r="E239" i="31"/>
  <c r="K239" i="31" s="1"/>
  <c r="H136" i="31"/>
  <c r="P173" i="31"/>
  <c r="Q173" i="31" s="1"/>
  <c r="R173" i="31" s="1"/>
  <c r="S173" i="31" s="1"/>
  <c r="N103" i="31"/>
  <c r="O103" i="31" s="1"/>
  <c r="P177" i="31"/>
  <c r="Q177" i="31" s="1"/>
  <c r="R177" i="31" s="1"/>
  <c r="S177" i="31" s="1"/>
  <c r="N107" i="31"/>
  <c r="O107" i="31" s="1"/>
  <c r="D240" i="31"/>
  <c r="R137" i="31"/>
  <c r="C137" i="31"/>
  <c r="P180" i="31"/>
  <c r="Q180" i="31" s="1"/>
  <c r="R180" i="31" s="1"/>
  <c r="S180" i="31" s="1"/>
  <c r="N110" i="31"/>
  <c r="O110" i="31" s="1"/>
  <c r="P175" i="31"/>
  <c r="Q175" i="31" s="1"/>
  <c r="R175" i="31" s="1"/>
  <c r="S175" i="31" s="1"/>
  <c r="N105" i="31"/>
  <c r="O105" i="31" s="1"/>
  <c r="R138" i="31"/>
  <c r="C138" i="31"/>
  <c r="D241" i="31"/>
  <c r="R134" i="31"/>
  <c r="C134" i="31"/>
  <c r="D237" i="31"/>
  <c r="K108" i="31"/>
  <c r="P108" i="31"/>
  <c r="Q108" i="31" s="1"/>
  <c r="D236" i="31"/>
  <c r="C133" i="31"/>
  <c r="R133" i="31"/>
  <c r="P101" i="31"/>
  <c r="Q101" i="31" s="1"/>
  <c r="K101" i="31"/>
  <c r="P102" i="31"/>
  <c r="Q102" i="31" s="1"/>
  <c r="K102" i="31"/>
  <c r="H137" i="31"/>
  <c r="E240" i="31"/>
  <c r="K240" i="31" s="1"/>
  <c r="E235" i="31"/>
  <c r="K235" i="31" s="1"/>
  <c r="H132" i="31"/>
  <c r="P106" i="31"/>
  <c r="Q106" i="31" s="1"/>
  <c r="K106" i="31"/>
  <c r="C135" i="31"/>
  <c r="D238" i="31"/>
  <c r="R135" i="31"/>
  <c r="R130" i="31"/>
  <c r="D233" i="31"/>
  <c r="C130" i="31"/>
  <c r="K109" i="31"/>
  <c r="P109" i="31"/>
  <c r="Q109" i="31" s="1"/>
  <c r="H138" i="31"/>
  <c r="E241" i="31"/>
  <c r="K241" i="31" s="1"/>
  <c r="P103" i="31"/>
  <c r="Q103" i="31" s="1"/>
  <c r="K103" i="31"/>
  <c r="P107" i="31"/>
  <c r="Q107" i="31" s="1"/>
  <c r="K107" i="31"/>
  <c r="E236" i="31"/>
  <c r="K236" i="31" s="1"/>
  <c r="H133" i="31"/>
  <c r="K104" i="31"/>
  <c r="P104" i="31"/>
  <c r="Q104" i="31" s="1"/>
  <c r="D235" i="31"/>
  <c r="R132" i="31"/>
  <c r="C132" i="31"/>
  <c r="P110" i="31"/>
  <c r="Q110" i="31" s="1"/>
  <c r="K110" i="31"/>
  <c r="D234" i="31"/>
  <c r="R131" i="31"/>
  <c r="C131" i="31"/>
  <c r="P174" i="31"/>
  <c r="Q174" i="31" s="1"/>
  <c r="R174" i="31" s="1"/>
  <c r="S174" i="31" s="1"/>
  <c r="N104" i="31"/>
  <c r="O104" i="31" s="1"/>
  <c r="E232" i="31"/>
  <c r="K232" i="31" s="1"/>
  <c r="H129" i="31"/>
  <c r="H134" i="31"/>
  <c r="E237" i="31"/>
  <c r="K237" i="31" s="1"/>
  <c r="P178" i="31"/>
  <c r="Q178" i="31" s="1"/>
  <c r="R178" i="31" s="1"/>
  <c r="S178" i="31" s="1"/>
  <c r="N108" i="31"/>
  <c r="O108" i="31" s="1"/>
  <c r="P171" i="31"/>
  <c r="Q171" i="31" s="1"/>
  <c r="R171" i="31" s="1"/>
  <c r="S171" i="31" s="1"/>
  <c r="N101" i="31"/>
  <c r="O101" i="31" s="1"/>
  <c r="E234" i="31"/>
  <c r="K234" i="31" s="1"/>
  <c r="H131" i="31"/>
  <c r="P172" i="31"/>
  <c r="Q172" i="31" s="1"/>
  <c r="R172" i="31" s="1"/>
  <c r="S172" i="31" s="1"/>
  <c r="N102" i="31"/>
  <c r="O102" i="31" s="1"/>
  <c r="P176" i="31"/>
  <c r="Q176" i="31" s="1"/>
  <c r="R176" i="31" s="1"/>
  <c r="S176" i="31" s="1"/>
  <c r="N106" i="31"/>
  <c r="O106" i="31" s="1"/>
  <c r="E238" i="31"/>
  <c r="K238" i="31" s="1"/>
  <c r="H135" i="31"/>
  <c r="E233" i="31"/>
  <c r="K233" i="31" s="1"/>
  <c r="H130" i="31"/>
  <c r="P179" i="31"/>
  <c r="Q179" i="31" s="1"/>
  <c r="R179" i="31" s="1"/>
  <c r="S179" i="31" s="1"/>
  <c r="N109" i="31"/>
  <c r="O109" i="31" s="1"/>
  <c r="D239" i="31"/>
  <c r="R136" i="31"/>
  <c r="C136" i="31"/>
  <c r="I83" i="30"/>
  <c r="D106" i="30" s="1"/>
  <c r="K82" i="30"/>
  <c r="D105" i="30"/>
  <c r="D104" i="30"/>
  <c r="K81" i="30"/>
  <c r="K87" i="30"/>
  <c r="D110" i="30"/>
  <c r="F135" i="30"/>
  <c r="C107" i="30"/>
  <c r="K80" i="30"/>
  <c r="D103" i="30"/>
  <c r="K78" i="30"/>
  <c r="D101" i="30"/>
  <c r="D102" i="30"/>
  <c r="K79" i="30"/>
  <c r="F136" i="30"/>
  <c r="C108" i="30"/>
  <c r="F137" i="30"/>
  <c r="C109" i="30"/>
  <c r="F85" i="29"/>
  <c r="I85" i="29" s="1"/>
  <c r="F84" i="29"/>
  <c r="I84" i="29" s="1"/>
  <c r="F86" i="29"/>
  <c r="I86" i="29" s="1"/>
  <c r="D109" i="29" s="1"/>
  <c r="K87" i="29"/>
  <c r="D110" i="29"/>
  <c r="D107" i="29"/>
  <c r="K84" i="29"/>
  <c r="E83" i="29"/>
  <c r="I83" i="29" s="1"/>
  <c r="E79" i="29"/>
  <c r="I79" i="29" s="1"/>
  <c r="E81" i="29"/>
  <c r="I81" i="29" s="1"/>
  <c r="E80" i="29"/>
  <c r="I80" i="29" s="1"/>
  <c r="E78" i="29"/>
  <c r="I78" i="29" s="1"/>
  <c r="E82" i="29"/>
  <c r="I82" i="29" s="1"/>
  <c r="K86" i="29"/>
  <c r="D108" i="29"/>
  <c r="K85" i="29"/>
  <c r="N178" i="28"/>
  <c r="O178" i="28" s="1"/>
  <c r="F209" i="28"/>
  <c r="G209" i="28" s="1"/>
  <c r="H209" i="28" s="1"/>
  <c r="N240" i="28" s="1"/>
  <c r="S136" i="28"/>
  <c r="F208" i="28"/>
  <c r="G208" i="28" s="1"/>
  <c r="S135" i="28"/>
  <c r="F85" i="23"/>
  <c r="I85" i="23" s="1"/>
  <c r="K85" i="23" s="1"/>
  <c r="F87" i="23"/>
  <c r="I87" i="23" s="1"/>
  <c r="K87" i="23" s="1"/>
  <c r="F84" i="23"/>
  <c r="I84" i="23" s="1"/>
  <c r="K84" i="23" s="1"/>
  <c r="F83" i="23"/>
  <c r="E83" i="23"/>
  <c r="I83" i="23" s="1"/>
  <c r="K83" i="23" s="1"/>
  <c r="E79" i="23"/>
  <c r="I79" i="23" s="1"/>
  <c r="K79" i="23" s="1"/>
  <c r="E82" i="23"/>
  <c r="I82" i="23" s="1"/>
  <c r="K82" i="23" s="1"/>
  <c r="E78" i="23"/>
  <c r="I78" i="23" s="1"/>
  <c r="K78" i="23" s="1"/>
  <c r="E81" i="23"/>
  <c r="I81" i="23" s="1"/>
  <c r="K81" i="23" s="1"/>
  <c r="E80" i="23"/>
  <c r="I80" i="23" s="1"/>
  <c r="K80" i="23" s="1"/>
  <c r="F86" i="17"/>
  <c r="I86" i="17" s="1"/>
  <c r="K86" i="17" s="1"/>
  <c r="F85" i="17"/>
  <c r="I85" i="17" s="1"/>
  <c r="K85" i="17" s="1"/>
  <c r="F84" i="17"/>
  <c r="I84" i="17" s="1"/>
  <c r="K84" i="17" s="1"/>
  <c r="F87" i="17"/>
  <c r="I87" i="17" s="1"/>
  <c r="K87" i="17" s="1"/>
  <c r="F83" i="17"/>
  <c r="E83" i="17"/>
  <c r="I83" i="17" s="1"/>
  <c r="K83" i="17" s="1"/>
  <c r="E79" i="17"/>
  <c r="I79" i="17" s="1"/>
  <c r="K79" i="17" s="1"/>
  <c r="E82" i="17"/>
  <c r="I82" i="17" s="1"/>
  <c r="K82" i="17" s="1"/>
  <c r="E78" i="17"/>
  <c r="I78" i="17" s="1"/>
  <c r="K78" i="17" s="1"/>
  <c r="E81" i="17"/>
  <c r="I81" i="17" s="1"/>
  <c r="K81" i="17" s="1"/>
  <c r="E80" i="17"/>
  <c r="I80" i="17" s="1"/>
  <c r="K80" i="17" s="1"/>
  <c r="E83" i="24"/>
  <c r="I83" i="24" s="1"/>
  <c r="K83" i="24" s="1"/>
  <c r="E79" i="24"/>
  <c r="I79" i="24" s="1"/>
  <c r="K79" i="24" s="1"/>
  <c r="E82" i="24"/>
  <c r="I82" i="24" s="1"/>
  <c r="K82" i="24" s="1"/>
  <c r="E78" i="24"/>
  <c r="I78" i="24" s="1"/>
  <c r="K78" i="24" s="1"/>
  <c r="E81" i="24"/>
  <c r="I81" i="24" s="1"/>
  <c r="K81" i="24" s="1"/>
  <c r="E80" i="24"/>
  <c r="I80" i="24" s="1"/>
  <c r="K80" i="24" s="1"/>
  <c r="C107" i="28"/>
  <c r="F107" i="28" s="1"/>
  <c r="P107" i="28" s="1"/>
  <c r="Q107" i="28" s="1"/>
  <c r="F130" i="28"/>
  <c r="C102" i="28"/>
  <c r="F131" i="28"/>
  <c r="C103" i="28"/>
  <c r="F134" i="28"/>
  <c r="C106" i="28"/>
  <c r="F129" i="28"/>
  <c r="D129" i="28" s="1"/>
  <c r="C129" i="28" s="1"/>
  <c r="C101" i="28"/>
  <c r="F133" i="28"/>
  <c r="C105" i="28"/>
  <c r="G240" i="28"/>
  <c r="F240" i="28" s="1"/>
  <c r="E137" i="28"/>
  <c r="E240" i="28" s="1"/>
  <c r="K240" i="28" s="1"/>
  <c r="F179" i="28"/>
  <c r="G179" i="28" s="1"/>
  <c r="H179" i="28" s="1"/>
  <c r="M240" i="28" s="1"/>
  <c r="D137" i="28"/>
  <c r="F132" i="28"/>
  <c r="C104" i="28"/>
  <c r="F136" i="28"/>
  <c r="C108" i="28"/>
  <c r="E138" i="28"/>
  <c r="E241" i="28" s="1"/>
  <c r="G241" i="28"/>
  <c r="F241" i="28" s="1"/>
  <c r="F180" i="28"/>
  <c r="G180" i="28" s="1"/>
  <c r="H180" i="28" s="1"/>
  <c r="M241" i="28" s="1"/>
  <c r="D138" i="28"/>
  <c r="C110" i="28"/>
  <c r="F177" i="28"/>
  <c r="G177" i="28" s="1"/>
  <c r="H177" i="28" s="1"/>
  <c r="M238" i="28" s="1"/>
  <c r="E135" i="28"/>
  <c r="D135" i="28"/>
  <c r="G238" i="28"/>
  <c r="F238" i="28" s="1"/>
  <c r="F210" i="28"/>
  <c r="G210" i="28" s="1"/>
  <c r="H210" i="28" s="1"/>
  <c r="N241" i="28" s="1"/>
  <c r="S138" i="28"/>
  <c r="I156" i="28"/>
  <c r="M156" i="28" s="1"/>
  <c r="I152" i="28"/>
  <c r="M152" i="28" s="1"/>
  <c r="I157" i="28"/>
  <c r="M157" i="28" s="1"/>
  <c r="I153" i="28"/>
  <c r="M153" i="28" s="1"/>
  <c r="I149" i="28"/>
  <c r="M149" i="28" s="1"/>
  <c r="I151" i="28"/>
  <c r="M151" i="28" s="1"/>
  <c r="I158" i="28"/>
  <c r="M158" i="28" s="1"/>
  <c r="I150" i="28"/>
  <c r="M150" i="28" s="1"/>
  <c r="C109" i="28"/>
  <c r="F201" i="28"/>
  <c r="G201" i="28" s="1"/>
  <c r="H201" i="28" s="1"/>
  <c r="N232" i="28" s="1"/>
  <c r="H232" i="28"/>
  <c r="S129" i="28"/>
  <c r="I155" i="28"/>
  <c r="M155" i="28" s="1"/>
  <c r="H241" i="28"/>
  <c r="F202" i="28"/>
  <c r="G202" i="28" s="1"/>
  <c r="H202" i="28" s="1"/>
  <c r="N233" i="28" s="1"/>
  <c r="H233" i="28"/>
  <c r="S130" i="28"/>
  <c r="S133" i="28"/>
  <c r="F205" i="28"/>
  <c r="G205" i="28" s="1"/>
  <c r="H205" i="28" s="1"/>
  <c r="N236" i="28" s="1"/>
  <c r="H236" i="28"/>
  <c r="H208" i="28"/>
  <c r="N239" i="28" s="1"/>
  <c r="S137" i="28"/>
  <c r="N172" i="28"/>
  <c r="O172" i="28" s="1"/>
  <c r="N175" i="28"/>
  <c r="O175" i="28" s="1"/>
  <c r="N180" i="28"/>
  <c r="O180" i="28" s="1"/>
  <c r="H234" i="28"/>
  <c r="F203" i="28"/>
  <c r="G203" i="28" s="1"/>
  <c r="H203" i="28" s="1"/>
  <c r="N234" i="28" s="1"/>
  <c r="F206" i="28"/>
  <c r="G206" i="28" s="1"/>
  <c r="H206" i="28" s="1"/>
  <c r="N237" i="28" s="1"/>
  <c r="S134" i="28"/>
  <c r="N171" i="28"/>
  <c r="O171" i="28" s="1"/>
  <c r="N173" i="28"/>
  <c r="O173" i="28" s="1"/>
  <c r="N201" i="28"/>
  <c r="O201" i="28" s="1"/>
  <c r="H204" i="28"/>
  <c r="N235" i="28" s="1"/>
  <c r="N206" i="28"/>
  <c r="O206" i="28" s="1"/>
  <c r="N207" i="28"/>
  <c r="O207" i="28" s="1"/>
  <c r="F207" i="28"/>
  <c r="G207" i="28" s="1"/>
  <c r="H207" i="28" s="1"/>
  <c r="N238" i="28" s="1"/>
  <c r="H228" i="24"/>
  <c r="H228" i="17"/>
  <c r="H228" i="23"/>
  <c r="C129" i="23"/>
  <c r="D129" i="23"/>
  <c r="P152" i="31" l="1"/>
  <c r="C235" i="31"/>
  <c r="C238" i="31"/>
  <c r="P155" i="31"/>
  <c r="C236" i="31"/>
  <c r="P153" i="31"/>
  <c r="C241" i="31"/>
  <c r="P158" i="31"/>
  <c r="C237" i="31"/>
  <c r="P154" i="31"/>
  <c r="C232" i="31"/>
  <c r="P149" i="31"/>
  <c r="P156" i="31"/>
  <c r="C239" i="31"/>
  <c r="C240" i="31"/>
  <c r="P157" i="31"/>
  <c r="C234" i="31"/>
  <c r="P151" i="31"/>
  <c r="C233" i="31"/>
  <c r="P150" i="31"/>
  <c r="K83" i="30"/>
  <c r="M108" i="30"/>
  <c r="F108" i="30"/>
  <c r="C101" i="30"/>
  <c r="F129" i="30"/>
  <c r="M109" i="30"/>
  <c r="F109" i="30"/>
  <c r="C105" i="30"/>
  <c r="F133" i="30"/>
  <c r="F130" i="30"/>
  <c r="C102" i="30"/>
  <c r="F138" i="30"/>
  <c r="C110" i="30"/>
  <c r="F132" i="30"/>
  <c r="C104" i="30"/>
  <c r="G239" i="30"/>
  <c r="F239" i="30" s="1"/>
  <c r="E136" i="30"/>
  <c r="F178" i="30"/>
  <c r="G178" i="30" s="1"/>
  <c r="H178" i="30" s="1"/>
  <c r="M239" i="30" s="1"/>
  <c r="D136" i="30"/>
  <c r="M107" i="30"/>
  <c r="F107" i="30"/>
  <c r="D137" i="30"/>
  <c r="G240" i="30"/>
  <c r="F240" i="30" s="1"/>
  <c r="E137" i="30"/>
  <c r="F179" i="30"/>
  <c r="G179" i="30" s="1"/>
  <c r="H179" i="30" s="1"/>
  <c r="M240" i="30" s="1"/>
  <c r="C103" i="30"/>
  <c r="F131" i="30"/>
  <c r="D135" i="30"/>
  <c r="G238" i="30"/>
  <c r="F238" i="30" s="1"/>
  <c r="E135" i="30"/>
  <c r="F177" i="30"/>
  <c r="G177" i="30" s="1"/>
  <c r="H177" i="30" s="1"/>
  <c r="M238" i="30" s="1"/>
  <c r="F134" i="30"/>
  <c r="C106" i="30"/>
  <c r="D105" i="29"/>
  <c r="K82" i="29"/>
  <c r="K80" i="29"/>
  <c r="D103" i="29"/>
  <c r="C108" i="29"/>
  <c r="F136" i="29"/>
  <c r="F137" i="29"/>
  <c r="C109" i="29"/>
  <c r="D104" i="29"/>
  <c r="K81" i="29"/>
  <c r="F135" i="29"/>
  <c r="C107" i="29"/>
  <c r="D102" i="29"/>
  <c r="K79" i="29"/>
  <c r="F138" i="29"/>
  <c r="C110" i="29"/>
  <c r="D101" i="29"/>
  <c r="K78" i="29"/>
  <c r="K83" i="29"/>
  <c r="D106" i="29"/>
  <c r="H137" i="28"/>
  <c r="M107" i="28"/>
  <c r="P177" i="28" s="1"/>
  <c r="Q177" i="28" s="1"/>
  <c r="R177" i="28" s="1"/>
  <c r="S177" i="28" s="1"/>
  <c r="K107" i="28"/>
  <c r="H138" i="28"/>
  <c r="K241" i="28"/>
  <c r="G235" i="28"/>
  <c r="F235" i="28" s="1"/>
  <c r="F174" i="28"/>
  <c r="G174" i="28" s="1"/>
  <c r="H174" i="28" s="1"/>
  <c r="M235" i="28" s="1"/>
  <c r="E132" i="28"/>
  <c r="D132" i="28"/>
  <c r="F173" i="28"/>
  <c r="G173" i="28" s="1"/>
  <c r="H173" i="28" s="1"/>
  <c r="M234" i="28" s="1"/>
  <c r="E131" i="28"/>
  <c r="G234" i="28"/>
  <c r="F234" i="28" s="1"/>
  <c r="D131" i="28"/>
  <c r="D136" i="28"/>
  <c r="G239" i="28"/>
  <c r="F239" i="28" s="1"/>
  <c r="E136" i="28"/>
  <c r="F178" i="28"/>
  <c r="G178" i="28" s="1"/>
  <c r="H178" i="28" s="1"/>
  <c r="M239" i="28" s="1"/>
  <c r="E134" i="28"/>
  <c r="D134" i="28"/>
  <c r="F176" i="28"/>
  <c r="G176" i="28" s="1"/>
  <c r="H176" i="28" s="1"/>
  <c r="M237" i="28" s="1"/>
  <c r="G237" i="28"/>
  <c r="F237" i="28" s="1"/>
  <c r="C135" i="28"/>
  <c r="D238" i="28"/>
  <c r="R135" i="28"/>
  <c r="F110" i="28"/>
  <c r="M110" i="28"/>
  <c r="F104" i="28"/>
  <c r="M104" i="28"/>
  <c r="G236" i="28"/>
  <c r="F236" i="28" s="1"/>
  <c r="E133" i="28"/>
  <c r="F175" i="28"/>
  <c r="G175" i="28" s="1"/>
  <c r="H175" i="28" s="1"/>
  <c r="M236" i="28" s="1"/>
  <c r="D133" i="28"/>
  <c r="G232" i="28"/>
  <c r="F232" i="28" s="1"/>
  <c r="F171" i="28"/>
  <c r="G171" i="28" s="1"/>
  <c r="H171" i="28" s="1"/>
  <c r="M232" i="28" s="1"/>
  <c r="E129" i="28"/>
  <c r="F103" i="28"/>
  <c r="M103" i="28"/>
  <c r="F106" i="28"/>
  <c r="M106" i="28"/>
  <c r="F172" i="28"/>
  <c r="G172" i="28" s="1"/>
  <c r="H172" i="28" s="1"/>
  <c r="M233" i="28" s="1"/>
  <c r="E130" i="28"/>
  <c r="G233" i="28"/>
  <c r="F233" i="28" s="1"/>
  <c r="D130" i="28"/>
  <c r="R137" i="28"/>
  <c r="D240" i="28"/>
  <c r="C137" i="28"/>
  <c r="F105" i="28"/>
  <c r="M105" i="28"/>
  <c r="F101" i="28"/>
  <c r="M101" i="28"/>
  <c r="F109" i="28"/>
  <c r="M109" i="28"/>
  <c r="E238" i="28"/>
  <c r="K238" i="28" s="1"/>
  <c r="H135" i="28"/>
  <c r="D241" i="28"/>
  <c r="C138" i="28"/>
  <c r="R138" i="28"/>
  <c r="F108" i="28"/>
  <c r="M108" i="28"/>
  <c r="F102" i="28"/>
  <c r="M102" i="28"/>
  <c r="F102" i="17"/>
  <c r="F103" i="17"/>
  <c r="F104" i="17"/>
  <c r="F105" i="17"/>
  <c r="F106" i="17"/>
  <c r="F107" i="17"/>
  <c r="F108" i="17"/>
  <c r="F109" i="17"/>
  <c r="F110" i="17"/>
  <c r="F101" i="17"/>
  <c r="E238" i="30" l="1"/>
  <c r="K238" i="30" s="1"/>
  <c r="H135" i="30"/>
  <c r="R136" i="30"/>
  <c r="C136" i="30"/>
  <c r="D239" i="30"/>
  <c r="M110" i="30"/>
  <c r="F110" i="30"/>
  <c r="M101" i="30"/>
  <c r="F101" i="30"/>
  <c r="M103" i="30"/>
  <c r="F103" i="30"/>
  <c r="R137" i="30"/>
  <c r="D240" i="30"/>
  <c r="C137" i="30"/>
  <c r="M104" i="30"/>
  <c r="F104" i="30"/>
  <c r="K108" i="30"/>
  <c r="P108" i="30"/>
  <c r="Q108" i="30" s="1"/>
  <c r="E240" i="30"/>
  <c r="K240" i="30" s="1"/>
  <c r="H137" i="30"/>
  <c r="P177" i="30"/>
  <c r="Q177" i="30" s="1"/>
  <c r="R177" i="30" s="1"/>
  <c r="S177" i="30" s="1"/>
  <c r="N107" i="30"/>
  <c r="O107" i="30" s="1"/>
  <c r="M102" i="30"/>
  <c r="F102" i="30"/>
  <c r="M105" i="30"/>
  <c r="F105" i="30"/>
  <c r="G232" i="30"/>
  <c r="F232" i="30" s="1"/>
  <c r="F171" i="30"/>
  <c r="G171" i="30" s="1"/>
  <c r="H171" i="30" s="1"/>
  <c r="M232" i="30" s="1"/>
  <c r="D129" i="30"/>
  <c r="D131" i="30"/>
  <c r="G234" i="30"/>
  <c r="F234" i="30" s="1"/>
  <c r="F173" i="30"/>
  <c r="G173" i="30" s="1"/>
  <c r="H173" i="30" s="1"/>
  <c r="M234" i="30" s="1"/>
  <c r="E131" i="30"/>
  <c r="G233" i="30"/>
  <c r="F233" i="30" s="1"/>
  <c r="F172" i="30"/>
  <c r="G172" i="30" s="1"/>
  <c r="H172" i="30" s="1"/>
  <c r="M233" i="30" s="1"/>
  <c r="E130" i="30"/>
  <c r="D130" i="30"/>
  <c r="P109" i="30"/>
  <c r="Q109" i="30" s="1"/>
  <c r="K109" i="30"/>
  <c r="M106" i="30"/>
  <c r="F106" i="30"/>
  <c r="D138" i="30"/>
  <c r="E138" i="30"/>
  <c r="G241" i="30"/>
  <c r="F241" i="30" s="1"/>
  <c r="F180" i="30"/>
  <c r="G180" i="30" s="1"/>
  <c r="H180" i="30" s="1"/>
  <c r="M241" i="30" s="1"/>
  <c r="P179" i="30"/>
  <c r="Q179" i="30" s="1"/>
  <c r="R179" i="30" s="1"/>
  <c r="S179" i="30" s="1"/>
  <c r="N109" i="30"/>
  <c r="O109" i="30" s="1"/>
  <c r="D134" i="30"/>
  <c r="G237" i="30"/>
  <c r="F237" i="30" s="1"/>
  <c r="F176" i="30"/>
  <c r="G176" i="30" s="1"/>
  <c r="H176" i="30" s="1"/>
  <c r="M237" i="30" s="1"/>
  <c r="E134" i="30"/>
  <c r="D238" i="30"/>
  <c r="R135" i="30"/>
  <c r="C135" i="30"/>
  <c r="P107" i="30"/>
  <c r="Q107" i="30" s="1"/>
  <c r="K107" i="30"/>
  <c r="E239" i="30"/>
  <c r="K239" i="30" s="1"/>
  <c r="H136" i="30"/>
  <c r="G235" i="30"/>
  <c r="F235" i="30" s="1"/>
  <c r="D132" i="30"/>
  <c r="F174" i="30"/>
  <c r="G174" i="30" s="1"/>
  <c r="H174" i="30" s="1"/>
  <c r="M235" i="30" s="1"/>
  <c r="E132" i="30"/>
  <c r="D133" i="30"/>
  <c r="G236" i="30"/>
  <c r="F236" i="30" s="1"/>
  <c r="F175" i="30"/>
  <c r="G175" i="30" s="1"/>
  <c r="H175" i="30" s="1"/>
  <c r="M236" i="30" s="1"/>
  <c r="E133" i="30"/>
  <c r="P178" i="30"/>
  <c r="Q178" i="30" s="1"/>
  <c r="R178" i="30" s="1"/>
  <c r="S178" i="30" s="1"/>
  <c r="N108" i="30"/>
  <c r="O108" i="30" s="1"/>
  <c r="F134" i="29"/>
  <c r="C106" i="29"/>
  <c r="M110" i="29"/>
  <c r="F110" i="29"/>
  <c r="F130" i="29"/>
  <c r="C102" i="29"/>
  <c r="G240" i="29"/>
  <c r="F240" i="29" s="1"/>
  <c r="E137" i="29"/>
  <c r="F179" i="29"/>
  <c r="G179" i="29" s="1"/>
  <c r="H179" i="29" s="1"/>
  <c r="M240" i="29" s="1"/>
  <c r="D137" i="29"/>
  <c r="F131" i="29"/>
  <c r="C103" i="29"/>
  <c r="M107" i="29"/>
  <c r="F107" i="29"/>
  <c r="F132" i="29"/>
  <c r="C104" i="29"/>
  <c r="F178" i="29"/>
  <c r="G178" i="29" s="1"/>
  <c r="H178" i="29" s="1"/>
  <c r="M239" i="29" s="1"/>
  <c r="G239" i="29"/>
  <c r="F239" i="29" s="1"/>
  <c r="E136" i="29"/>
  <c r="D136" i="29"/>
  <c r="F180" i="29"/>
  <c r="G180" i="29" s="1"/>
  <c r="H180" i="29" s="1"/>
  <c r="M241" i="29" s="1"/>
  <c r="E138" i="29"/>
  <c r="G241" i="29"/>
  <c r="F241" i="29" s="1"/>
  <c r="D138" i="29"/>
  <c r="M109" i="29"/>
  <c r="F109" i="29"/>
  <c r="M108" i="29"/>
  <c r="F108" i="29"/>
  <c r="F129" i="29"/>
  <c r="C101" i="29"/>
  <c r="E135" i="29"/>
  <c r="G238" i="29"/>
  <c r="F238" i="29" s="1"/>
  <c r="F177" i="29"/>
  <c r="G177" i="29" s="1"/>
  <c r="H177" i="29" s="1"/>
  <c r="M238" i="29" s="1"/>
  <c r="D135" i="29"/>
  <c r="C105" i="29"/>
  <c r="F133" i="29"/>
  <c r="N107" i="28"/>
  <c r="O107" i="28" s="1"/>
  <c r="P158" i="28"/>
  <c r="C241" i="28"/>
  <c r="P179" i="28"/>
  <c r="Q179" i="28" s="1"/>
  <c r="R179" i="28" s="1"/>
  <c r="S179" i="28" s="1"/>
  <c r="N109" i="28"/>
  <c r="O109" i="28" s="1"/>
  <c r="E233" i="28"/>
  <c r="K233" i="28" s="1"/>
  <c r="H130" i="28"/>
  <c r="P173" i="28"/>
  <c r="Q173" i="28" s="1"/>
  <c r="R173" i="28" s="1"/>
  <c r="S173" i="28" s="1"/>
  <c r="N103" i="28"/>
  <c r="O103" i="28" s="1"/>
  <c r="H136" i="28"/>
  <c r="E239" i="28"/>
  <c r="K239" i="28" s="1"/>
  <c r="D235" i="28"/>
  <c r="C132" i="28"/>
  <c r="R132" i="28"/>
  <c r="K110" i="28"/>
  <c r="P110" i="28"/>
  <c r="Q110" i="28" s="1"/>
  <c r="K108" i="28"/>
  <c r="P108" i="28"/>
  <c r="Q108" i="28" s="1"/>
  <c r="P171" i="28"/>
  <c r="Q171" i="28" s="1"/>
  <c r="R171" i="28" s="1"/>
  <c r="S171" i="28" s="1"/>
  <c r="N101" i="28"/>
  <c r="O101" i="28" s="1"/>
  <c r="C240" i="28"/>
  <c r="P157" i="28"/>
  <c r="R130" i="28"/>
  <c r="C130" i="28"/>
  <c r="D233" i="28"/>
  <c r="P176" i="28"/>
  <c r="Q176" i="28" s="1"/>
  <c r="R176" i="28" s="1"/>
  <c r="S176" i="28" s="1"/>
  <c r="N106" i="28"/>
  <c r="O106" i="28" s="1"/>
  <c r="R129" i="28"/>
  <c r="D232" i="28"/>
  <c r="R133" i="28"/>
  <c r="C133" i="28"/>
  <c r="D236" i="28"/>
  <c r="P174" i="28"/>
  <c r="Q174" i="28" s="1"/>
  <c r="R174" i="28" s="1"/>
  <c r="S174" i="28" s="1"/>
  <c r="N104" i="28"/>
  <c r="O104" i="28" s="1"/>
  <c r="E237" i="28"/>
  <c r="K237" i="28" s="1"/>
  <c r="H134" i="28"/>
  <c r="D239" i="28"/>
  <c r="R136" i="28"/>
  <c r="C136" i="28"/>
  <c r="E234" i="28"/>
  <c r="K234" i="28" s="1"/>
  <c r="H131" i="28"/>
  <c r="K102" i="28"/>
  <c r="P102" i="28"/>
  <c r="Q102" i="28" s="1"/>
  <c r="P175" i="28"/>
  <c r="Q175" i="28" s="1"/>
  <c r="R175" i="28" s="1"/>
  <c r="S175" i="28" s="1"/>
  <c r="N105" i="28"/>
  <c r="O105" i="28" s="1"/>
  <c r="E236" i="28"/>
  <c r="K236" i="28" s="1"/>
  <c r="H133" i="28"/>
  <c r="P180" i="28"/>
  <c r="Q180" i="28" s="1"/>
  <c r="R180" i="28" s="1"/>
  <c r="S180" i="28" s="1"/>
  <c r="N110" i="28"/>
  <c r="O110" i="28" s="1"/>
  <c r="P155" i="28"/>
  <c r="C238" i="28"/>
  <c r="D234" i="28"/>
  <c r="R131" i="28"/>
  <c r="C131" i="28"/>
  <c r="P178" i="28"/>
  <c r="Q178" i="28" s="1"/>
  <c r="R178" i="28" s="1"/>
  <c r="S178" i="28" s="1"/>
  <c r="N108" i="28"/>
  <c r="O108" i="28" s="1"/>
  <c r="K109" i="28"/>
  <c r="P109" i="28"/>
  <c r="Q109" i="28" s="1"/>
  <c r="K105" i="28"/>
  <c r="P105" i="28"/>
  <c r="Q105" i="28" s="1"/>
  <c r="P103" i="28"/>
  <c r="Q103" i="28" s="1"/>
  <c r="K103" i="28"/>
  <c r="D237" i="28"/>
  <c r="C134" i="28"/>
  <c r="R134" i="28"/>
  <c r="E235" i="28"/>
  <c r="K235" i="28" s="1"/>
  <c r="H132" i="28"/>
  <c r="P172" i="28"/>
  <c r="Q172" i="28" s="1"/>
  <c r="R172" i="28" s="1"/>
  <c r="S172" i="28" s="1"/>
  <c r="N102" i="28"/>
  <c r="O102" i="28" s="1"/>
  <c r="K101" i="28"/>
  <c r="P101" i="28"/>
  <c r="Q101" i="28" s="1"/>
  <c r="P106" i="28"/>
  <c r="Q106" i="28" s="1"/>
  <c r="K106" i="28"/>
  <c r="E232" i="28"/>
  <c r="K232" i="28" s="1"/>
  <c r="H129" i="28"/>
  <c r="K104" i="28"/>
  <c r="P104" i="28"/>
  <c r="Q104" i="28" s="1"/>
  <c r="E235" i="30" l="1"/>
  <c r="K235" i="30" s="1"/>
  <c r="H132" i="30"/>
  <c r="C238" i="30"/>
  <c r="P155" i="30"/>
  <c r="P172" i="30"/>
  <c r="Q172" i="30" s="1"/>
  <c r="R172" i="30" s="1"/>
  <c r="S172" i="30" s="1"/>
  <c r="N102" i="30"/>
  <c r="O102" i="30" s="1"/>
  <c r="P174" i="30"/>
  <c r="Q174" i="30" s="1"/>
  <c r="R174" i="30" s="1"/>
  <c r="S174" i="30" s="1"/>
  <c r="N104" i="30"/>
  <c r="O104" i="30" s="1"/>
  <c r="K103" i="30"/>
  <c r="P103" i="30"/>
  <c r="Q103" i="30" s="1"/>
  <c r="K106" i="30"/>
  <c r="P106" i="30"/>
  <c r="Q106" i="30" s="1"/>
  <c r="D233" i="30"/>
  <c r="C130" i="30"/>
  <c r="R130" i="30"/>
  <c r="E234" i="30"/>
  <c r="K234" i="30" s="1"/>
  <c r="H131" i="30"/>
  <c r="P105" i="30"/>
  <c r="Q105" i="30" s="1"/>
  <c r="K105" i="30"/>
  <c r="C240" i="30"/>
  <c r="P157" i="30"/>
  <c r="P173" i="30"/>
  <c r="Q173" i="30" s="1"/>
  <c r="R173" i="30" s="1"/>
  <c r="S173" i="30" s="1"/>
  <c r="N103" i="30"/>
  <c r="O103" i="30" s="1"/>
  <c r="P180" i="30"/>
  <c r="Q180" i="30" s="1"/>
  <c r="R180" i="30" s="1"/>
  <c r="S180" i="30" s="1"/>
  <c r="N110" i="30"/>
  <c r="O110" i="30" s="1"/>
  <c r="D235" i="30"/>
  <c r="C132" i="30"/>
  <c r="R132" i="30"/>
  <c r="D237" i="30"/>
  <c r="C134" i="30"/>
  <c r="R134" i="30"/>
  <c r="P176" i="30"/>
  <c r="Q176" i="30" s="1"/>
  <c r="R176" i="30" s="1"/>
  <c r="S176" i="30" s="1"/>
  <c r="N106" i="30"/>
  <c r="O106" i="30" s="1"/>
  <c r="E233" i="30"/>
  <c r="K233" i="30" s="1"/>
  <c r="H130" i="30"/>
  <c r="P175" i="30"/>
  <c r="Q175" i="30" s="1"/>
  <c r="R175" i="30" s="1"/>
  <c r="S175" i="30" s="1"/>
  <c r="N105" i="30"/>
  <c r="O105" i="30" s="1"/>
  <c r="P101" i="30"/>
  <c r="Q101" i="30" s="1"/>
  <c r="K101" i="30"/>
  <c r="D236" i="30"/>
  <c r="C133" i="30"/>
  <c r="R133" i="30"/>
  <c r="E237" i="30"/>
  <c r="K237" i="30" s="1"/>
  <c r="H134" i="30"/>
  <c r="E241" i="30"/>
  <c r="K241" i="30" s="1"/>
  <c r="H138" i="30"/>
  <c r="E232" i="30"/>
  <c r="K232" i="30" s="1"/>
  <c r="H129" i="30"/>
  <c r="K102" i="30"/>
  <c r="P102" i="30"/>
  <c r="Q102" i="30" s="1"/>
  <c r="K104" i="30"/>
  <c r="P104" i="30"/>
  <c r="Q104" i="30" s="1"/>
  <c r="P171" i="30"/>
  <c r="Q171" i="30" s="1"/>
  <c r="R171" i="30" s="1"/>
  <c r="S171" i="30" s="1"/>
  <c r="N101" i="30"/>
  <c r="O101" i="30" s="1"/>
  <c r="C239" i="30"/>
  <c r="P156" i="30"/>
  <c r="E236" i="30"/>
  <c r="K236" i="30" s="1"/>
  <c r="H133" i="30"/>
  <c r="D241" i="30"/>
  <c r="R138" i="30"/>
  <c r="C138" i="30"/>
  <c r="D234" i="30"/>
  <c r="R131" i="30"/>
  <c r="C131" i="30"/>
  <c r="K110" i="30"/>
  <c r="P110" i="30"/>
  <c r="Q110" i="30" s="1"/>
  <c r="R129" i="30"/>
  <c r="C129" i="30"/>
  <c r="D232" i="30"/>
  <c r="G236" i="29"/>
  <c r="F236" i="29" s="1"/>
  <c r="E133" i="29"/>
  <c r="F175" i="29"/>
  <c r="G175" i="29" s="1"/>
  <c r="H175" i="29" s="1"/>
  <c r="M236" i="29" s="1"/>
  <c r="D133" i="29"/>
  <c r="E238" i="29"/>
  <c r="K238" i="29" s="1"/>
  <c r="H135" i="29"/>
  <c r="K108" i="29"/>
  <c r="P108" i="29"/>
  <c r="Q108" i="29" s="1"/>
  <c r="R138" i="29"/>
  <c r="C138" i="29"/>
  <c r="D241" i="29"/>
  <c r="D239" i="29"/>
  <c r="R136" i="29"/>
  <c r="C136" i="29"/>
  <c r="M104" i="29"/>
  <c r="F104" i="29"/>
  <c r="P177" i="29"/>
  <c r="Q177" i="29" s="1"/>
  <c r="R177" i="29" s="1"/>
  <c r="S177" i="29" s="1"/>
  <c r="N107" i="29"/>
  <c r="O107" i="29" s="1"/>
  <c r="R137" i="29"/>
  <c r="D240" i="29"/>
  <c r="C137" i="29"/>
  <c r="M102" i="29"/>
  <c r="F102" i="29"/>
  <c r="P180" i="29"/>
  <c r="Q180" i="29" s="1"/>
  <c r="R180" i="29" s="1"/>
  <c r="S180" i="29" s="1"/>
  <c r="N110" i="29"/>
  <c r="O110" i="29" s="1"/>
  <c r="C135" i="29"/>
  <c r="D238" i="29"/>
  <c r="R135" i="29"/>
  <c r="M101" i="29"/>
  <c r="F101" i="29"/>
  <c r="P178" i="29"/>
  <c r="Q178" i="29" s="1"/>
  <c r="R178" i="29" s="1"/>
  <c r="S178" i="29" s="1"/>
  <c r="N108" i="29"/>
  <c r="O108" i="29" s="1"/>
  <c r="E239" i="29"/>
  <c r="K239" i="29" s="1"/>
  <c r="H136" i="29"/>
  <c r="F174" i="29"/>
  <c r="G174" i="29" s="1"/>
  <c r="H174" i="29" s="1"/>
  <c r="M235" i="29" s="1"/>
  <c r="E132" i="29"/>
  <c r="G235" i="29"/>
  <c r="F235" i="29" s="1"/>
  <c r="D132" i="29"/>
  <c r="M103" i="29"/>
  <c r="F103" i="29"/>
  <c r="M106" i="29"/>
  <c r="F106" i="29"/>
  <c r="P109" i="29"/>
  <c r="Q109" i="29" s="1"/>
  <c r="K109" i="29"/>
  <c r="H138" i="29"/>
  <c r="E241" i="29"/>
  <c r="K241" i="29" s="1"/>
  <c r="E240" i="29"/>
  <c r="K240" i="29" s="1"/>
  <c r="H137" i="29"/>
  <c r="F172" i="29"/>
  <c r="G172" i="29" s="1"/>
  <c r="H172" i="29" s="1"/>
  <c r="M233" i="29" s="1"/>
  <c r="D130" i="29"/>
  <c r="G233" i="29"/>
  <c r="F233" i="29" s="1"/>
  <c r="E130" i="29"/>
  <c r="M105" i="29"/>
  <c r="F105" i="29"/>
  <c r="G232" i="29"/>
  <c r="F232" i="29" s="1"/>
  <c r="F171" i="29"/>
  <c r="G171" i="29" s="1"/>
  <c r="H171" i="29" s="1"/>
  <c r="M232" i="29" s="1"/>
  <c r="D129" i="29"/>
  <c r="E129" i="29"/>
  <c r="P179" i="29"/>
  <c r="Q179" i="29" s="1"/>
  <c r="R179" i="29" s="1"/>
  <c r="S179" i="29" s="1"/>
  <c r="N109" i="29"/>
  <c r="O109" i="29" s="1"/>
  <c r="K107" i="29"/>
  <c r="P107" i="29"/>
  <c r="Q107" i="29" s="1"/>
  <c r="G234" i="29"/>
  <c r="F234" i="29" s="1"/>
  <c r="F173" i="29"/>
  <c r="G173" i="29" s="1"/>
  <c r="H173" i="29" s="1"/>
  <c r="M234" i="29" s="1"/>
  <c r="D131" i="29"/>
  <c r="E131" i="29"/>
  <c r="K110" i="29"/>
  <c r="P110" i="29"/>
  <c r="Q110" i="29" s="1"/>
  <c r="F176" i="29"/>
  <c r="G176" i="29" s="1"/>
  <c r="H176" i="29" s="1"/>
  <c r="M237" i="29" s="1"/>
  <c r="D134" i="29"/>
  <c r="G237" i="29"/>
  <c r="F237" i="29" s="1"/>
  <c r="E134" i="29"/>
  <c r="C232" i="28"/>
  <c r="P149" i="28"/>
  <c r="C239" i="28"/>
  <c r="P156" i="28"/>
  <c r="C236" i="28"/>
  <c r="P153" i="28"/>
  <c r="P150" i="28"/>
  <c r="C233" i="28"/>
  <c r="P154" i="28"/>
  <c r="C237" i="28"/>
  <c r="C235" i="28"/>
  <c r="P152" i="28"/>
  <c r="P151" i="28"/>
  <c r="C234" i="28"/>
  <c r="G138" i="17"/>
  <c r="F138" i="17"/>
  <c r="G137" i="17"/>
  <c r="F137" i="17"/>
  <c r="D137" i="17" s="1"/>
  <c r="G136" i="17"/>
  <c r="F136" i="17"/>
  <c r="D136" i="17" s="1"/>
  <c r="G135" i="17"/>
  <c r="F135" i="17"/>
  <c r="D135" i="17" s="1"/>
  <c r="G134" i="17"/>
  <c r="F134" i="17"/>
  <c r="D134" i="17" s="1"/>
  <c r="G133" i="17"/>
  <c r="F133" i="17"/>
  <c r="D133" i="17" s="1"/>
  <c r="G132" i="17"/>
  <c r="F132" i="17"/>
  <c r="D132" i="17" s="1"/>
  <c r="G131" i="17"/>
  <c r="F131" i="17"/>
  <c r="D131" i="17" s="1"/>
  <c r="G130" i="17"/>
  <c r="F130" i="17"/>
  <c r="D130" i="17" s="1"/>
  <c r="G129" i="17"/>
  <c r="F129" i="17"/>
  <c r="D129" i="17" s="1"/>
  <c r="C129" i="17" s="1"/>
  <c r="C235" i="30" l="1"/>
  <c r="P152" i="30"/>
  <c r="P154" i="30"/>
  <c r="C237" i="30"/>
  <c r="P150" i="30"/>
  <c r="C233" i="30"/>
  <c r="P158" i="30"/>
  <c r="C241" i="30"/>
  <c r="C236" i="30"/>
  <c r="P153" i="30"/>
  <c r="C232" i="30"/>
  <c r="P149" i="30"/>
  <c r="C234" i="30"/>
  <c r="P151" i="30"/>
  <c r="H134" i="29"/>
  <c r="E237" i="29"/>
  <c r="K237" i="29" s="1"/>
  <c r="E233" i="29"/>
  <c r="K233" i="29" s="1"/>
  <c r="H130" i="29"/>
  <c r="K103" i="29"/>
  <c r="P103" i="29"/>
  <c r="Q103" i="29" s="1"/>
  <c r="H132" i="29"/>
  <c r="E235" i="29"/>
  <c r="K235" i="29" s="1"/>
  <c r="K104" i="29"/>
  <c r="P104" i="29"/>
  <c r="Q104" i="29" s="1"/>
  <c r="R133" i="29"/>
  <c r="C133" i="29"/>
  <c r="D236" i="29"/>
  <c r="P173" i="29"/>
  <c r="Q173" i="29" s="1"/>
  <c r="R173" i="29" s="1"/>
  <c r="S173" i="29" s="1"/>
  <c r="N103" i="29"/>
  <c r="O103" i="29" s="1"/>
  <c r="K102" i="29"/>
  <c r="P102" i="29"/>
  <c r="Q102" i="29" s="1"/>
  <c r="P174" i="29"/>
  <c r="Q174" i="29" s="1"/>
  <c r="R174" i="29" s="1"/>
  <c r="S174" i="29" s="1"/>
  <c r="N104" i="29"/>
  <c r="O104" i="29" s="1"/>
  <c r="R134" i="29"/>
  <c r="C134" i="29"/>
  <c r="D237" i="29"/>
  <c r="E234" i="29"/>
  <c r="K234" i="29" s="1"/>
  <c r="H131" i="29"/>
  <c r="E232" i="29"/>
  <c r="K232" i="29" s="1"/>
  <c r="H129" i="29"/>
  <c r="K105" i="29"/>
  <c r="P105" i="29"/>
  <c r="Q105" i="29" s="1"/>
  <c r="D233" i="29"/>
  <c r="R130" i="29"/>
  <c r="C130" i="29"/>
  <c r="K106" i="29"/>
  <c r="P106" i="29"/>
  <c r="Q106" i="29" s="1"/>
  <c r="D235" i="29"/>
  <c r="R132" i="29"/>
  <c r="C132" i="29"/>
  <c r="K101" i="29"/>
  <c r="P101" i="29"/>
  <c r="Q101" i="29" s="1"/>
  <c r="C238" i="29"/>
  <c r="P155" i="29"/>
  <c r="P172" i="29"/>
  <c r="Q172" i="29" s="1"/>
  <c r="R172" i="29" s="1"/>
  <c r="S172" i="29" s="1"/>
  <c r="N102" i="29"/>
  <c r="O102" i="29" s="1"/>
  <c r="C239" i="29"/>
  <c r="P156" i="29"/>
  <c r="C241" i="29"/>
  <c r="P158" i="29"/>
  <c r="E236" i="29"/>
  <c r="K236" i="29" s="1"/>
  <c r="H133" i="29"/>
  <c r="R131" i="29"/>
  <c r="C131" i="29"/>
  <c r="D234" i="29"/>
  <c r="D232" i="29"/>
  <c r="R129" i="29"/>
  <c r="C129" i="29"/>
  <c r="P175" i="29"/>
  <c r="Q175" i="29" s="1"/>
  <c r="R175" i="29" s="1"/>
  <c r="S175" i="29" s="1"/>
  <c r="N105" i="29"/>
  <c r="O105" i="29" s="1"/>
  <c r="P176" i="29"/>
  <c r="Q176" i="29" s="1"/>
  <c r="R176" i="29" s="1"/>
  <c r="S176" i="29" s="1"/>
  <c r="N106" i="29"/>
  <c r="O106" i="29" s="1"/>
  <c r="P171" i="29"/>
  <c r="Q171" i="29" s="1"/>
  <c r="R171" i="29" s="1"/>
  <c r="S171" i="29" s="1"/>
  <c r="N101" i="29"/>
  <c r="O101" i="29" s="1"/>
  <c r="C240" i="29"/>
  <c r="P157" i="29"/>
  <c r="D138" i="17"/>
  <c r="D20" i="23"/>
  <c r="C20" i="23"/>
  <c r="D20" i="24"/>
  <c r="C20" i="24"/>
  <c r="Q10" i="17"/>
  <c r="P10" i="17"/>
  <c r="Q10" i="23"/>
  <c r="P10" i="23"/>
  <c r="D20" i="17"/>
  <c r="C20" i="17"/>
  <c r="D223" i="24"/>
  <c r="I241" i="24"/>
  <c r="I240" i="24"/>
  <c r="I239" i="24"/>
  <c r="I238" i="24"/>
  <c r="I237" i="24"/>
  <c r="I236" i="24"/>
  <c r="I235" i="24"/>
  <c r="I234" i="24"/>
  <c r="I233" i="24"/>
  <c r="I232" i="24"/>
  <c r="Q10" i="24"/>
  <c r="P10" i="24"/>
  <c r="C232" i="29" l="1"/>
  <c r="P149" i="29"/>
  <c r="C234" i="29"/>
  <c r="P151" i="29"/>
  <c r="C237" i="29"/>
  <c r="P154" i="29"/>
  <c r="C235" i="29"/>
  <c r="P152" i="29"/>
  <c r="C236" i="29"/>
  <c r="P153" i="29"/>
  <c r="C233" i="29"/>
  <c r="P150" i="29"/>
  <c r="D222" i="24"/>
  <c r="B225" i="24"/>
  <c r="B224" i="24"/>
  <c r="B223" i="24"/>
  <c r="B222" i="24"/>
  <c r="B221" i="24"/>
  <c r="Q202" i="24" l="1"/>
  <c r="Q203" i="24"/>
  <c r="Q204" i="24"/>
  <c r="Q205" i="24"/>
  <c r="Q206" i="24"/>
  <c r="Q207" i="24"/>
  <c r="Q208" i="24"/>
  <c r="Q209" i="24"/>
  <c r="Q210" i="24"/>
  <c r="Q201" i="24"/>
  <c r="R192" i="24"/>
  <c r="R191" i="24"/>
  <c r="R190" i="24"/>
  <c r="R189" i="24"/>
  <c r="R188" i="24"/>
  <c r="R187" i="24"/>
  <c r="R186" i="24"/>
  <c r="R185" i="24"/>
  <c r="R184" i="24"/>
  <c r="R183" i="24"/>
  <c r="AD161" i="24"/>
  <c r="AD162" i="24"/>
  <c r="AD163" i="24"/>
  <c r="AD164" i="24"/>
  <c r="AD165" i="24"/>
  <c r="AD166" i="24"/>
  <c r="AD167" i="24"/>
  <c r="AD168" i="24"/>
  <c r="AD169" i="24"/>
  <c r="AD160" i="24"/>
  <c r="AB160" i="24"/>
  <c r="AB169" i="24"/>
  <c r="AB168" i="24"/>
  <c r="AB167" i="24"/>
  <c r="AB166" i="24"/>
  <c r="AB165" i="24"/>
  <c r="AB164" i="24"/>
  <c r="AB163" i="24"/>
  <c r="AB162" i="24"/>
  <c r="AB161" i="24"/>
  <c r="Z161" i="24"/>
  <c r="Z162" i="24"/>
  <c r="Z163" i="24"/>
  <c r="Z164" i="24"/>
  <c r="Z165" i="24"/>
  <c r="Z166" i="24"/>
  <c r="Z167" i="24"/>
  <c r="Z168" i="24"/>
  <c r="Z169" i="24"/>
  <c r="Z160" i="24"/>
  <c r="I149" i="24"/>
  <c r="M149" i="24" s="1"/>
  <c r="I138" i="17"/>
  <c r="K138" i="17" s="1"/>
  <c r="I137" i="17"/>
  <c r="K137" i="17" s="1"/>
  <c r="I136" i="17"/>
  <c r="K136" i="17" s="1"/>
  <c r="I135" i="17"/>
  <c r="K135" i="17" s="1"/>
  <c r="I134" i="17"/>
  <c r="K134" i="17" s="1"/>
  <c r="I133" i="17"/>
  <c r="K133" i="17" s="1"/>
  <c r="I132" i="17"/>
  <c r="K132" i="17" s="1"/>
  <c r="I131" i="17"/>
  <c r="K131" i="17" s="1"/>
  <c r="I130" i="17"/>
  <c r="K130" i="17" s="1"/>
  <c r="I129" i="17"/>
  <c r="K129" i="17" s="1"/>
  <c r="K129" i="24"/>
  <c r="I130" i="24"/>
  <c r="K130" i="24" s="1"/>
  <c r="I131" i="24"/>
  <c r="K131" i="24" s="1"/>
  <c r="I132" i="24"/>
  <c r="K132" i="24" s="1"/>
  <c r="I133" i="24"/>
  <c r="K133" i="24" s="1"/>
  <c r="I134" i="24"/>
  <c r="K134" i="24" s="1"/>
  <c r="I135" i="24"/>
  <c r="K135" i="24" s="1"/>
  <c r="I136" i="24"/>
  <c r="K136" i="24" s="1"/>
  <c r="I137" i="24"/>
  <c r="K137" i="24" s="1"/>
  <c r="I138" i="24"/>
  <c r="K138" i="24" s="1"/>
  <c r="I129" i="24"/>
  <c r="L241" i="24"/>
  <c r="P241" i="24" s="1"/>
  <c r="J241" i="24"/>
  <c r="L240" i="24"/>
  <c r="P240" i="24" s="1"/>
  <c r="J240" i="24"/>
  <c r="L239" i="24"/>
  <c r="P239" i="24" s="1"/>
  <c r="J239" i="24"/>
  <c r="L238" i="24"/>
  <c r="P238" i="24" s="1"/>
  <c r="J238" i="24"/>
  <c r="L237" i="24"/>
  <c r="P237" i="24" s="1"/>
  <c r="J237" i="24"/>
  <c r="L236" i="24"/>
  <c r="P236" i="24" s="1"/>
  <c r="J236" i="24"/>
  <c r="L235" i="24"/>
  <c r="P235" i="24" s="1"/>
  <c r="J235" i="24"/>
  <c r="L234" i="24"/>
  <c r="P234" i="24" s="1"/>
  <c r="J234" i="24"/>
  <c r="L233" i="24"/>
  <c r="P233" i="24" s="1"/>
  <c r="J233" i="24"/>
  <c r="L232" i="24"/>
  <c r="P232" i="24" s="1"/>
  <c r="J232" i="24"/>
  <c r="B229" i="24"/>
  <c r="L210" i="24"/>
  <c r="L209" i="24"/>
  <c r="L208" i="24"/>
  <c r="L207" i="24"/>
  <c r="L206" i="24"/>
  <c r="L205" i="24"/>
  <c r="L204" i="24"/>
  <c r="L203" i="24"/>
  <c r="L202" i="24"/>
  <c r="B202" i="24"/>
  <c r="L201" i="24"/>
  <c r="B201" i="24"/>
  <c r="M201" i="24" s="1"/>
  <c r="B200" i="24"/>
  <c r="L180" i="24"/>
  <c r="L179" i="24"/>
  <c r="L178" i="24"/>
  <c r="L177" i="24"/>
  <c r="L176" i="24"/>
  <c r="L175" i="24"/>
  <c r="L174" i="24"/>
  <c r="L173" i="24"/>
  <c r="L172" i="24"/>
  <c r="B172" i="24"/>
  <c r="L171" i="24"/>
  <c r="B171" i="24"/>
  <c r="M171" i="24" s="1"/>
  <c r="B170" i="24"/>
  <c r="I153" i="24"/>
  <c r="M153" i="24" s="1"/>
  <c r="H149" i="24"/>
  <c r="Q147" i="24"/>
  <c r="R147" i="24" s="1"/>
  <c r="G138" i="24"/>
  <c r="H241" i="24" s="1"/>
  <c r="G137" i="24"/>
  <c r="F209" i="24" s="1"/>
  <c r="G209" i="24" s="1"/>
  <c r="G136" i="24"/>
  <c r="H239" i="24" s="1"/>
  <c r="G135" i="24"/>
  <c r="G134" i="24"/>
  <c r="H237" i="24" s="1"/>
  <c r="G133" i="24"/>
  <c r="G132" i="24"/>
  <c r="H235" i="24" s="1"/>
  <c r="G131" i="24"/>
  <c r="G130" i="24"/>
  <c r="H233" i="24" s="1"/>
  <c r="G129" i="24"/>
  <c r="F201" i="24" s="1"/>
  <c r="G201" i="24" s="1"/>
  <c r="F110" i="24"/>
  <c r="F109" i="24"/>
  <c r="F108" i="24"/>
  <c r="F107" i="24"/>
  <c r="F106" i="24"/>
  <c r="F134" i="24" s="1"/>
  <c r="G237" i="24" s="1"/>
  <c r="F237" i="24" s="1"/>
  <c r="F105" i="24"/>
  <c r="F133" i="24" s="1"/>
  <c r="F175" i="24" s="1"/>
  <c r="G175" i="24" s="1"/>
  <c r="F104" i="24"/>
  <c r="F103" i="24"/>
  <c r="F102" i="24"/>
  <c r="F101" i="24"/>
  <c r="E39" i="24"/>
  <c r="J110" i="24" s="1"/>
  <c r="E38" i="24"/>
  <c r="J109" i="24" s="1"/>
  <c r="E37" i="24"/>
  <c r="J108" i="24" s="1"/>
  <c r="E36" i="24"/>
  <c r="J107" i="24" s="1"/>
  <c r="E35" i="24"/>
  <c r="J106" i="24" s="1"/>
  <c r="E34" i="24"/>
  <c r="J105" i="24" s="1"/>
  <c r="E33" i="24"/>
  <c r="J104" i="24" s="1"/>
  <c r="E32" i="24"/>
  <c r="J103" i="24" s="1"/>
  <c r="E31" i="24"/>
  <c r="J102" i="24" s="1"/>
  <c r="E30" i="24"/>
  <c r="J101" i="24" s="1"/>
  <c r="N180" i="24" l="1"/>
  <c r="O180" i="24" s="1"/>
  <c r="N174" i="24"/>
  <c r="O174" i="24" s="1"/>
  <c r="H175" i="24"/>
  <c r="M236" i="24" s="1"/>
  <c r="H209" i="24"/>
  <c r="N240" i="24" s="1"/>
  <c r="N176" i="24"/>
  <c r="O176" i="24" s="1"/>
  <c r="N201" i="24"/>
  <c r="O201" i="24" s="1"/>
  <c r="N207" i="24"/>
  <c r="O207" i="24" s="1"/>
  <c r="D133" i="24"/>
  <c r="D134" i="24"/>
  <c r="N204" i="24"/>
  <c r="O204" i="24" s="1"/>
  <c r="N208" i="24"/>
  <c r="O208" i="24" s="1"/>
  <c r="N202" i="24"/>
  <c r="O202" i="24" s="1"/>
  <c r="N210" i="24"/>
  <c r="O210" i="24" s="1"/>
  <c r="F210" i="24"/>
  <c r="G210" i="24" s="1"/>
  <c r="H210" i="24" s="1"/>
  <c r="N241" i="24" s="1"/>
  <c r="H240" i="24"/>
  <c r="F208" i="24"/>
  <c r="G208" i="24" s="1"/>
  <c r="H208" i="24" s="1"/>
  <c r="N239" i="24" s="1"/>
  <c r="F206" i="24"/>
  <c r="G206" i="24" s="1"/>
  <c r="H206" i="24" s="1"/>
  <c r="N237" i="24" s="1"/>
  <c r="F202" i="24"/>
  <c r="G202" i="24" s="1"/>
  <c r="H202" i="24" s="1"/>
  <c r="N233" i="24" s="1"/>
  <c r="H232" i="24"/>
  <c r="F129" i="24"/>
  <c r="C129" i="24" s="1"/>
  <c r="E101" i="24"/>
  <c r="F135" i="24"/>
  <c r="D135" i="24" s="1"/>
  <c r="E107" i="24"/>
  <c r="F131" i="24"/>
  <c r="D131" i="24" s="1"/>
  <c r="E103" i="24"/>
  <c r="F137" i="24"/>
  <c r="D137" i="24" s="1"/>
  <c r="E109" i="24"/>
  <c r="F136" i="24"/>
  <c r="D136" i="24" s="1"/>
  <c r="E108" i="24"/>
  <c r="F130" i="24"/>
  <c r="D130" i="24" s="1"/>
  <c r="E102" i="24"/>
  <c r="E104" i="24"/>
  <c r="G236" i="24"/>
  <c r="F236" i="24" s="1"/>
  <c r="H238" i="24"/>
  <c r="F207" i="24"/>
  <c r="G207" i="24" s="1"/>
  <c r="H207" i="24" s="1"/>
  <c r="N238" i="24" s="1"/>
  <c r="F138" i="24"/>
  <c r="D138" i="24" s="1"/>
  <c r="I155" i="24"/>
  <c r="M155" i="24" s="1"/>
  <c r="I151" i="24"/>
  <c r="M151" i="24" s="1"/>
  <c r="I158" i="24"/>
  <c r="M158" i="24" s="1"/>
  <c r="I156" i="24"/>
  <c r="M156" i="24" s="1"/>
  <c r="F176" i="24"/>
  <c r="G176" i="24" s="1"/>
  <c r="H176" i="24" s="1"/>
  <c r="M237" i="24" s="1"/>
  <c r="F204" i="24"/>
  <c r="G204" i="24" s="1"/>
  <c r="H204" i="24" s="1"/>
  <c r="N235" i="24" s="1"/>
  <c r="N206" i="24"/>
  <c r="O206" i="24" s="1"/>
  <c r="N209" i="24"/>
  <c r="O209" i="24" s="1"/>
  <c r="I154" i="24"/>
  <c r="M154" i="24" s="1"/>
  <c r="N175" i="24"/>
  <c r="O175" i="24" s="1"/>
  <c r="E105" i="24"/>
  <c r="E106" i="24"/>
  <c r="H201" i="24"/>
  <c r="N232" i="24" s="1"/>
  <c r="F132" i="24"/>
  <c r="D132" i="24" s="1"/>
  <c r="E133" i="24"/>
  <c r="E236" i="24" s="1"/>
  <c r="E134" i="24"/>
  <c r="I150" i="24"/>
  <c r="M150" i="24" s="1"/>
  <c r="I152" i="24"/>
  <c r="M152" i="24" s="1"/>
  <c r="I157" i="24"/>
  <c r="M157" i="24" s="1"/>
  <c r="N172" i="24"/>
  <c r="O172" i="24" s="1"/>
  <c r="N177" i="24"/>
  <c r="O177" i="24" s="1"/>
  <c r="N178" i="24"/>
  <c r="O178" i="24" s="1"/>
  <c r="N179" i="24"/>
  <c r="O179" i="24" s="1"/>
  <c r="N203" i="24"/>
  <c r="O203" i="24" s="1"/>
  <c r="H234" i="24"/>
  <c r="F203" i="24"/>
  <c r="G203" i="24" s="1"/>
  <c r="H203" i="24" s="1"/>
  <c r="N234" i="24" s="1"/>
  <c r="F205" i="24"/>
  <c r="G205" i="24" s="1"/>
  <c r="H205" i="24" s="1"/>
  <c r="N236" i="24" s="1"/>
  <c r="H236" i="24"/>
  <c r="N171" i="24"/>
  <c r="O171" i="24" s="1"/>
  <c r="E110" i="24"/>
  <c r="N173" i="24"/>
  <c r="O173" i="24" s="1"/>
  <c r="N205" i="24"/>
  <c r="O205" i="24" s="1"/>
  <c r="B229" i="17"/>
  <c r="B229" i="23"/>
  <c r="F102" i="23"/>
  <c r="F103" i="23"/>
  <c r="F104" i="23"/>
  <c r="F105" i="23"/>
  <c r="F106" i="23"/>
  <c r="F107" i="23"/>
  <c r="F108" i="23"/>
  <c r="F109" i="23"/>
  <c r="F110" i="23"/>
  <c r="F101" i="23"/>
  <c r="F129" i="23" s="1"/>
  <c r="L241" i="23"/>
  <c r="P241" i="23" s="1"/>
  <c r="J241" i="23"/>
  <c r="I241" i="23"/>
  <c r="L240" i="23"/>
  <c r="P240" i="23" s="1"/>
  <c r="J240" i="23"/>
  <c r="I240" i="23"/>
  <c r="L239" i="23"/>
  <c r="P239" i="23" s="1"/>
  <c r="J239" i="23"/>
  <c r="I239" i="23"/>
  <c r="L238" i="23"/>
  <c r="P238" i="23" s="1"/>
  <c r="J238" i="23"/>
  <c r="I238" i="23"/>
  <c r="L237" i="23"/>
  <c r="P237" i="23" s="1"/>
  <c r="J237" i="23"/>
  <c r="I237" i="23"/>
  <c r="L236" i="23"/>
  <c r="P236" i="23" s="1"/>
  <c r="J236" i="23"/>
  <c r="I236" i="23"/>
  <c r="L235" i="23"/>
  <c r="P235" i="23" s="1"/>
  <c r="J235" i="23"/>
  <c r="I235" i="23"/>
  <c r="L234" i="23"/>
  <c r="P234" i="23" s="1"/>
  <c r="J234" i="23"/>
  <c r="I234" i="23"/>
  <c r="L233" i="23"/>
  <c r="P233" i="23" s="1"/>
  <c r="J233" i="23"/>
  <c r="I233" i="23"/>
  <c r="L232" i="23"/>
  <c r="P232" i="23" s="1"/>
  <c r="J232" i="23"/>
  <c r="I232" i="23"/>
  <c r="L210" i="23"/>
  <c r="L209" i="23"/>
  <c r="L208" i="23"/>
  <c r="L207" i="23"/>
  <c r="L206" i="23"/>
  <c r="L205" i="23"/>
  <c r="L204" i="23"/>
  <c r="L203" i="23"/>
  <c r="L202" i="23"/>
  <c r="B202" i="23"/>
  <c r="L201" i="23"/>
  <c r="B201" i="23"/>
  <c r="M201" i="23" s="1"/>
  <c r="B200" i="23"/>
  <c r="L180" i="23"/>
  <c r="L179" i="23"/>
  <c r="L178" i="23"/>
  <c r="L177" i="23"/>
  <c r="L176" i="23"/>
  <c r="L175" i="23"/>
  <c r="L174" i="23"/>
  <c r="L173" i="23"/>
  <c r="L172" i="23"/>
  <c r="B172" i="23"/>
  <c r="L171" i="23"/>
  <c r="B171" i="23"/>
  <c r="M171" i="23" s="1"/>
  <c r="B170" i="23"/>
  <c r="I155" i="23"/>
  <c r="M155" i="23" s="1"/>
  <c r="H149" i="23"/>
  <c r="I158" i="23" s="1"/>
  <c r="M158" i="23" s="1"/>
  <c r="Q147" i="23"/>
  <c r="R147" i="23" s="1"/>
  <c r="G138" i="23"/>
  <c r="G137" i="23"/>
  <c r="H240" i="23" s="1"/>
  <c r="G136" i="23"/>
  <c r="F208" i="23" s="1"/>
  <c r="G208" i="23" s="1"/>
  <c r="G135" i="23"/>
  <c r="H238" i="23" s="1"/>
  <c r="G134" i="23"/>
  <c r="G133" i="23"/>
  <c r="H236" i="23" s="1"/>
  <c r="G132" i="23"/>
  <c r="H235" i="23" s="1"/>
  <c r="G131" i="23"/>
  <c r="H234" i="23" s="1"/>
  <c r="G130" i="23"/>
  <c r="G129" i="23"/>
  <c r="H232" i="23" s="1"/>
  <c r="E39" i="23"/>
  <c r="J110" i="23" s="1"/>
  <c r="E38" i="23"/>
  <c r="J109" i="23" s="1"/>
  <c r="E37" i="23"/>
  <c r="J108" i="23" s="1"/>
  <c r="E36" i="23"/>
  <c r="J107" i="23" s="1"/>
  <c r="E35" i="23"/>
  <c r="J106" i="23" s="1"/>
  <c r="E34" i="23"/>
  <c r="J105" i="23" s="1"/>
  <c r="E33" i="23"/>
  <c r="J104" i="23" s="1"/>
  <c r="E32" i="23"/>
  <c r="J103" i="23" s="1"/>
  <c r="E31" i="23"/>
  <c r="J102" i="23" s="1"/>
  <c r="E30" i="23"/>
  <c r="J101" i="23" s="1"/>
  <c r="J241" i="17"/>
  <c r="I241" i="17"/>
  <c r="J240" i="17"/>
  <c r="I240" i="17"/>
  <c r="J239" i="17"/>
  <c r="I239" i="17"/>
  <c r="J238" i="17"/>
  <c r="I238" i="17"/>
  <c r="J237" i="17"/>
  <c r="I237" i="17"/>
  <c r="J236" i="17"/>
  <c r="I236" i="17"/>
  <c r="J235" i="17"/>
  <c r="I235" i="17"/>
  <c r="J234" i="17"/>
  <c r="I234" i="17"/>
  <c r="J233" i="17"/>
  <c r="I233" i="17"/>
  <c r="J232" i="17"/>
  <c r="I232" i="17"/>
  <c r="G232" i="23" l="1"/>
  <c r="F232" i="23" s="1"/>
  <c r="I151" i="23"/>
  <c r="M151" i="23" s="1"/>
  <c r="N205" i="23"/>
  <c r="O205" i="23" s="1"/>
  <c r="I157" i="23"/>
  <c r="M157" i="23" s="1"/>
  <c r="N171" i="23"/>
  <c r="O171" i="23" s="1"/>
  <c r="N209" i="23"/>
  <c r="O209" i="23" s="1"/>
  <c r="H208" i="23"/>
  <c r="N239" i="23" s="1"/>
  <c r="E101" i="23"/>
  <c r="M101" i="23" s="1"/>
  <c r="M101" i="24"/>
  <c r="P171" i="24" s="1"/>
  <c r="Q171" i="24" s="1"/>
  <c r="R171" i="24" s="1"/>
  <c r="S171" i="24" s="1"/>
  <c r="H101" i="24"/>
  <c r="H133" i="24"/>
  <c r="E129" i="24"/>
  <c r="G232" i="24"/>
  <c r="F232" i="24" s="1"/>
  <c r="F171" i="24"/>
  <c r="G171" i="24" s="1"/>
  <c r="H171" i="24" s="1"/>
  <c r="M232" i="24" s="1"/>
  <c r="E237" i="24"/>
  <c r="K237" i="24" s="1"/>
  <c r="H134" i="24"/>
  <c r="M104" i="24"/>
  <c r="H104" i="24"/>
  <c r="M108" i="24"/>
  <c r="H108" i="24"/>
  <c r="F177" i="24"/>
  <c r="G177" i="24" s="1"/>
  <c r="H177" i="24" s="1"/>
  <c r="M238" i="24" s="1"/>
  <c r="G238" i="24"/>
  <c r="F238" i="24" s="1"/>
  <c r="E135" i="24"/>
  <c r="C133" i="24"/>
  <c r="D236" i="24"/>
  <c r="R133" i="24"/>
  <c r="G241" i="24"/>
  <c r="F241" i="24" s="1"/>
  <c r="E138" i="24"/>
  <c r="F180" i="24"/>
  <c r="G180" i="24" s="1"/>
  <c r="H180" i="24" s="1"/>
  <c r="M241" i="24" s="1"/>
  <c r="M109" i="24"/>
  <c r="H109" i="24"/>
  <c r="F173" i="24"/>
  <c r="G173" i="24" s="1"/>
  <c r="H173" i="24" s="1"/>
  <c r="M234" i="24" s="1"/>
  <c r="G234" i="24"/>
  <c r="F234" i="24" s="1"/>
  <c r="E131" i="24"/>
  <c r="M110" i="24"/>
  <c r="H110" i="24"/>
  <c r="M105" i="24"/>
  <c r="H105" i="24"/>
  <c r="E130" i="24"/>
  <c r="G233" i="24"/>
  <c r="F233" i="24" s="1"/>
  <c r="F172" i="24"/>
  <c r="G172" i="24" s="1"/>
  <c r="H172" i="24" s="1"/>
  <c r="M233" i="24" s="1"/>
  <c r="M103" i="24"/>
  <c r="H103" i="24"/>
  <c r="C134" i="24"/>
  <c r="D237" i="24"/>
  <c r="R134" i="24"/>
  <c r="K236" i="24"/>
  <c r="G235" i="24"/>
  <c r="F235" i="24" s="1"/>
  <c r="E132" i="24"/>
  <c r="F174" i="24"/>
  <c r="G174" i="24" s="1"/>
  <c r="H174" i="24" s="1"/>
  <c r="M235" i="24" s="1"/>
  <c r="M106" i="24"/>
  <c r="H106" i="24"/>
  <c r="M102" i="24"/>
  <c r="H102" i="24"/>
  <c r="G239" i="24"/>
  <c r="F239" i="24" s="1"/>
  <c r="E136" i="24"/>
  <c r="F178" i="24"/>
  <c r="G178" i="24" s="1"/>
  <c r="H178" i="24" s="1"/>
  <c r="M239" i="24" s="1"/>
  <c r="F179" i="24"/>
  <c r="G179" i="24" s="1"/>
  <c r="H179" i="24" s="1"/>
  <c r="M240" i="24" s="1"/>
  <c r="G240" i="24"/>
  <c r="F240" i="24" s="1"/>
  <c r="E137" i="24"/>
  <c r="M107" i="24"/>
  <c r="H107" i="24"/>
  <c r="N177" i="23"/>
  <c r="O177" i="23" s="1"/>
  <c r="I152" i="23"/>
  <c r="M152" i="23" s="1"/>
  <c r="I156" i="23"/>
  <c r="M156" i="23" s="1"/>
  <c r="I149" i="23"/>
  <c r="M149" i="23" s="1"/>
  <c r="I153" i="23"/>
  <c r="M153" i="23" s="1"/>
  <c r="H239" i="23"/>
  <c r="F205" i="23"/>
  <c r="G205" i="23" s="1"/>
  <c r="H205" i="23" s="1"/>
  <c r="N236" i="23" s="1"/>
  <c r="F209" i="23"/>
  <c r="G209" i="23" s="1"/>
  <c r="H209" i="23" s="1"/>
  <c r="N240" i="23" s="1"/>
  <c r="F203" i="23"/>
  <c r="G203" i="23" s="1"/>
  <c r="H203" i="23" s="1"/>
  <c r="N234" i="23" s="1"/>
  <c r="F207" i="23"/>
  <c r="G207" i="23" s="1"/>
  <c r="H207" i="23" s="1"/>
  <c r="N238" i="23" s="1"/>
  <c r="F201" i="23"/>
  <c r="G201" i="23" s="1"/>
  <c r="H201" i="23" s="1"/>
  <c r="N232" i="23" s="1"/>
  <c r="E103" i="23"/>
  <c r="F131" i="23"/>
  <c r="F136" i="23"/>
  <c r="E108" i="23"/>
  <c r="E105" i="23"/>
  <c r="F133" i="23"/>
  <c r="E102" i="23"/>
  <c r="F130" i="23"/>
  <c r="E107" i="23"/>
  <c r="F135" i="23"/>
  <c r="F132" i="23"/>
  <c r="E104" i="23"/>
  <c r="E109" i="23"/>
  <c r="F137" i="23"/>
  <c r="H241" i="23"/>
  <c r="F210" i="23"/>
  <c r="G210" i="23" s="1"/>
  <c r="H210" i="23" s="1"/>
  <c r="N241" i="23" s="1"/>
  <c r="F171" i="23"/>
  <c r="G171" i="23" s="1"/>
  <c r="H171" i="23" s="1"/>
  <c r="M232" i="23" s="1"/>
  <c r="E110" i="23"/>
  <c r="N175" i="23"/>
  <c r="O175" i="23" s="1"/>
  <c r="N179" i="23"/>
  <c r="O179" i="23" s="1"/>
  <c r="N210" i="23"/>
  <c r="O210" i="23" s="1"/>
  <c r="N206" i="23"/>
  <c r="O206" i="23" s="1"/>
  <c r="N202" i="23"/>
  <c r="O202" i="23" s="1"/>
  <c r="N201" i="23"/>
  <c r="O201" i="23" s="1"/>
  <c r="N203" i="23"/>
  <c r="O203" i="23" s="1"/>
  <c r="N204" i="23"/>
  <c r="O204" i="23" s="1"/>
  <c r="H237" i="23"/>
  <c r="F206" i="23"/>
  <c r="G206" i="23" s="1"/>
  <c r="H206" i="23" s="1"/>
  <c r="N237" i="23" s="1"/>
  <c r="F138" i="23"/>
  <c r="N180" i="23"/>
  <c r="O180" i="23" s="1"/>
  <c r="N178" i="23"/>
  <c r="O178" i="23" s="1"/>
  <c r="N176" i="23"/>
  <c r="O176" i="23" s="1"/>
  <c r="N174" i="23"/>
  <c r="O174" i="23" s="1"/>
  <c r="N172" i="23"/>
  <c r="O172" i="23" s="1"/>
  <c r="N173" i="23"/>
  <c r="O173" i="23" s="1"/>
  <c r="F204" i="23"/>
  <c r="G204" i="23" s="1"/>
  <c r="H204" i="23" s="1"/>
  <c r="N235" i="23" s="1"/>
  <c r="N207" i="23"/>
  <c r="O207" i="23" s="1"/>
  <c r="N208" i="23"/>
  <c r="O208" i="23" s="1"/>
  <c r="E129" i="23"/>
  <c r="E106" i="23"/>
  <c r="F134" i="23"/>
  <c r="H233" i="23"/>
  <c r="F202" i="23"/>
  <c r="G202" i="23" s="1"/>
  <c r="H202" i="23" s="1"/>
  <c r="N233" i="23" s="1"/>
  <c r="I150" i="23"/>
  <c r="M150" i="23" s="1"/>
  <c r="I154" i="23"/>
  <c r="M154" i="23" s="1"/>
  <c r="E138" i="17"/>
  <c r="H138" i="17" s="1"/>
  <c r="R138" i="17"/>
  <c r="E137" i="17"/>
  <c r="H137" i="17" s="1"/>
  <c r="R137" i="17"/>
  <c r="E136" i="17"/>
  <c r="E239" i="17" s="1"/>
  <c r="R136" i="17"/>
  <c r="E135" i="17"/>
  <c r="H135" i="17" s="1"/>
  <c r="D238" i="17"/>
  <c r="E134" i="17"/>
  <c r="H134" i="17" s="1"/>
  <c r="R134" i="17"/>
  <c r="E133" i="17"/>
  <c r="H133" i="17" s="1"/>
  <c r="R133" i="17"/>
  <c r="E132" i="17"/>
  <c r="H132" i="17" s="1"/>
  <c r="R132" i="17"/>
  <c r="E131" i="17"/>
  <c r="E234" i="17" s="1"/>
  <c r="K234" i="17" s="1"/>
  <c r="D234" i="17"/>
  <c r="E130" i="17"/>
  <c r="H130" i="17" s="1"/>
  <c r="R130" i="17"/>
  <c r="E129" i="17"/>
  <c r="H129" i="17" s="1"/>
  <c r="R129" i="17"/>
  <c r="L241" i="17"/>
  <c r="P241" i="17" s="1"/>
  <c r="H241" i="17"/>
  <c r="G241" i="17"/>
  <c r="F241" i="17" s="1"/>
  <c r="L240" i="17"/>
  <c r="P240" i="17" s="1"/>
  <c r="H240" i="17"/>
  <c r="G240" i="17"/>
  <c r="F240" i="17" s="1"/>
  <c r="L239" i="17"/>
  <c r="P239" i="17" s="1"/>
  <c r="H239" i="17"/>
  <c r="G239" i="17"/>
  <c r="F239" i="17" s="1"/>
  <c r="L238" i="17"/>
  <c r="P238" i="17" s="1"/>
  <c r="H238" i="17"/>
  <c r="G238" i="17"/>
  <c r="F238" i="17" s="1"/>
  <c r="L237" i="17"/>
  <c r="P237" i="17" s="1"/>
  <c r="H237" i="17"/>
  <c r="G237" i="17"/>
  <c r="F237" i="17" s="1"/>
  <c r="L236" i="17"/>
  <c r="P236" i="17" s="1"/>
  <c r="H236" i="17"/>
  <c r="G236" i="17"/>
  <c r="F236" i="17" s="1"/>
  <c r="L235" i="17"/>
  <c r="P235" i="17" s="1"/>
  <c r="H235" i="17"/>
  <c r="G235" i="17"/>
  <c r="F235" i="17" s="1"/>
  <c r="L234" i="17"/>
  <c r="P234" i="17" s="1"/>
  <c r="H234" i="17"/>
  <c r="G234" i="17"/>
  <c r="F234" i="17" s="1"/>
  <c r="P233" i="17"/>
  <c r="L233" i="17"/>
  <c r="H233" i="17"/>
  <c r="G233" i="17"/>
  <c r="F233" i="17" s="1"/>
  <c r="L232" i="17"/>
  <c r="P232" i="17" s="1"/>
  <c r="H232" i="17"/>
  <c r="G232" i="17"/>
  <c r="F232" i="17" s="1"/>
  <c r="E232" i="17"/>
  <c r="E240" i="17" l="1"/>
  <c r="K240" i="17" s="1"/>
  <c r="H136" i="17"/>
  <c r="E237" i="17"/>
  <c r="K237" i="17" s="1"/>
  <c r="H131" i="17"/>
  <c r="E241" i="17"/>
  <c r="K241" i="17" s="1"/>
  <c r="K239" i="17"/>
  <c r="D235" i="17"/>
  <c r="E238" i="17"/>
  <c r="K238" i="17" s="1"/>
  <c r="K232" i="17"/>
  <c r="E235" i="17"/>
  <c r="K235" i="17" s="1"/>
  <c r="E233" i="17"/>
  <c r="K233" i="17" s="1"/>
  <c r="E236" i="17"/>
  <c r="K236" i="17" s="1"/>
  <c r="N101" i="24"/>
  <c r="O101" i="24" s="1"/>
  <c r="D236" i="17"/>
  <c r="D239" i="17"/>
  <c r="C131" i="17"/>
  <c r="C234" i="17" s="1"/>
  <c r="R131" i="17"/>
  <c r="C132" i="17"/>
  <c r="C235" i="17" s="1"/>
  <c r="C136" i="17"/>
  <c r="C239" i="17" s="1"/>
  <c r="K101" i="24"/>
  <c r="P101" i="24"/>
  <c r="Q101" i="24" s="1"/>
  <c r="E232" i="24"/>
  <c r="K232" i="24" s="1"/>
  <c r="H129" i="24"/>
  <c r="R129" i="24"/>
  <c r="D232" i="24"/>
  <c r="R132" i="24"/>
  <c r="C132" i="24"/>
  <c r="D235" i="24"/>
  <c r="E234" i="24"/>
  <c r="K234" i="24" s="1"/>
  <c r="H131" i="24"/>
  <c r="P109" i="24"/>
  <c r="Q109" i="24" s="1"/>
  <c r="K109" i="24"/>
  <c r="R136" i="24"/>
  <c r="C136" i="24"/>
  <c r="D239" i="24"/>
  <c r="P172" i="24"/>
  <c r="Q172" i="24" s="1"/>
  <c r="R172" i="24" s="1"/>
  <c r="S172" i="24" s="1"/>
  <c r="N102" i="24"/>
  <c r="O102" i="24" s="1"/>
  <c r="P103" i="24"/>
  <c r="Q103" i="24" s="1"/>
  <c r="K103" i="24"/>
  <c r="E233" i="24"/>
  <c r="K233" i="24" s="1"/>
  <c r="H130" i="24"/>
  <c r="P179" i="24"/>
  <c r="Q179" i="24" s="1"/>
  <c r="R179" i="24" s="1"/>
  <c r="S179" i="24" s="1"/>
  <c r="N109" i="24"/>
  <c r="O109" i="24" s="1"/>
  <c r="C138" i="24"/>
  <c r="D241" i="24"/>
  <c r="R138" i="24"/>
  <c r="E238" i="24"/>
  <c r="K238" i="24" s="1"/>
  <c r="H135" i="24"/>
  <c r="P108" i="24"/>
  <c r="Q108" i="24" s="1"/>
  <c r="K108" i="24"/>
  <c r="P107" i="24"/>
  <c r="Q107" i="24" s="1"/>
  <c r="K107" i="24"/>
  <c r="E239" i="24"/>
  <c r="K239" i="24" s="1"/>
  <c r="H136" i="24"/>
  <c r="P106" i="24"/>
  <c r="Q106" i="24" s="1"/>
  <c r="K106" i="24"/>
  <c r="E235" i="24"/>
  <c r="K235" i="24" s="1"/>
  <c r="H132" i="24"/>
  <c r="P173" i="24"/>
  <c r="Q173" i="24" s="1"/>
  <c r="R173" i="24" s="1"/>
  <c r="S173" i="24" s="1"/>
  <c r="N103" i="24"/>
  <c r="O103" i="24" s="1"/>
  <c r="C130" i="24"/>
  <c r="D233" i="24"/>
  <c r="R130" i="24"/>
  <c r="K110" i="24"/>
  <c r="P110" i="24"/>
  <c r="Q110" i="24" s="1"/>
  <c r="D234" i="24"/>
  <c r="C131" i="24"/>
  <c r="R131" i="24"/>
  <c r="P178" i="24"/>
  <c r="Q178" i="24" s="1"/>
  <c r="R178" i="24" s="1"/>
  <c r="S178" i="24" s="1"/>
  <c r="N108" i="24"/>
  <c r="O108" i="24" s="1"/>
  <c r="P177" i="24"/>
  <c r="Q177" i="24" s="1"/>
  <c r="R177" i="24" s="1"/>
  <c r="S177" i="24" s="1"/>
  <c r="N107" i="24"/>
  <c r="O107" i="24" s="1"/>
  <c r="P176" i="24"/>
  <c r="Q176" i="24" s="1"/>
  <c r="R176" i="24" s="1"/>
  <c r="S176" i="24" s="1"/>
  <c r="N106" i="24"/>
  <c r="O106" i="24" s="1"/>
  <c r="K105" i="24"/>
  <c r="P105" i="24"/>
  <c r="Q105" i="24" s="1"/>
  <c r="P180" i="24"/>
  <c r="Q180" i="24" s="1"/>
  <c r="R180" i="24" s="1"/>
  <c r="S180" i="24" s="1"/>
  <c r="N110" i="24"/>
  <c r="O110" i="24" s="1"/>
  <c r="E241" i="24"/>
  <c r="K241" i="24" s="1"/>
  <c r="H138" i="24"/>
  <c r="D238" i="24"/>
  <c r="R135" i="24"/>
  <c r="C135" i="24"/>
  <c r="K104" i="24"/>
  <c r="P104" i="24"/>
  <c r="Q104" i="24" s="1"/>
  <c r="D240" i="24"/>
  <c r="R137" i="24"/>
  <c r="C137" i="24"/>
  <c r="K102" i="24"/>
  <c r="P102" i="24"/>
  <c r="Q102" i="24" s="1"/>
  <c r="P154" i="24"/>
  <c r="C237" i="24"/>
  <c r="P175" i="24"/>
  <c r="Q175" i="24" s="1"/>
  <c r="R175" i="24" s="1"/>
  <c r="S175" i="24" s="1"/>
  <c r="N105" i="24"/>
  <c r="O105" i="24" s="1"/>
  <c r="P153" i="24"/>
  <c r="C236" i="24"/>
  <c r="P174" i="24"/>
  <c r="Q174" i="24" s="1"/>
  <c r="R174" i="24" s="1"/>
  <c r="S174" i="24" s="1"/>
  <c r="N104" i="24"/>
  <c r="O104" i="24" s="1"/>
  <c r="E240" i="24"/>
  <c r="K240" i="24" s="1"/>
  <c r="H137" i="24"/>
  <c r="H106" i="23"/>
  <c r="M106" i="23"/>
  <c r="M107" i="23"/>
  <c r="H107" i="23"/>
  <c r="H103" i="23"/>
  <c r="P103" i="23" s="1"/>
  <c r="Q103" i="23" s="1"/>
  <c r="M103" i="23"/>
  <c r="E232" i="23"/>
  <c r="K232" i="23" s="1"/>
  <c r="H129" i="23"/>
  <c r="M109" i="23"/>
  <c r="H109" i="23"/>
  <c r="G233" i="23"/>
  <c r="F233" i="23" s="1"/>
  <c r="D130" i="23"/>
  <c r="C130" i="23" s="1"/>
  <c r="F172" i="23"/>
  <c r="G172" i="23" s="1"/>
  <c r="H172" i="23" s="1"/>
  <c r="M233" i="23" s="1"/>
  <c r="E130" i="23"/>
  <c r="D133" i="23"/>
  <c r="C133" i="23" s="1"/>
  <c r="F175" i="23"/>
  <c r="G175" i="23" s="1"/>
  <c r="H175" i="23" s="1"/>
  <c r="M236" i="23" s="1"/>
  <c r="G236" i="23"/>
  <c r="F236" i="23" s="1"/>
  <c r="E133" i="23"/>
  <c r="G237" i="23"/>
  <c r="F237" i="23" s="1"/>
  <c r="D134" i="23"/>
  <c r="C134" i="23" s="1"/>
  <c r="F176" i="23"/>
  <c r="G176" i="23" s="1"/>
  <c r="H176" i="23" s="1"/>
  <c r="M237" i="23" s="1"/>
  <c r="E134" i="23"/>
  <c r="H101" i="23"/>
  <c r="H110" i="23"/>
  <c r="P110" i="23" s="1"/>
  <c r="Q110" i="23" s="1"/>
  <c r="M110" i="23"/>
  <c r="E135" i="23"/>
  <c r="G238" i="23"/>
  <c r="F238" i="23" s="1"/>
  <c r="D135" i="23"/>
  <c r="C135" i="23" s="1"/>
  <c r="F177" i="23"/>
  <c r="G177" i="23" s="1"/>
  <c r="H177" i="23" s="1"/>
  <c r="M238" i="23" s="1"/>
  <c r="H102" i="23"/>
  <c r="P102" i="23" s="1"/>
  <c r="Q102" i="23" s="1"/>
  <c r="M102" i="23"/>
  <c r="E131" i="23"/>
  <c r="G234" i="23"/>
  <c r="F234" i="23" s="1"/>
  <c r="F173" i="23"/>
  <c r="G173" i="23" s="1"/>
  <c r="H173" i="23" s="1"/>
  <c r="M234" i="23" s="1"/>
  <c r="D131" i="23"/>
  <c r="C131" i="23" s="1"/>
  <c r="G241" i="23"/>
  <c r="F241" i="23" s="1"/>
  <c r="D138" i="23"/>
  <c r="C138" i="23" s="1"/>
  <c r="F180" i="23"/>
  <c r="G180" i="23" s="1"/>
  <c r="H180" i="23" s="1"/>
  <c r="M241" i="23" s="1"/>
  <c r="E138" i="23"/>
  <c r="G240" i="23"/>
  <c r="F240" i="23" s="1"/>
  <c r="E137" i="23"/>
  <c r="D137" i="23"/>
  <c r="C137" i="23" s="1"/>
  <c r="F179" i="23"/>
  <c r="G179" i="23" s="1"/>
  <c r="H179" i="23" s="1"/>
  <c r="M240" i="23" s="1"/>
  <c r="G235" i="23"/>
  <c r="F235" i="23" s="1"/>
  <c r="F174" i="23"/>
  <c r="G174" i="23" s="1"/>
  <c r="H174" i="23" s="1"/>
  <c r="M235" i="23" s="1"/>
  <c r="E132" i="23"/>
  <c r="D132" i="23"/>
  <c r="C132" i="23" s="1"/>
  <c r="H108" i="23"/>
  <c r="M108" i="23"/>
  <c r="D232" i="23"/>
  <c r="R129" i="23"/>
  <c r="M104" i="23"/>
  <c r="H104" i="23"/>
  <c r="M105" i="23"/>
  <c r="H105" i="23"/>
  <c r="F178" i="23"/>
  <c r="G178" i="23" s="1"/>
  <c r="H178" i="23" s="1"/>
  <c r="M239" i="23" s="1"/>
  <c r="E136" i="23"/>
  <c r="D136" i="23"/>
  <c r="C136" i="23" s="1"/>
  <c r="G239" i="23"/>
  <c r="F239" i="23" s="1"/>
  <c r="D232" i="17"/>
  <c r="D240" i="17"/>
  <c r="C135" i="17"/>
  <c r="C238" i="17" s="1"/>
  <c r="R135" i="17"/>
  <c r="C232" i="17"/>
  <c r="C133" i="17"/>
  <c r="C236" i="17" s="1"/>
  <c r="C137" i="17"/>
  <c r="C240" i="17" s="1"/>
  <c r="D233" i="17"/>
  <c r="D237" i="17"/>
  <c r="D241" i="17"/>
  <c r="C130" i="17"/>
  <c r="C233" i="17" s="1"/>
  <c r="C134" i="17"/>
  <c r="C237" i="17" s="1"/>
  <c r="C138" i="17"/>
  <c r="C241" i="17" s="1"/>
  <c r="K101" i="23" l="1"/>
  <c r="P101" i="23"/>
  <c r="Q101" i="23" s="1"/>
  <c r="C232" i="24"/>
  <c r="P149" i="24"/>
  <c r="C241" i="24"/>
  <c r="P158" i="24"/>
  <c r="C238" i="24"/>
  <c r="P155" i="24"/>
  <c r="C234" i="24"/>
  <c r="P151" i="24"/>
  <c r="C235" i="24"/>
  <c r="P152" i="24"/>
  <c r="C239" i="24"/>
  <c r="P156" i="24"/>
  <c r="P150" i="24"/>
  <c r="C233" i="24"/>
  <c r="P157" i="24"/>
  <c r="C240" i="24"/>
  <c r="K109" i="23"/>
  <c r="P109" i="23"/>
  <c r="Q109" i="23" s="1"/>
  <c r="K108" i="23"/>
  <c r="P108" i="23"/>
  <c r="Q108" i="23" s="1"/>
  <c r="K107" i="23"/>
  <c r="P107" i="23"/>
  <c r="Q107" i="23" s="1"/>
  <c r="K106" i="23"/>
  <c r="P106" i="23"/>
  <c r="Q106" i="23" s="1"/>
  <c r="K105" i="23"/>
  <c r="P105" i="23"/>
  <c r="Q105" i="23" s="1"/>
  <c r="K104" i="23"/>
  <c r="P104" i="23"/>
  <c r="Q104" i="23" s="1"/>
  <c r="K103" i="23"/>
  <c r="K102" i="23"/>
  <c r="K110" i="23"/>
  <c r="D239" i="23"/>
  <c r="R136" i="23"/>
  <c r="P175" i="23"/>
  <c r="Q175" i="23" s="1"/>
  <c r="R175" i="23" s="1"/>
  <c r="S175" i="23" s="1"/>
  <c r="N105" i="23"/>
  <c r="O105" i="23" s="1"/>
  <c r="P180" i="23"/>
  <c r="Q180" i="23" s="1"/>
  <c r="R180" i="23" s="1"/>
  <c r="S180" i="23" s="1"/>
  <c r="N110" i="23"/>
  <c r="O110" i="23" s="1"/>
  <c r="D236" i="23"/>
  <c r="R133" i="23"/>
  <c r="P177" i="23"/>
  <c r="Q177" i="23" s="1"/>
  <c r="R177" i="23" s="1"/>
  <c r="S177" i="23" s="1"/>
  <c r="N107" i="23"/>
  <c r="O107" i="23" s="1"/>
  <c r="E239" i="23"/>
  <c r="K239" i="23" s="1"/>
  <c r="H136" i="23"/>
  <c r="P149" i="23"/>
  <c r="C232" i="23"/>
  <c r="R132" i="23"/>
  <c r="D235" i="23"/>
  <c r="E241" i="23"/>
  <c r="K241" i="23" s="1"/>
  <c r="H138" i="23"/>
  <c r="E234" i="23"/>
  <c r="K234" i="23" s="1"/>
  <c r="H131" i="23"/>
  <c r="R135" i="23"/>
  <c r="D238" i="23"/>
  <c r="E237" i="23"/>
  <c r="K237" i="23" s="1"/>
  <c r="H134" i="23"/>
  <c r="E236" i="23"/>
  <c r="K236" i="23" s="1"/>
  <c r="H133" i="23"/>
  <c r="E233" i="23"/>
  <c r="K233" i="23" s="1"/>
  <c r="H130" i="23"/>
  <c r="P173" i="23"/>
  <c r="Q173" i="23" s="1"/>
  <c r="R173" i="23" s="1"/>
  <c r="S173" i="23" s="1"/>
  <c r="N103" i="23"/>
  <c r="O103" i="23" s="1"/>
  <c r="P176" i="23"/>
  <c r="Q176" i="23" s="1"/>
  <c r="R176" i="23" s="1"/>
  <c r="S176" i="23" s="1"/>
  <c r="N106" i="23"/>
  <c r="O106" i="23" s="1"/>
  <c r="P174" i="23"/>
  <c r="Q174" i="23" s="1"/>
  <c r="R174" i="23" s="1"/>
  <c r="S174" i="23" s="1"/>
  <c r="N104" i="23"/>
  <c r="O104" i="23" s="1"/>
  <c r="E235" i="23"/>
  <c r="K235" i="23" s="1"/>
  <c r="H132" i="23"/>
  <c r="D240" i="23"/>
  <c r="R137" i="23"/>
  <c r="R131" i="23"/>
  <c r="D234" i="23"/>
  <c r="P172" i="23"/>
  <c r="Q172" i="23" s="1"/>
  <c r="R172" i="23" s="1"/>
  <c r="S172" i="23" s="1"/>
  <c r="N102" i="23"/>
  <c r="O102" i="23" s="1"/>
  <c r="P179" i="23"/>
  <c r="Q179" i="23" s="1"/>
  <c r="R179" i="23" s="1"/>
  <c r="S179" i="23" s="1"/>
  <c r="N109" i="23"/>
  <c r="O109" i="23" s="1"/>
  <c r="P178" i="23"/>
  <c r="Q178" i="23" s="1"/>
  <c r="R178" i="23" s="1"/>
  <c r="S178" i="23" s="1"/>
  <c r="N108" i="23"/>
  <c r="O108" i="23" s="1"/>
  <c r="E240" i="23"/>
  <c r="K240" i="23" s="1"/>
  <c r="H137" i="23"/>
  <c r="D241" i="23"/>
  <c r="R138" i="23"/>
  <c r="E238" i="23"/>
  <c r="K238" i="23" s="1"/>
  <c r="H135" i="23"/>
  <c r="P171" i="23"/>
  <c r="Q171" i="23" s="1"/>
  <c r="R171" i="23" s="1"/>
  <c r="S171" i="23" s="1"/>
  <c r="N101" i="23"/>
  <c r="O101" i="23" s="1"/>
  <c r="D237" i="23"/>
  <c r="R134" i="23"/>
  <c r="D233" i="23"/>
  <c r="R130" i="23"/>
  <c r="C233" i="23" l="1"/>
  <c r="P150" i="23"/>
  <c r="C240" i="23"/>
  <c r="P157" i="23"/>
  <c r="C238" i="23"/>
  <c r="P155" i="23"/>
  <c r="P156" i="23"/>
  <c r="C239" i="23"/>
  <c r="C237" i="23"/>
  <c r="P154" i="23"/>
  <c r="P152" i="23"/>
  <c r="C235" i="23"/>
  <c r="C241" i="23"/>
  <c r="P158" i="23"/>
  <c r="C234" i="23"/>
  <c r="P151" i="23"/>
  <c r="C236" i="23"/>
  <c r="P153" i="23"/>
  <c r="M201" i="17"/>
  <c r="F201" i="17"/>
  <c r="G201" i="17" s="1"/>
  <c r="H201" i="17" s="1"/>
  <c r="N232" i="17" s="1"/>
  <c r="L202" i="17"/>
  <c r="L203" i="17"/>
  <c r="L204" i="17"/>
  <c r="L205" i="17"/>
  <c r="L206" i="17"/>
  <c r="L207" i="17"/>
  <c r="L208" i="17"/>
  <c r="L209" i="17"/>
  <c r="L210" i="17"/>
  <c r="L201" i="17"/>
  <c r="L171" i="17"/>
  <c r="F202" i="17"/>
  <c r="G202" i="17" s="1"/>
  <c r="H202" i="17" s="1"/>
  <c r="N233" i="17" s="1"/>
  <c r="F203" i="17"/>
  <c r="G203" i="17" s="1"/>
  <c r="H203" i="17" s="1"/>
  <c r="N234" i="17" s="1"/>
  <c r="F204" i="17"/>
  <c r="G204" i="17" s="1"/>
  <c r="H204" i="17" s="1"/>
  <c r="N235" i="17" s="1"/>
  <c r="F205" i="17"/>
  <c r="G205" i="17" s="1"/>
  <c r="H205" i="17" s="1"/>
  <c r="N236" i="17" s="1"/>
  <c r="F206" i="17"/>
  <c r="G206" i="17" s="1"/>
  <c r="H206" i="17" s="1"/>
  <c r="N237" i="17" s="1"/>
  <c r="F207" i="17"/>
  <c r="G207" i="17" s="1"/>
  <c r="H207" i="17" s="1"/>
  <c r="N238" i="17" s="1"/>
  <c r="F208" i="17"/>
  <c r="G208" i="17" s="1"/>
  <c r="H208" i="17" s="1"/>
  <c r="N239" i="17" s="1"/>
  <c r="F209" i="17"/>
  <c r="G209" i="17" s="1"/>
  <c r="H209" i="17" s="1"/>
  <c r="N240" i="17" s="1"/>
  <c r="F210" i="17"/>
  <c r="G210" i="17" s="1"/>
  <c r="H210" i="17" s="1"/>
  <c r="N241" i="17" s="1"/>
  <c r="F172" i="17"/>
  <c r="F173" i="17"/>
  <c r="F174" i="17"/>
  <c r="F175" i="17"/>
  <c r="F176" i="17"/>
  <c r="F177" i="17"/>
  <c r="F178" i="17"/>
  <c r="F179" i="17"/>
  <c r="F180" i="17"/>
  <c r="F171" i="17"/>
  <c r="G171" i="17" s="1"/>
  <c r="H171" i="17" s="1"/>
  <c r="M232" i="17" s="1"/>
  <c r="P150" i="17"/>
  <c r="P151" i="17"/>
  <c r="P152" i="17"/>
  <c r="P153" i="17"/>
  <c r="P154" i="17"/>
  <c r="P155" i="17"/>
  <c r="P156" i="17"/>
  <c r="P157" i="17"/>
  <c r="P158" i="17"/>
  <c r="E108" i="17"/>
  <c r="E101" i="17"/>
  <c r="H101" i="17" s="1"/>
  <c r="E31" i="17"/>
  <c r="J102" i="17" s="1"/>
  <c r="E32" i="17"/>
  <c r="J103" i="17" s="1"/>
  <c r="E33" i="17"/>
  <c r="J104" i="17" s="1"/>
  <c r="E34" i="17"/>
  <c r="J105" i="17" s="1"/>
  <c r="E35" i="17"/>
  <c r="J106" i="17" s="1"/>
  <c r="E36" i="17"/>
  <c r="J107" i="17" s="1"/>
  <c r="E37" i="17"/>
  <c r="J108" i="17" s="1"/>
  <c r="E38" i="17"/>
  <c r="J109" i="17" s="1"/>
  <c r="E39" i="17"/>
  <c r="J110" i="17" s="1"/>
  <c r="L172" i="17"/>
  <c r="L173" i="17"/>
  <c r="L174" i="17"/>
  <c r="L175" i="17"/>
  <c r="L176" i="17"/>
  <c r="L177" i="17"/>
  <c r="L178" i="17"/>
  <c r="L179" i="17"/>
  <c r="L180" i="17"/>
  <c r="M171" i="17"/>
  <c r="N171" i="17" s="1"/>
  <c r="N202" i="17" l="1"/>
  <c r="N208" i="17"/>
  <c r="O208" i="17" s="1"/>
  <c r="N204" i="17"/>
  <c r="O204" i="17" s="1"/>
  <c r="N209" i="17"/>
  <c r="O209" i="17" s="1"/>
  <c r="N205" i="17"/>
  <c r="O205" i="17" s="1"/>
  <c r="N201" i="17"/>
  <c r="O201" i="17" s="1"/>
  <c r="N207" i="17"/>
  <c r="O207" i="17" s="1"/>
  <c r="N203" i="17"/>
  <c r="O203" i="17" s="1"/>
  <c r="O202" i="17"/>
  <c r="N210" i="17"/>
  <c r="O210" i="17" s="1"/>
  <c r="N206" i="17"/>
  <c r="O206" i="17" s="1"/>
  <c r="O171" i="17"/>
  <c r="P149" i="17"/>
  <c r="M101" i="17"/>
  <c r="N101" i="17" s="1"/>
  <c r="O101" i="17" s="1"/>
  <c r="E102" i="17"/>
  <c r="M102" i="17" s="1"/>
  <c r="E103" i="17"/>
  <c r="M103" i="17" s="1"/>
  <c r="E104" i="17"/>
  <c r="M104" i="17" s="1"/>
  <c r="E105" i="17"/>
  <c r="M105" i="17" s="1"/>
  <c r="E106" i="17"/>
  <c r="M106" i="17" s="1"/>
  <c r="E107" i="17"/>
  <c r="M107" i="17" s="1"/>
  <c r="E109" i="17"/>
  <c r="E110" i="17"/>
  <c r="H104" i="17" l="1"/>
  <c r="P104" i="17" s="1"/>
  <c r="Q104" i="17" s="1"/>
  <c r="K104" i="17" l="1"/>
  <c r="H103" i="17"/>
  <c r="H102" i="17"/>
  <c r="H105" i="17"/>
  <c r="H110" i="17"/>
  <c r="M110" i="17"/>
  <c r="H109" i="17"/>
  <c r="M109" i="17"/>
  <c r="H107" i="17"/>
  <c r="K109" i="17" l="1"/>
  <c r="P109" i="17"/>
  <c r="Q109" i="17" s="1"/>
  <c r="K102" i="17"/>
  <c r="P102" i="17"/>
  <c r="Q102" i="17" s="1"/>
  <c r="K103" i="17"/>
  <c r="P103" i="17"/>
  <c r="Q103" i="17" s="1"/>
  <c r="K107" i="17"/>
  <c r="P107" i="17"/>
  <c r="Q107" i="17" s="1"/>
  <c r="K110" i="17"/>
  <c r="P110" i="17"/>
  <c r="Q110" i="17" s="1"/>
  <c r="K105" i="17"/>
  <c r="P105" i="17"/>
  <c r="Q105" i="17" s="1"/>
  <c r="N102" i="17"/>
  <c r="O102" i="17" s="1"/>
  <c r="N104" i="17"/>
  <c r="O104" i="17" s="1"/>
  <c r="N109" i="17"/>
  <c r="O109" i="17" s="1"/>
  <c r="N105" i="17"/>
  <c r="O105" i="17" s="1"/>
  <c r="N110" i="17"/>
  <c r="O110" i="17" s="1"/>
  <c r="H108" i="17"/>
  <c r="M108" i="17"/>
  <c r="H106" i="17"/>
  <c r="K108" i="17" l="1"/>
  <c r="P108" i="17"/>
  <c r="Q108" i="17" s="1"/>
  <c r="K106" i="17"/>
  <c r="P106" i="17"/>
  <c r="Q106" i="17" s="1"/>
  <c r="N107" i="17"/>
  <c r="O107" i="17" s="1"/>
  <c r="N106" i="17"/>
  <c r="O106" i="17" s="1"/>
  <c r="N103" i="17"/>
  <c r="O103" i="17" s="1"/>
  <c r="N108" i="17"/>
  <c r="O108" i="17" s="1"/>
  <c r="E30" i="17"/>
  <c r="H149" i="17"/>
  <c r="I152" i="17" s="1"/>
  <c r="I30" i="11"/>
  <c r="J101" i="17" l="1"/>
  <c r="G174" i="17"/>
  <c r="H174" i="17" s="1"/>
  <c r="M152" i="17"/>
  <c r="I155" i="17"/>
  <c r="I151" i="17"/>
  <c r="I157" i="17"/>
  <c r="I153" i="17"/>
  <c r="I156" i="17"/>
  <c r="M156" i="17" s="1"/>
  <c r="I150" i="17"/>
  <c r="I158" i="17"/>
  <c r="I154" i="17"/>
  <c r="K12" i="16"/>
  <c r="T22" i="16"/>
  <c r="T23" i="16"/>
  <c r="X16" i="16"/>
  <c r="X17" i="16"/>
  <c r="X18" i="16"/>
  <c r="X19" i="16"/>
  <c r="X15" i="16"/>
  <c r="K101" i="17" l="1"/>
  <c r="P101" i="17"/>
  <c r="Q101" i="17" s="1"/>
  <c r="N174" i="17"/>
  <c r="O174" i="17" s="1"/>
  <c r="Q174" i="17" s="1"/>
  <c r="R174" i="17" s="1"/>
  <c r="M235" i="17"/>
  <c r="G180" i="17"/>
  <c r="H180" i="17" s="1"/>
  <c r="M158" i="17"/>
  <c r="G175" i="17"/>
  <c r="H175" i="17" s="1"/>
  <c r="M153" i="17"/>
  <c r="G172" i="17"/>
  <c r="H172" i="17" s="1"/>
  <c r="M150" i="17"/>
  <c r="G179" i="17"/>
  <c r="H179" i="17" s="1"/>
  <c r="M157" i="17"/>
  <c r="G178" i="17"/>
  <c r="H178" i="17" s="1"/>
  <c r="G173" i="17"/>
  <c r="H173" i="17" s="1"/>
  <c r="M151" i="17"/>
  <c r="G176" i="17"/>
  <c r="H176" i="17" s="1"/>
  <c r="M154" i="17"/>
  <c r="G177" i="17"/>
  <c r="H177" i="17" s="1"/>
  <c r="M155" i="17"/>
  <c r="I113" i="16"/>
  <c r="J113" i="16" s="1"/>
  <c r="I112" i="16"/>
  <c r="J112" i="16" s="1"/>
  <c r="I111" i="16"/>
  <c r="J111" i="16" s="1"/>
  <c r="I110" i="16"/>
  <c r="J110" i="16" s="1"/>
  <c r="I109" i="16"/>
  <c r="J109" i="16" s="1"/>
  <c r="I108" i="16"/>
  <c r="J108" i="16" s="1"/>
  <c r="I107" i="16"/>
  <c r="J107" i="16" s="1"/>
  <c r="I106" i="16"/>
  <c r="J106" i="16" s="1"/>
  <c r="I105" i="16"/>
  <c r="J105" i="16" s="1"/>
  <c r="I104" i="16"/>
  <c r="J104" i="16" s="1"/>
  <c r="I103" i="16"/>
  <c r="J103" i="16" s="1"/>
  <c r="N98" i="16"/>
  <c r="O98" i="16" s="1"/>
  <c r="I98" i="16"/>
  <c r="J98" i="16" s="1"/>
  <c r="N97" i="16"/>
  <c r="O97" i="16" s="1"/>
  <c r="I97" i="16"/>
  <c r="J97" i="16" s="1"/>
  <c r="N96" i="16"/>
  <c r="O96" i="16" s="1"/>
  <c r="I96" i="16"/>
  <c r="J96" i="16" s="1"/>
  <c r="N95" i="16"/>
  <c r="O95" i="16" s="1"/>
  <c r="I95" i="16"/>
  <c r="J95" i="16" s="1"/>
  <c r="N94" i="16"/>
  <c r="O94" i="16" s="1"/>
  <c r="I94" i="16"/>
  <c r="J94" i="16" s="1"/>
  <c r="N93" i="16"/>
  <c r="O93" i="16" s="1"/>
  <c r="I93" i="16"/>
  <c r="J93" i="16" s="1"/>
  <c r="N92" i="16"/>
  <c r="O92" i="16" s="1"/>
  <c r="I92" i="16"/>
  <c r="J92" i="16" s="1"/>
  <c r="N91" i="16"/>
  <c r="O91" i="16" s="1"/>
  <c r="I91" i="16"/>
  <c r="J91" i="16" s="1"/>
  <c r="N90" i="16"/>
  <c r="O90" i="16" s="1"/>
  <c r="I90" i="16"/>
  <c r="J90" i="16" s="1"/>
  <c r="N89" i="16"/>
  <c r="O89" i="16" s="1"/>
  <c r="I89" i="16"/>
  <c r="J89" i="16" s="1"/>
  <c r="N88" i="16"/>
  <c r="O88" i="16" s="1"/>
  <c r="I88" i="16"/>
  <c r="J88" i="16" s="1"/>
  <c r="I81" i="16"/>
  <c r="I80" i="16"/>
  <c r="I79" i="16"/>
  <c r="I78" i="16"/>
  <c r="I77" i="16"/>
  <c r="I76" i="16"/>
  <c r="I75" i="16"/>
  <c r="I74" i="16"/>
  <c r="I73" i="16"/>
  <c r="I72" i="16"/>
  <c r="D60" i="16"/>
  <c r="D59" i="16"/>
  <c r="D58" i="16"/>
  <c r="D57" i="16"/>
  <c r="D56" i="16"/>
  <c r="D55" i="16"/>
  <c r="D54" i="16"/>
  <c r="D53" i="16"/>
  <c r="D52" i="16"/>
  <c r="D51" i="16"/>
  <c r="C46" i="16"/>
  <c r="C45" i="16"/>
  <c r="C44" i="16"/>
  <c r="C43" i="16"/>
  <c r="C42" i="16"/>
  <c r="C41" i="16"/>
  <c r="C40" i="16"/>
  <c r="C39" i="16"/>
  <c r="C38" i="16"/>
  <c r="C37" i="16"/>
  <c r="C36" i="16"/>
  <c r="J32" i="16"/>
  <c r="K32" i="16" s="1"/>
  <c r="K47" i="16" s="1"/>
  <c r="AE30" i="16"/>
  <c r="AE29" i="16"/>
  <c r="AE28" i="16"/>
  <c r="AE27" i="16"/>
  <c r="AE26" i="16"/>
  <c r="AE25" i="16"/>
  <c r="AE24" i="16"/>
  <c r="AE23" i="16"/>
  <c r="Q23" i="16"/>
  <c r="R23" i="16" s="1"/>
  <c r="J23" i="16"/>
  <c r="K23" i="16" s="1"/>
  <c r="D23" i="16"/>
  <c r="E23" i="16" s="1"/>
  <c r="AE22" i="16"/>
  <c r="Q22" i="16"/>
  <c r="R22" i="16" s="1"/>
  <c r="S23" i="16" s="1"/>
  <c r="J22" i="16"/>
  <c r="K22" i="16" s="1"/>
  <c r="L23" i="16" s="1"/>
  <c r="E22" i="16"/>
  <c r="D22" i="16"/>
  <c r="AE21" i="16"/>
  <c r="R21" i="16"/>
  <c r="S22" i="16" s="1"/>
  <c r="Q21" i="16"/>
  <c r="J21" i="16"/>
  <c r="K21" i="16" s="1"/>
  <c r="L22" i="16" s="1"/>
  <c r="D21" i="16"/>
  <c r="E21" i="16" s="1"/>
  <c r="R20" i="16"/>
  <c r="S21" i="16" s="1"/>
  <c r="Q20" i="16"/>
  <c r="J20" i="16"/>
  <c r="K20" i="16" s="1"/>
  <c r="L21" i="16" s="1"/>
  <c r="D20" i="16"/>
  <c r="E20" i="16" s="1"/>
  <c r="Q19" i="16"/>
  <c r="R19" i="16" s="1"/>
  <c r="S20" i="16" s="1"/>
  <c r="T21" i="16" s="1"/>
  <c r="J19" i="16"/>
  <c r="K19" i="16" s="1"/>
  <c r="L20" i="16" s="1"/>
  <c r="D19" i="16"/>
  <c r="E19" i="16" s="1"/>
  <c r="Q18" i="16"/>
  <c r="R18" i="16" s="1"/>
  <c r="J18" i="16"/>
  <c r="K18" i="16" s="1"/>
  <c r="D18" i="16"/>
  <c r="E18" i="16" s="1"/>
  <c r="AD17" i="16"/>
  <c r="AE17" i="16" s="1"/>
  <c r="Q17" i="16"/>
  <c r="R17" i="16" s="1"/>
  <c r="J17" i="16"/>
  <c r="K17" i="16" s="1"/>
  <c r="D17" i="16"/>
  <c r="E17" i="16" s="1"/>
  <c r="AD16" i="16"/>
  <c r="AE16" i="16" s="1"/>
  <c r="Q16" i="16"/>
  <c r="R16" i="16" s="1"/>
  <c r="J16" i="16"/>
  <c r="K16" i="16" s="1"/>
  <c r="D16" i="16"/>
  <c r="E16" i="16" s="1"/>
  <c r="AD15" i="16"/>
  <c r="AE15" i="16" s="1"/>
  <c r="Q15" i="16"/>
  <c r="R15" i="16" s="1"/>
  <c r="J15" i="16"/>
  <c r="K15" i="16" s="1"/>
  <c r="D15" i="16"/>
  <c r="E15" i="16" s="1"/>
  <c r="AD14" i="16"/>
  <c r="AE14" i="16" s="1"/>
  <c r="Q14" i="16"/>
  <c r="R14" i="16" s="1"/>
  <c r="J14" i="16"/>
  <c r="K14" i="16" s="1"/>
  <c r="D14" i="16"/>
  <c r="E14" i="16" s="1"/>
  <c r="AD13" i="16"/>
  <c r="AE13" i="16" s="1"/>
  <c r="AD12" i="16"/>
  <c r="AE12" i="16" s="1"/>
  <c r="AD11" i="16"/>
  <c r="AE11" i="16" s="1"/>
  <c r="AD10" i="16"/>
  <c r="AE10" i="16" s="1"/>
  <c r="AD9" i="16"/>
  <c r="AE9" i="16" s="1"/>
  <c r="AD8" i="16"/>
  <c r="AE8" i="16" s="1"/>
  <c r="N177" i="17" l="1"/>
  <c r="O177" i="17" s="1"/>
  <c r="Q177" i="17" s="1"/>
  <c r="R177" i="17" s="1"/>
  <c r="M238" i="17"/>
  <c r="N173" i="17"/>
  <c r="O173" i="17" s="1"/>
  <c r="M234" i="17"/>
  <c r="N178" i="17"/>
  <c r="O178" i="17" s="1"/>
  <c r="Q178" i="17" s="1"/>
  <c r="R178" i="17" s="1"/>
  <c r="M239" i="17"/>
  <c r="N172" i="17"/>
  <c r="O172" i="17" s="1"/>
  <c r="Q172" i="17" s="1"/>
  <c r="R172" i="17" s="1"/>
  <c r="M233" i="17"/>
  <c r="N180" i="17"/>
  <c r="O180" i="17" s="1"/>
  <c r="Q180" i="17" s="1"/>
  <c r="R180" i="17" s="1"/>
  <c r="M241" i="17"/>
  <c r="N176" i="17"/>
  <c r="O176" i="17" s="1"/>
  <c r="Q176" i="17" s="1"/>
  <c r="R176" i="17" s="1"/>
  <c r="M237" i="17"/>
  <c r="N179" i="17"/>
  <c r="O179" i="17" s="1"/>
  <c r="Q179" i="17" s="1"/>
  <c r="R179" i="17" s="1"/>
  <c r="M240" i="17"/>
  <c r="N175" i="17"/>
  <c r="O175" i="17" s="1"/>
  <c r="Q175" i="17" s="1"/>
  <c r="R175" i="17" s="1"/>
  <c r="M236" i="17"/>
  <c r="S174" i="17"/>
  <c r="L16" i="16"/>
  <c r="L15" i="16"/>
  <c r="L18" i="16"/>
  <c r="L19" i="16"/>
  <c r="S19" i="16"/>
  <c r="S18" i="16"/>
  <c r="S15" i="16"/>
  <c r="S16" i="16"/>
  <c r="S17" i="16"/>
  <c r="L17" i="16"/>
  <c r="K33" i="16"/>
  <c r="K48" i="16" s="1"/>
  <c r="K36" i="16"/>
  <c r="K51" i="16" s="1"/>
  <c r="K38" i="16"/>
  <c r="K53" i="16" s="1"/>
  <c r="K40" i="16"/>
  <c r="K55" i="16" s="1"/>
  <c r="K34" i="16"/>
  <c r="K49" i="16" s="1"/>
  <c r="K35" i="16"/>
  <c r="K50" i="16" s="1"/>
  <c r="K37" i="16"/>
  <c r="K52" i="16" s="1"/>
  <c r="K39" i="16"/>
  <c r="K54" i="16" s="1"/>
  <c r="K41" i="16"/>
  <c r="K56" i="16" s="1"/>
  <c r="K12" i="12"/>
  <c r="C34" i="12"/>
  <c r="N86" i="12"/>
  <c r="I111" i="12"/>
  <c r="J111" i="12" s="1"/>
  <c r="I110" i="12"/>
  <c r="J110" i="12" s="1"/>
  <c r="I109" i="12"/>
  <c r="J109" i="12" s="1"/>
  <c r="I108" i="12"/>
  <c r="J108" i="12" s="1"/>
  <c r="I107" i="12"/>
  <c r="J107" i="12" s="1"/>
  <c r="I106" i="12"/>
  <c r="J106" i="12" s="1"/>
  <c r="I105" i="12"/>
  <c r="J105" i="12" s="1"/>
  <c r="I104" i="12"/>
  <c r="J104" i="12" s="1"/>
  <c r="I103" i="12"/>
  <c r="J103" i="12" s="1"/>
  <c r="I102" i="12"/>
  <c r="J102" i="12" s="1"/>
  <c r="I101" i="12"/>
  <c r="J101" i="12" s="1"/>
  <c r="J21" i="12"/>
  <c r="K21" i="12" s="1"/>
  <c r="J20" i="12"/>
  <c r="K20" i="12" s="1"/>
  <c r="J19" i="12"/>
  <c r="K19" i="12" s="1"/>
  <c r="L20" i="12" s="1"/>
  <c r="J18" i="12"/>
  <c r="K18" i="12" s="1"/>
  <c r="L19" i="12" s="1"/>
  <c r="J17" i="12"/>
  <c r="K17" i="12" s="1"/>
  <c r="J16" i="12"/>
  <c r="K16" i="12" s="1"/>
  <c r="L17" i="12" s="1"/>
  <c r="J15" i="12"/>
  <c r="K15" i="12" s="1"/>
  <c r="L16" i="12" s="1"/>
  <c r="K14" i="12"/>
  <c r="L15" i="12" s="1"/>
  <c r="J14" i="12"/>
  <c r="J13" i="12"/>
  <c r="K13" i="12" s="1"/>
  <c r="J12" i="12"/>
  <c r="L13" i="12" s="1"/>
  <c r="E12" i="12"/>
  <c r="D12" i="12"/>
  <c r="I86" i="12"/>
  <c r="J86" i="12" s="1"/>
  <c r="I87" i="12"/>
  <c r="J87" i="12" s="1"/>
  <c r="I88" i="12"/>
  <c r="J88" i="12" s="1"/>
  <c r="I89" i="12"/>
  <c r="J89" i="12" s="1"/>
  <c r="I90" i="12"/>
  <c r="J90" i="12" s="1"/>
  <c r="I91" i="12"/>
  <c r="J91" i="12" s="1"/>
  <c r="I92" i="12"/>
  <c r="J92" i="12" s="1"/>
  <c r="I93" i="12"/>
  <c r="J93" i="12" s="1"/>
  <c r="I94" i="12"/>
  <c r="J94" i="12" s="1"/>
  <c r="I95" i="12"/>
  <c r="J95" i="12" s="1"/>
  <c r="I96" i="12"/>
  <c r="J96" i="12" s="1"/>
  <c r="N87" i="12"/>
  <c r="N88" i="12"/>
  <c r="O88" i="12" s="1"/>
  <c r="N89" i="12"/>
  <c r="O89" i="12" s="1"/>
  <c r="N90" i="12"/>
  <c r="N91" i="12"/>
  <c r="N92" i="12"/>
  <c r="O92" i="12" s="1"/>
  <c r="N93" i="12"/>
  <c r="O93" i="12" s="1"/>
  <c r="N94" i="12"/>
  <c r="N95" i="12"/>
  <c r="N96" i="12"/>
  <c r="O96" i="12" s="1"/>
  <c r="O95" i="12"/>
  <c r="O94" i="12"/>
  <c r="O91" i="12"/>
  <c r="O90" i="12"/>
  <c r="O87" i="12"/>
  <c r="O86" i="12"/>
  <c r="D49" i="12"/>
  <c r="I71" i="12"/>
  <c r="I72" i="12"/>
  <c r="I73" i="12"/>
  <c r="I74" i="12"/>
  <c r="I75" i="12"/>
  <c r="I70" i="12"/>
  <c r="I76" i="12"/>
  <c r="I77" i="12"/>
  <c r="I78" i="12"/>
  <c r="I79" i="12"/>
  <c r="S176" i="17" l="1"/>
  <c r="S178" i="17"/>
  <c r="S177" i="17"/>
  <c r="S180" i="17"/>
  <c r="S172" i="17"/>
  <c r="S175" i="17"/>
  <c r="S179" i="17"/>
  <c r="Q173" i="17"/>
  <c r="T16" i="16"/>
  <c r="T17" i="16"/>
  <c r="T18" i="16"/>
  <c r="T19" i="16"/>
  <c r="T20" i="16"/>
  <c r="L14" i="12"/>
  <c r="L18" i="12"/>
  <c r="L21" i="12"/>
  <c r="E13" i="14"/>
  <c r="Q171" i="17" l="1"/>
  <c r="R171" i="17" s="1"/>
  <c r="R173" i="17"/>
  <c r="E12" i="14"/>
  <c r="S173" i="17" l="1"/>
  <c r="S171" i="17"/>
  <c r="P17" i="15"/>
  <c r="P18" i="15"/>
  <c r="P19" i="15"/>
  <c r="P20" i="15"/>
  <c r="P21" i="15"/>
  <c r="P22" i="15"/>
  <c r="P23" i="15"/>
  <c r="P24" i="15"/>
  <c r="P25" i="15"/>
  <c r="P26" i="15"/>
  <c r="P27" i="15"/>
  <c r="P16" i="15"/>
  <c r="O16" i="15"/>
  <c r="O17" i="15"/>
  <c r="O18" i="15"/>
  <c r="O19" i="15"/>
  <c r="O20" i="15"/>
  <c r="O21" i="15"/>
  <c r="O22" i="15"/>
  <c r="O23" i="15"/>
  <c r="O24" i="15"/>
  <c r="O25" i="15"/>
  <c r="O26" i="15"/>
  <c r="O27" i="15"/>
  <c r="J16" i="15"/>
  <c r="K27" i="15" l="1"/>
  <c r="K44" i="15" s="1"/>
  <c r="L44" i="15" s="1"/>
  <c r="K16" i="15"/>
  <c r="K33" i="15" s="1"/>
  <c r="L33" i="15" s="1"/>
  <c r="K26" i="15"/>
  <c r="J30" i="14"/>
  <c r="K17" i="15"/>
  <c r="K34" i="15" s="1"/>
  <c r="L34" i="15" s="1"/>
  <c r="K18" i="15"/>
  <c r="K35" i="15" s="1"/>
  <c r="K19" i="15"/>
  <c r="K36" i="15" s="1"/>
  <c r="L36" i="15" s="1"/>
  <c r="K20" i="15"/>
  <c r="K37" i="15" s="1"/>
  <c r="L37" i="15" s="1"/>
  <c r="K21" i="15"/>
  <c r="K38" i="15" s="1"/>
  <c r="L38" i="15" s="1"/>
  <c r="K22" i="15"/>
  <c r="K39" i="15" s="1"/>
  <c r="L39" i="15" s="1"/>
  <c r="K23" i="15"/>
  <c r="K40" i="15" s="1"/>
  <c r="L40" i="15" s="1"/>
  <c r="K24" i="15"/>
  <c r="K41" i="15" s="1"/>
  <c r="L41" i="15" s="1"/>
  <c r="K25" i="15"/>
  <c r="R30" i="15"/>
  <c r="R29" i="15"/>
  <c r="R28" i="15"/>
  <c r="I30" i="14"/>
  <c r="J21" i="14"/>
  <c r="E21" i="14"/>
  <c r="D21" i="14"/>
  <c r="J20" i="14"/>
  <c r="D20" i="14"/>
  <c r="E20" i="14" s="1"/>
  <c r="J19" i="14"/>
  <c r="D19" i="14"/>
  <c r="E19" i="14" s="1"/>
  <c r="J18" i="14"/>
  <c r="D18" i="14"/>
  <c r="E18" i="14" s="1"/>
  <c r="J17" i="14"/>
  <c r="E17" i="14"/>
  <c r="D17" i="14"/>
  <c r="J16" i="14"/>
  <c r="D16" i="14"/>
  <c r="E16" i="14" s="1"/>
  <c r="J15" i="14"/>
  <c r="D15" i="14"/>
  <c r="E15" i="14" s="1"/>
  <c r="J14" i="14"/>
  <c r="D14" i="14"/>
  <c r="E14" i="14" s="1"/>
  <c r="K13" i="14"/>
  <c r="J13" i="14"/>
  <c r="C13" i="14"/>
  <c r="D13" i="14" s="1"/>
  <c r="J12" i="14"/>
  <c r="D12" i="14"/>
  <c r="N35" i="15" l="1"/>
  <c r="S35" i="15" s="1"/>
  <c r="T35" i="15" s="1"/>
  <c r="U35" i="15" s="1"/>
  <c r="L35" i="15"/>
  <c r="K43" i="15"/>
  <c r="K42" i="15"/>
  <c r="N39" i="15"/>
  <c r="S39" i="15" s="1"/>
  <c r="T39" i="15" s="1"/>
  <c r="U39" i="15" s="1"/>
  <c r="N36" i="15"/>
  <c r="S36" i="15" s="1"/>
  <c r="T36" i="15" s="1"/>
  <c r="U36" i="15" s="1"/>
  <c r="N40" i="15"/>
  <c r="S40" i="15" s="1"/>
  <c r="T40" i="15" s="1"/>
  <c r="U40" i="15" s="1"/>
  <c r="N33" i="15"/>
  <c r="S33" i="15" s="1"/>
  <c r="T33" i="15" s="1"/>
  <c r="U33" i="15" s="1"/>
  <c r="N37" i="15"/>
  <c r="S37" i="15" s="1"/>
  <c r="T37" i="15" s="1"/>
  <c r="U37" i="15" s="1"/>
  <c r="N34" i="15"/>
  <c r="S34" i="15" s="1"/>
  <c r="T34" i="15" s="1"/>
  <c r="U34" i="15" s="1"/>
  <c r="K45" i="15"/>
  <c r="J46" i="14"/>
  <c r="J44" i="14"/>
  <c r="J42" i="14"/>
  <c r="J40" i="14"/>
  <c r="J38" i="14"/>
  <c r="J36" i="14"/>
  <c r="J45" i="14"/>
  <c r="J43" i="14"/>
  <c r="J41" i="14"/>
  <c r="J39" i="14"/>
  <c r="J37" i="14"/>
  <c r="J35" i="14"/>
  <c r="J30" i="11"/>
  <c r="D21" i="11"/>
  <c r="E12" i="11"/>
  <c r="N42" i="15" l="1"/>
  <c r="L42" i="15"/>
  <c r="N43" i="15"/>
  <c r="L43" i="15"/>
  <c r="N41" i="15"/>
  <c r="S41" i="15" s="1"/>
  <c r="T41" i="15" s="1"/>
  <c r="U41" i="15" s="1"/>
  <c r="N44" i="15"/>
  <c r="S44" i="15" s="1"/>
  <c r="K46" i="15"/>
  <c r="N38" i="15"/>
  <c r="J35" i="11"/>
  <c r="L35" i="11" s="1"/>
  <c r="S21" i="12"/>
  <c r="S20" i="12"/>
  <c r="S19" i="12"/>
  <c r="S18" i="12"/>
  <c r="S17" i="12"/>
  <c r="S16" i="12"/>
  <c r="S15" i="12"/>
  <c r="S14" i="12"/>
  <c r="N46" i="15" l="1"/>
  <c r="N45" i="15"/>
  <c r="S38" i="15"/>
  <c r="T44" i="15"/>
  <c r="U44" i="15" s="1"/>
  <c r="S45" i="15" l="1"/>
  <c r="T38" i="15"/>
  <c r="U38" i="15" s="1"/>
  <c r="S46" i="15"/>
  <c r="D50" i="12"/>
  <c r="D51" i="12"/>
  <c r="D52" i="12"/>
  <c r="D53" i="12"/>
  <c r="D54" i="12"/>
  <c r="D55" i="12"/>
  <c r="D56" i="12"/>
  <c r="D57" i="12"/>
  <c r="D58" i="12"/>
  <c r="C35" i="12"/>
  <c r="C36" i="12"/>
  <c r="C37" i="12"/>
  <c r="C38" i="12"/>
  <c r="C39" i="12"/>
  <c r="C40" i="12"/>
  <c r="C41" i="12"/>
  <c r="C42" i="12"/>
  <c r="C43" i="12"/>
  <c r="C44" i="12"/>
  <c r="AC28" i="12" l="1"/>
  <c r="AC27" i="12"/>
  <c r="AC26" i="12"/>
  <c r="AC25" i="12"/>
  <c r="AC24" i="12"/>
  <c r="AC23" i="12"/>
  <c r="AC22" i="12"/>
  <c r="AC21" i="12"/>
  <c r="AC20" i="12"/>
  <c r="AC19" i="12"/>
  <c r="AC15" i="12"/>
  <c r="AB15" i="12"/>
  <c r="AC14" i="12"/>
  <c r="AB14" i="12"/>
  <c r="AC13" i="12"/>
  <c r="AB13" i="12"/>
  <c r="AC12" i="12"/>
  <c r="AB12" i="12"/>
  <c r="AC11" i="12"/>
  <c r="AB11" i="12"/>
  <c r="AC10" i="12"/>
  <c r="AB10" i="12"/>
  <c r="AC9" i="12"/>
  <c r="AB9" i="12"/>
  <c r="AC8" i="12"/>
  <c r="AB8" i="12"/>
  <c r="AC7" i="12"/>
  <c r="AB7" i="12"/>
  <c r="AC6" i="12"/>
  <c r="AB6" i="12"/>
  <c r="K31" i="12" l="1"/>
  <c r="P31" i="12" s="1"/>
  <c r="K33" i="12"/>
  <c r="P33" i="12" s="1"/>
  <c r="K34" i="12"/>
  <c r="P34" i="12" s="1"/>
  <c r="K35" i="12"/>
  <c r="P35" i="12" s="1"/>
  <c r="K37" i="12"/>
  <c r="P37" i="12" s="1"/>
  <c r="K38" i="12"/>
  <c r="P38" i="12" s="1"/>
  <c r="K39" i="12"/>
  <c r="P39" i="12" s="1"/>
  <c r="Q13" i="12"/>
  <c r="R13" i="12" s="1"/>
  <c r="Q14" i="12"/>
  <c r="R14" i="12" s="1"/>
  <c r="Q15" i="12"/>
  <c r="R15" i="12" s="1"/>
  <c r="Q16" i="12"/>
  <c r="R16" i="12" s="1"/>
  <c r="Q17" i="12"/>
  <c r="R17" i="12" s="1"/>
  <c r="Q18" i="12"/>
  <c r="R18" i="12" s="1"/>
  <c r="Q19" i="12"/>
  <c r="R19" i="12" s="1"/>
  <c r="Q20" i="12"/>
  <c r="R20" i="12" s="1"/>
  <c r="Q21" i="12"/>
  <c r="R21" i="12" s="1"/>
  <c r="Q12" i="12"/>
  <c r="R12" i="12" s="1"/>
  <c r="S13" i="12" s="1"/>
  <c r="K36" i="12" l="1"/>
  <c r="P36" i="12" s="1"/>
  <c r="K32" i="12"/>
  <c r="P32" i="12" s="1"/>
  <c r="D21" i="12"/>
  <c r="E21" i="12" s="1"/>
  <c r="D20" i="12"/>
  <c r="E20" i="12" s="1"/>
  <c r="D19" i="12"/>
  <c r="E19" i="12" s="1"/>
  <c r="D18" i="12"/>
  <c r="E18" i="12" s="1"/>
  <c r="D17" i="12"/>
  <c r="E17" i="12" s="1"/>
  <c r="D16" i="12"/>
  <c r="E16" i="12" s="1"/>
  <c r="D15" i="12"/>
  <c r="E15" i="12" s="1"/>
  <c r="D14" i="12"/>
  <c r="E14" i="12" s="1"/>
  <c r="D13" i="12"/>
  <c r="E13" i="12" s="1"/>
  <c r="J40" i="11" l="1"/>
  <c r="L40" i="11" s="1"/>
  <c r="J36" i="11"/>
  <c r="L36" i="11" s="1"/>
  <c r="J37" i="11"/>
  <c r="L37" i="11" s="1"/>
  <c r="J38" i="11"/>
  <c r="L38" i="11" s="1"/>
  <c r="J39" i="11"/>
  <c r="L39" i="11" s="1"/>
  <c r="J41" i="11"/>
  <c r="L41" i="11" s="1"/>
  <c r="J42" i="11"/>
  <c r="L42" i="11" s="1"/>
  <c r="J43" i="11"/>
  <c r="L43" i="11" s="1"/>
  <c r="J44" i="11"/>
  <c r="L44" i="11" s="1"/>
  <c r="J45" i="11"/>
  <c r="L45" i="11" s="1"/>
  <c r="J46" i="11"/>
  <c r="L46" i="11" s="1"/>
  <c r="D12" i="11" l="1"/>
  <c r="J12" i="11"/>
  <c r="J13" i="11"/>
  <c r="J14" i="11"/>
  <c r="J15" i="11"/>
  <c r="J16" i="11"/>
  <c r="J17" i="11"/>
  <c r="J18" i="11"/>
  <c r="J19" i="11"/>
  <c r="J20" i="11"/>
  <c r="J21" i="11"/>
  <c r="K13" i="11"/>
  <c r="C13" i="11"/>
  <c r="D16" i="11"/>
  <c r="E16" i="11" s="1"/>
  <c r="D20" i="11"/>
  <c r="E20" i="11" s="1"/>
  <c r="E21" i="11"/>
  <c r="D19" i="11"/>
  <c r="E19" i="11" s="1"/>
  <c r="D18" i="11"/>
  <c r="E18" i="11" s="1"/>
  <c r="D17" i="11"/>
  <c r="E17" i="11" s="1"/>
  <c r="D15" i="11"/>
  <c r="E15" i="11" s="1"/>
  <c r="D14" i="11"/>
  <c r="E14" i="11" s="1"/>
  <c r="D13" i="11" l="1"/>
  <c r="E13" i="11" s="1"/>
  <c r="I149" i="17"/>
  <c r="M149" i="17" l="1"/>
</calcChain>
</file>

<file path=xl/sharedStrings.xml><?xml version="1.0" encoding="utf-8"?>
<sst xmlns="http://schemas.openxmlformats.org/spreadsheetml/2006/main" count="2942" uniqueCount="409">
  <si>
    <t xml:space="preserve"> spr rate</t>
  </si>
  <si>
    <t xml:space="preserve"> mWheel</t>
  </si>
  <si>
    <t xml:space="preserve"> ips</t>
  </si>
  <si>
    <t>ro</t>
  </si>
  <si>
    <t>r zeta</t>
  </si>
  <si>
    <t>r coeff</t>
  </si>
  <si>
    <t xml:space="preserve"> lev ratio at 100tr</t>
  </si>
  <si>
    <t xml:space="preserve"> Can you help? </t>
  </si>
  <si>
    <t>For example</t>
  </si>
  <si>
    <t xml:space="preserve"> desired zeta</t>
  </si>
  <si>
    <t xml:space="preserve"> current output</t>
  </si>
  <si>
    <t xml:space="preserve"> desired output</t>
  </si>
  <si>
    <t xml:space="preserve"> I would like to work this equation backwards and input the lev ratio, spring rate, mWheel and desired zeta value to calculate the required rebound force to get zeta.</t>
  </si>
  <si>
    <t xml:space="preserve"> 12-25-17</t>
  </si>
  <si>
    <t>Find damping coefficient needed to get target zeta value</t>
  </si>
  <si>
    <t>Inputs</t>
  </si>
  <si>
    <t>LR.foale</t>
  </si>
  <si>
    <t>K.spring</t>
  </si>
  <si>
    <t>M.wheel</t>
  </si>
  <si>
    <t>[-]</t>
  </si>
  <si>
    <t>[kg/mm]</t>
  </si>
  <si>
    <t>Target zeta</t>
  </si>
  <si>
    <t>zeta=</t>
  </si>
  <si>
    <t>Calculate damping coeff for target zeta</t>
  </si>
  <si>
    <t>k.spring</t>
  </si>
  <si>
    <t>[lbf/ft]</t>
  </si>
  <si>
    <t>c.damp</t>
  </si>
  <si>
    <t>[lbf-s/in]</t>
  </si>
  <si>
    <t>[lbm]</t>
  </si>
  <si>
    <t>Target damping curve</t>
  </si>
  <si>
    <t>u.shaft</t>
  </si>
  <si>
    <t>[in/s]</t>
  </si>
  <si>
    <t>F.damp</t>
  </si>
  <si>
    <t>[lbf]</t>
  </si>
  <si>
    <t xml:space="preserve"> This is calvin's original</t>
  </si>
  <si>
    <t xml:space="preserve"> I modified this for zeta = 1 at 1ips..</t>
  </si>
  <si>
    <t xml:space="preserve"> 2913 closest</t>
  </si>
  <si>
    <t xml:space="preserve"> coeff</t>
  </si>
  <si>
    <t xml:space="preserve"> aver ro</t>
  </si>
  <si>
    <t>ips</t>
  </si>
  <si>
    <t xml:space="preserve"> This formula works it backwards to give reb numbers</t>
  </si>
  <si>
    <t xml:space="preserve"> tab to see how we got aver ro</t>
  </si>
  <si>
    <t xml:space="preserve"> 2912 thru 2921  with carter shock,  all reb similar</t>
  </si>
  <si>
    <t xml:space="preserve"> 2912 - 2916</t>
  </si>
  <si>
    <t xml:space="preserve"> 2917 - 2921</t>
  </si>
  <si>
    <t xml:space="preserve"> aver</t>
  </si>
  <si>
    <t xml:space="preserve"> 2913 closest to aver</t>
  </si>
  <si>
    <t xml:space="preserve"> zeta</t>
  </si>
  <si>
    <t xml:space="preserve"> correction factor</t>
  </si>
  <si>
    <t>r/c</t>
  </si>
  <si>
    <t>linear</t>
  </si>
  <si>
    <t xml:space="preserve"> curve</t>
  </si>
  <si>
    <t xml:space="preserve"> % diff</t>
  </si>
  <si>
    <t xml:space="preserve"> --&gt; the r/c ratio changed same as correction factor</t>
  </si>
  <si>
    <t xml:space="preserve">  We are going to create ideal czeta the same as rzeta.</t>
  </si>
  <si>
    <t xml:space="preserve"> 2-19-18</t>
  </si>
  <si>
    <t xml:space="preserve"> This czeta curve from</t>
  </si>
  <si>
    <t xml:space="preserve"> It looks like all we do is enter the correct lev ratio, spring and zeta values from 1-50 ips.</t>
  </si>
  <si>
    <t xml:space="preserve"> To adjust czeta we can either make linear progressive change, linear change or digressive change.</t>
  </si>
  <si>
    <t xml:space="preserve"> To start we will use the czeta curve from Mike Kirsch 3075.</t>
  </si>
  <si>
    <t>czeta=</t>
  </si>
  <si>
    <t>Target czeta</t>
  </si>
  <si>
    <t xml:space="preserve"> This formula works it backwards to give comp  numbers</t>
  </si>
  <si>
    <t xml:space="preserve"> [copy]</t>
  </si>
  <si>
    <t>change</t>
  </si>
  <si>
    <t xml:space="preserve"> 50.10</t>
  </si>
  <si>
    <t xml:space="preserve"> 10.1</t>
  </si>
  <si>
    <t>adj co</t>
  </si>
  <si>
    <t>c zeta</t>
  </si>
  <si>
    <t xml:space="preserve"> based on 3075</t>
  </si>
  <si>
    <t xml:space="preserve">  --&gt; we will start linear, make some comparisons and adjust</t>
  </si>
  <si>
    <t xml:space="preserve"> &lt;-- this needs to be divided by 2 for forks to work</t>
  </si>
  <si>
    <t/>
  </si>
  <si>
    <t>SHOCK</t>
  </si>
  <si>
    <t>FORK</t>
  </si>
  <si>
    <t xml:space="preserve"> wo ls</t>
  </si>
  <si>
    <t>w ls</t>
  </si>
  <si>
    <t xml:space="preserve"> This is from</t>
  </si>
  <si>
    <t xml:space="preserve">  zeta_fkc_aver_33tests.xlsx</t>
  </si>
  <si>
    <t xml:space="preserve"> 70.10</t>
  </si>
  <si>
    <t xml:space="preserve"> zeta_fkc_aver_33tests.xlsx</t>
  </si>
  <si>
    <t xml:space="preserve"> +2 lbs</t>
  </si>
  <si>
    <t xml:space="preserve"> 4-18-18</t>
  </si>
  <si>
    <t xml:space="preserve">   Since c-zeta is based on  'aver'  shc target numbers, we will just use the actual target numbers from   'fkc_target_nu_4CS_bv_mv_reb.xls'   to deteremine how c-zeta at 1ips steps down  </t>
  </si>
  <si>
    <t xml:space="preserve">   We will do this on the   'fkc_target_nu_4CS_bv_mv_reb.xls'   spreadsheet since that has the actual numbers.</t>
  </si>
  <si>
    <t xml:space="preserve"> Fork c-zeta worked backwards is based on three excel files,   fkc_target_nu_4CS_bv_mv_reb.xls,    zeta_backwards.xlsx,    zeta_fkc_aver_33tests.xlsx</t>
  </si>
  <si>
    <t xml:space="preserve"> -----------------------------------------------------------</t>
  </si>
  <si>
    <t xml:space="preserve"> 4-21-18</t>
  </si>
  <si>
    <r>
      <t xml:space="preserve"> We want another r-zeta curve between the two current ones we have on  </t>
    </r>
    <r>
      <rPr>
        <sz val="10"/>
        <color rgb="FF0070C0"/>
        <rFont val="Arial"/>
        <family val="2"/>
      </rPr>
      <t>openLevRatio_substiture_co_ro.php</t>
    </r>
  </si>
  <si>
    <t xml:space="preserve"> r-zeta .70 thru .70</t>
  </si>
  <si>
    <t xml:space="preserve"> r-zeta 1.0 thru .70</t>
  </si>
  <si>
    <t xml:space="preserve"> openLevRatioSh_import_reb03.php</t>
  </si>
  <si>
    <t xml:space="preserve"> We are assuming we want r-zeta - .70 at 20ips</t>
  </si>
  <si>
    <t xml:space="preserve"> &lt;-- r-zeta .70 at 20ips ---&gt;</t>
  </si>
  <si>
    <t xml:space="preserve"> --&gt; factor used to adjust for the r-zeta curve</t>
  </si>
  <si>
    <t xml:space="preserve"> openLevRatioSh_import_reb02.php</t>
  </si>
  <si>
    <t xml:space="preserve"> r-zeta new .86 thru .70</t>
  </si>
  <si>
    <t xml:space="preserve">  (in the middle)</t>
  </si>
  <si>
    <t xml:space="preserve"> New zeta curve with zeta at 1ips = 1.01</t>
  </si>
  <si>
    <t xml:space="preserve"> New zeta curve with zeta at 1ips = .86</t>
  </si>
  <si>
    <t xml:space="preserve">  8-8-18, we changed r-zeta to start at 1.00 and reach .70 at 10ips</t>
  </si>
  <si>
    <t xml:space="preserve"> was_orig</t>
  </si>
  <si>
    <t>was</t>
  </si>
  <si>
    <t xml:space="preserve"> SEE NEW</t>
  </si>
  <si>
    <t>cDamp</t>
  </si>
  <si>
    <t>ca%</t>
  </si>
  <si>
    <t xml:space="preserve"> 15 flsprs</t>
  </si>
  <si>
    <t xml:space="preserve"> 16 flsprs</t>
  </si>
  <si>
    <t xml:space="preserve"> average</t>
  </si>
  <si>
    <t>c + ca</t>
  </si>
  <si>
    <t>c force</t>
  </si>
  <si>
    <t>actual</t>
  </si>
  <si>
    <t>ca force</t>
  </si>
  <si>
    <t>factor</t>
  </si>
  <si>
    <t>gas</t>
  </si>
  <si>
    <t>drag</t>
  </si>
  <si>
    <t xml:space="preserve"> c-zeta</t>
  </si>
  <si>
    <t>co wogas</t>
  </si>
  <si>
    <t>co wgas</t>
  </si>
  <si>
    <t xml:space="preserve">c force </t>
  </si>
  <si>
    <t>lbs</t>
  </si>
  <si>
    <t xml:space="preserve"> 1)</t>
  </si>
  <si>
    <t xml:space="preserve"> 2)</t>
  </si>
  <si>
    <t>calc</t>
  </si>
  <si>
    <t xml:space="preserve"> calc</t>
  </si>
  <si>
    <t xml:space="preserve"> 3)</t>
  </si>
  <si>
    <t xml:space="preserve"> Arrange it like vdb</t>
  </si>
  <si>
    <t xml:space="preserve"> +drag</t>
  </si>
  <si>
    <t>round</t>
  </si>
  <si>
    <t xml:space="preserve"> reverse</t>
  </si>
  <si>
    <t>[from above]</t>
  </si>
  <si>
    <t>[calc]</t>
  </si>
  <si>
    <t>lb diff</t>
  </si>
  <si>
    <t>final</t>
  </si>
  <si>
    <t xml:space="preserve"> 93_57_31</t>
  </si>
  <si>
    <t xml:space="preserve"> c-zeta from  (3075)  17 xcf 450 Mike Kirsch</t>
  </si>
  <si>
    <t xml:space="preserve"> ca force</t>
  </si>
  <si>
    <t xml:space="preserve"> fixed</t>
  </si>
  <si>
    <t>[coeff]</t>
  </si>
  <si>
    <t xml:space="preserve"> First we need to come up with three possible ca% curves.  We will base it on 15 flsprs without bleed shims and 16 flsprs with bld shim</t>
  </si>
  <si>
    <t>I just made up a couple desired ca% by looking at many tests and picked numbers so the graph looks even.</t>
  </si>
  <si>
    <t>Then I took the actual c force numbers from test 3075 and looked at the curve with excel graph</t>
  </si>
  <si>
    <t>The graph from 1-10ips had a funny hook.  I manully tweaked the numbers to make it look better.</t>
  </si>
  <si>
    <t>original</t>
  </si>
  <si>
    <t>We changed the two numbers in red</t>
  </si>
  <si>
    <t>Next I smoothed out the numbers with poly 3 trendline</t>
  </si>
  <si>
    <t>tweaked</t>
  </si>
  <si>
    <t>I chose to break it in two sections, 1-10ips and 10-50</t>
  </si>
  <si>
    <t>Decided the graph of final c force looked ok</t>
  </si>
  <si>
    <t>numbers</t>
  </si>
  <si>
    <t>Then I took the final c force numbers and calculated ca force and ca% based on our ca% target from above.</t>
  </si>
  <si>
    <t>[target]</t>
  </si>
  <si>
    <t xml:space="preserve"> 4)</t>
  </si>
  <si>
    <r>
      <t xml:space="preserve"> ---&gt;  We manually adjust </t>
    </r>
    <r>
      <rPr>
        <b/>
        <sz val="10"/>
        <color rgb="FF0070C0"/>
        <rFont val="Arial"/>
        <family val="2"/>
      </rPr>
      <t>ca force</t>
    </r>
    <r>
      <rPr>
        <b/>
        <sz val="10"/>
        <color theme="1"/>
        <rFont val="Arial"/>
        <family val="2"/>
      </rPr>
      <t xml:space="preserve"> to get calculated ca% to match ca% target</t>
    </r>
  </si>
  <si>
    <t>ca%-ca%</t>
  </si>
  <si>
    <t>This also creates a 'reverse factor' that can be multiplied by c force to get correct ca force</t>
  </si>
  <si>
    <t>factor x</t>
  </si>
  <si>
    <t xml:space="preserve"> 5)</t>
  </si>
  <si>
    <t xml:space="preserve"> Then we  add in predefined, set values for gas and drag to come up with co wgas and co wogas</t>
  </si>
  <si>
    <t xml:space="preserve"> 6)</t>
  </si>
  <si>
    <t>Next we need to reverse engineer the c-zeta value by putting in our final co wogas and tweaking c-zeta so the numbers match</t>
  </si>
  <si>
    <t>new</t>
  </si>
  <si>
    <t xml:space="preserve"> 7)</t>
  </si>
  <si>
    <t>Now we want to create a 'c force' c-zeta to use on Sh Dyno . press a tab</t>
  </si>
  <si>
    <t xml:space="preserve"> We start bu entering the final c force numbers and it will automatically calculate 'c force c-zeta'</t>
  </si>
  <si>
    <t>We want to check and be sure we can reverse calculate c force based on lev ratio, spring rate and mWheel</t>
  </si>
  <si>
    <t>First we have to copy as values here</t>
  </si>
  <si>
    <t xml:space="preserve"> factor</t>
  </si>
  <si>
    <t>Enter the spring rate for the test and it determines c-zeta</t>
  </si>
  <si>
    <t>If you change spring, c-zeta changes so pick</t>
  </si>
  <si>
    <t>the spring used in the test and stick with it</t>
  </si>
  <si>
    <t xml:space="preserve"> double check reverse factor</t>
  </si>
  <si>
    <t xml:space="preserve"> 8)</t>
  </si>
  <si>
    <t xml:space="preserve"> c + ca force</t>
  </si>
  <si>
    <t xml:space="preserve">    ca% matches target</t>
  </si>
  <si>
    <t xml:space="preserve"> 9)</t>
  </si>
  <si>
    <t>Now we can put everything together to print and enter in zeta_targetnu via sqlYOG</t>
  </si>
  <si>
    <t>curve</t>
  </si>
  <si>
    <t>I wonder if we can create 'ca force' c-zeta the same as we did 'c force'.  Otherwise we will need to use the reverse factor.</t>
  </si>
  <si>
    <t xml:space="preserve">  --&gt; We will use trendline on c force with fixed gas and drag numbers</t>
  </si>
  <si>
    <t>removed</t>
  </si>
  <si>
    <t>adjusted</t>
  </si>
  <si>
    <t xml:space="preserve"> This is based on (3075)  17 XCF 350   Mike Kirsch,  tested with 12sxf450-psh</t>
  </si>
  <si>
    <t>12sxf450-psh</t>
  </si>
  <si>
    <t>16sxf250-psh</t>
  </si>
  <si>
    <t xml:space="preserve"> aver meas gas</t>
  </si>
  <si>
    <t xml:space="preserve"> diff</t>
  </si>
  <si>
    <t xml:space="preserve"> calc gas we remove</t>
  </si>
  <si>
    <t>with linear gas drag</t>
  </si>
  <si>
    <t>TRENDLINE</t>
  </si>
  <si>
    <t>Then I took the actual c force numbers from test 3130 and looked at the curve with excel graph</t>
  </si>
  <si>
    <t xml:space="preserve"> co wogas</t>
  </si>
  <si>
    <t xml:space="preserve"> P/M</t>
  </si>
  <si>
    <t xml:space="preserve"> QxG</t>
  </si>
  <si>
    <t xml:space="preserve"> Then copy as values</t>
  </si>
  <si>
    <t xml:space="preserve"> [calc]</t>
  </si>
  <si>
    <t>copy</t>
  </si>
  <si>
    <t>here</t>
  </si>
  <si>
    <t xml:space="preserve">  zeta_targetnu_sh_comp  table</t>
  </si>
  <si>
    <t>zeta_backwards.xlsx</t>
  </si>
  <si>
    <t>NUMBERS, WITH ONLY CADJ FORCES ADJUSTED TO MATCH CA% TARGET</t>
  </si>
  <si>
    <t>ACTUAL</t>
  </si>
  <si>
    <t>enter</t>
  </si>
  <si>
    <t>copy values</t>
  </si>
  <si>
    <t>Do not change these numbers.</t>
  </si>
  <si>
    <t xml:space="preserve"> N-E</t>
  </si>
  <si>
    <t xml:space="preserve"> Q-D</t>
  </si>
  <si>
    <t xml:space="preserve"> &lt;-- copy dn</t>
  </si>
  <si>
    <t xml:space="preserve"> all below</t>
  </si>
  <si>
    <t xml:space="preserve"> Changes here affect</t>
  </si>
  <si>
    <t>C-ZETA CURVE</t>
  </si>
  <si>
    <t xml:space="preserve">  --&gt; We will use actual  c force numbers with actual gas and drag numbers</t>
  </si>
  <si>
    <t xml:space="preserve"> Actual, we did not smooth numbers</t>
  </si>
  <si>
    <t xml:space="preserve"> J/H</t>
  </si>
  <si>
    <t>PxG</t>
  </si>
  <si>
    <t xml:space="preserve"> &lt;-- then copy</t>
  </si>
  <si>
    <t xml:space="preserve">      as values</t>
  </si>
  <si>
    <t xml:space="preserve"> &lt;-- then manually enter</t>
  </si>
  <si>
    <t xml:space="preserve">       numbers to column G</t>
  </si>
  <si>
    <t xml:space="preserve">       two or three times</t>
  </si>
  <si>
    <t xml:space="preserve">       may have to do</t>
  </si>
  <si>
    <t xml:space="preserve"> still basing ca% on theoretical</t>
  </si>
  <si>
    <t xml:space="preserve"> We had to change the formula in column C to - 73c</t>
  </si>
  <si>
    <t xml:space="preserve"> 73c</t>
  </si>
  <si>
    <t xml:space="preserve"> We added this to column L</t>
  </si>
  <si>
    <t xml:space="preserve"> c-zeta from  (3075)  17 XCF 450  Mike Kirsch</t>
  </si>
  <si>
    <t xml:space="preserve"> 110_61_31</t>
  </si>
  <si>
    <t xml:space="preserve"> ztn_id</t>
  </si>
  <si>
    <t>spr rate</t>
  </si>
  <si>
    <t>enter actal gas here</t>
  </si>
  <si>
    <t xml:space="preserve">       copy values here</t>
  </si>
  <si>
    <t xml:space="preserve"> - - - - - - - - - enter from vdb - - - - - - - - - </t>
  </si>
  <si>
    <t>gas force</t>
  </si>
  <si>
    <t>drag force</t>
  </si>
  <si>
    <t>[from vdb]</t>
  </si>
  <si>
    <t>[calc here]</t>
  </si>
  <si>
    <t>temp</t>
  </si>
  <si>
    <t>[manual adj]</t>
  </si>
  <si>
    <t>[manual enter]</t>
  </si>
  <si>
    <t>gas diff</t>
  </si>
  <si>
    <t>with linear gas, adj gas diff and linear drag</t>
  </si>
  <si>
    <t xml:space="preserve">    Adding back the adjusted gas difference will result in more accureate and comparable target numbers between tests (because there will always be a gas force difference). </t>
  </si>
  <si>
    <t xml:space="preserve"> 12sxf450-psh</t>
  </si>
  <si>
    <t xml:space="preserve"> This is based on (3075)  17 XCF 350   Mike Kirsch</t>
  </si>
  <si>
    <t>finally copy values over to Target czeta column</t>
  </si>
  <si>
    <t xml:space="preserve"> Should be able to divide P with M</t>
  </si>
  <si>
    <t xml:space="preserve"> Then multiply Q x G</t>
  </si>
  <si>
    <t xml:space="preserve"> tab</t>
  </si>
  <si>
    <t xml:space="preserve"> 3130</t>
  </si>
  <si>
    <t xml:space="preserve"> 3171</t>
  </si>
  <si>
    <t xml:space="preserve"> 3075</t>
  </si>
  <si>
    <t xml:space="preserve"> 4.6 kg</t>
  </si>
  <si>
    <t xml:space="preserve"> 4.2 kg</t>
  </si>
  <si>
    <t xml:space="preserve"> 5.0 kg</t>
  </si>
  <si>
    <t>Remember these tests should have decent r-zeta and r/c ratio</t>
  </si>
  <si>
    <t xml:space="preserve"> Next create 'ca force' c-zeta the same as we did 'c force'.  Otherwise we would need to use the reverse factor.</t>
  </si>
  <si>
    <t xml:space="preserve"> 18 SXF 350</t>
  </si>
  <si>
    <t xml:space="preserve"> Cody Harris</t>
  </si>
  <si>
    <t xml:space="preserve"> 16 SXF 250</t>
  </si>
  <si>
    <t xml:space="preserve"> Hunter Hargis</t>
  </si>
  <si>
    <t xml:space="preserve"> 17 XCF 450</t>
  </si>
  <si>
    <t xml:space="preserve"> Mike Kirsch</t>
  </si>
  <si>
    <t xml:space="preserve"> TRENDLINE</t>
  </si>
  <si>
    <t xml:space="preserve"> enter -&gt;</t>
  </si>
  <si>
    <t>Now we can put everything together to print and enter in zeta_targetnu_sh_comp table.</t>
  </si>
  <si>
    <t xml:space="preserve"> c-zeta numbers for co wogas, c forcd and ca force</t>
  </si>
  <si>
    <t xml:space="preserve"> 9-6-18</t>
  </si>
  <si>
    <t xml:space="preserve">  Use these tabs to create c-zeta values from good tests.</t>
  </si>
  <si>
    <t xml:space="preserve">  We will use the exact spring rate from the test because a good test should have decent r-zeta and r/c ratio.</t>
  </si>
  <si>
    <t xml:space="preserve">    Then we will display the 'linear gas force' as calculated with the ressy_press files from Calvin.  This calculated pressure should equal dynamic gas force if nitro is set correct.</t>
  </si>
  <si>
    <t xml:space="preserve">          69c  for 16sxf250-psh</t>
  </si>
  <si>
    <t xml:space="preserve">          73c  for 12sxf450-psh</t>
  </si>
  <si>
    <t xml:space="preserve">    For co wogas to be accurate at 1-5 ips, we need to add back 'adjusted gas difference' based on which pressure shock we are using.</t>
  </si>
  <si>
    <t xml:space="preserve">          77 lbs  for 12sxf450-psh    (73+4=77)</t>
  </si>
  <si>
    <t xml:space="preserve">          73 lbs  for 16sxf250-psh    (69+4=73)</t>
  </si>
  <si>
    <t xml:space="preserve">    If actual dynamic gas force is higher than linear gas force, this indicates the nitro may have been set higher.  This would result in higher co wgas dyno numbers. </t>
  </si>
  <si>
    <t>display</t>
  </si>
  <si>
    <t xml:space="preserve"> ztn_id __________</t>
  </si>
  <si>
    <t xml:space="preserve">  We are removing calc gas (73c and 69c) and displaying linear gas force (77 lbs and 73 lbs) for 12sxf450-psh and 16sxf250-psh respectively.</t>
  </si>
  <si>
    <t xml:space="preserve"> This is 3075 trendline,  ztnshc_id =</t>
  </si>
  <si>
    <t xml:space="preserve"> 113_61_31</t>
  </si>
  <si>
    <t xml:space="preserve"> 16sxf250-psh</t>
  </si>
  <si>
    <t xml:space="preserve"> &lt;-- manually enter these</t>
  </si>
  <si>
    <t xml:space="preserve"> 15flsprs</t>
  </si>
  <si>
    <t xml:space="preserve"> c-zeta numbers for co wogas, c force and ca force</t>
  </si>
  <si>
    <t>Vers 1</t>
  </si>
  <si>
    <t>We build c-zeta curve starting with c force.</t>
  </si>
  <si>
    <t>use aver ca%</t>
  </si>
  <si>
    <t>used aver c force numbers, did not tweak</t>
  </si>
  <si>
    <t>c force + ca force + actual gas force + actual drag force = co wgas</t>
  </si>
  <si>
    <t xml:space="preserve"> [co wgas and co wogas will not match dyno numbers because ca force is calculated]</t>
  </si>
  <si>
    <t>calculate co wogas c-zeta values</t>
  </si>
  <si>
    <t>calculate c force c-zeta values</t>
  </si>
  <si>
    <t>calculate ca force c-zeta values</t>
  </si>
  <si>
    <t>put together and print</t>
  </si>
  <si>
    <t>use aver c force numbers, no trendline</t>
  </si>
  <si>
    <t>using aver ca% calculate ca force numbers</t>
  </si>
  <si>
    <t xml:space="preserve"> 93_58_30</t>
  </si>
  <si>
    <t>Vers 2</t>
  </si>
  <si>
    <t>use aver c force numbers, created trendline</t>
  </si>
  <si>
    <t>c force + ca force + linear gas force + linear drag force = co wgas</t>
  </si>
  <si>
    <t>co wgas - linear gas force (77) = co wogas</t>
  </si>
  <si>
    <t xml:space="preserve"> v3</t>
  </si>
  <si>
    <t>Vers 3</t>
  </si>
  <si>
    <t>aver</t>
  </si>
  <si>
    <t>used aver c force numbers, tweaked graph line</t>
  </si>
  <si>
    <t>co wgas - calc gas force (73c) = co wogas</t>
  </si>
  <si>
    <t>c force + ca force + calc gas force (73c)  + adj gas diff + linear drag force = co wgas</t>
  </si>
  <si>
    <t xml:space="preserve">CONCLUSION: </t>
  </si>
  <si>
    <t>CONCLUSION:  This method did not work, c/r ratio at 1ips = 1.09</t>
  </si>
  <si>
    <t>CONCLUSION:  This method not to bad and similar in ways to v4</t>
  </si>
  <si>
    <t xml:space="preserve"> Tab for v1 methodology.  This vers is similar to v4.</t>
  </si>
  <si>
    <t xml:space="preserve"> Tab for v3 methodology.  We have decided it does not make sense to add in linear drag force, we need to use actual drag.</t>
  </si>
  <si>
    <t xml:space="preserve"> DONE</t>
  </si>
  <si>
    <t xml:space="preserve"> v2</t>
  </si>
  <si>
    <t xml:space="preserve"> Tab for v2 methodology.  This vers does not work as r/c ratio at 1ips = 1.11</t>
  </si>
  <si>
    <t xml:space="preserve"> v1</t>
  </si>
  <si>
    <t xml:space="preserve"> v4</t>
  </si>
  <si>
    <t xml:space="preserve"> 16flsprs</t>
  </si>
  <si>
    <t xml:space="preserve"> vers</t>
  </si>
  <si>
    <t xml:space="preserve"> flsprs</t>
  </si>
  <si>
    <t>press sh</t>
  </si>
  <si>
    <t xml:space="preserve"> calc gas</t>
  </si>
  <si>
    <t>act / trend</t>
  </si>
  <si>
    <t xml:space="preserve">   We have decided it does not make sense to add in linear drag force, we need to use actual drag.</t>
  </si>
  <si>
    <t xml:space="preserve">   Use actual drag, but put linear drag up for comparison. </t>
  </si>
  <si>
    <t xml:space="preserve">   That will allow me to see how actual drag force differs from linear.</t>
  </si>
  <si>
    <t>ca% curve</t>
  </si>
  <si>
    <t>actual c force</t>
  </si>
  <si>
    <t>actual gas</t>
  </si>
  <si>
    <t>actual drag</t>
  </si>
  <si>
    <t>trendline</t>
  </si>
  <si>
    <t>linear gas</t>
  </si>
  <si>
    <t>linear drag</t>
  </si>
  <si>
    <t>trendline c force</t>
  </si>
  <si>
    <t>remove gas force</t>
  </si>
  <si>
    <t>adj gas diff</t>
  </si>
  <si>
    <t>calc gas (73c)</t>
  </si>
  <si>
    <t>na</t>
  </si>
  <si>
    <t>co wgas - calc gas (73c)</t>
  </si>
  <si>
    <t>rec_id</t>
  </si>
  <si>
    <t xml:space="preserve"> 3075s</t>
  </si>
  <si>
    <t>stiff</t>
  </si>
  <si>
    <t>soft</t>
  </si>
  <si>
    <t>calc ca%  aver</t>
  </si>
  <si>
    <t>calc ca%  stiff</t>
  </si>
  <si>
    <t>orig</t>
  </si>
  <si>
    <t>done</t>
  </si>
  <si>
    <t xml:space="preserve"> 69c</t>
  </si>
  <si>
    <t>calc gas (69c)</t>
  </si>
  <si>
    <t>co wgas - calc gas (69c)</t>
  </si>
  <si>
    <t>calc (69c, 73c)</t>
  </si>
  <si>
    <t xml:space="preserve"> v5</t>
  </si>
  <si>
    <t>add drag force</t>
  </si>
  <si>
    <t>co wgas - linear drag</t>
  </si>
  <si>
    <r>
      <t xml:space="preserve">no test </t>
    </r>
    <r>
      <rPr>
        <b/>
        <sz val="10"/>
        <color rgb="FFFF0000"/>
        <rFont val="Arial"/>
        <family val="2"/>
      </rPr>
      <t>*</t>
    </r>
  </si>
  <si>
    <r>
      <t xml:space="preserve">  </t>
    </r>
    <r>
      <rPr>
        <b/>
        <sz val="10"/>
        <color rgb="FFFF0000"/>
        <rFont val="Arial"/>
        <family val="2"/>
      </rPr>
      <t>*</t>
    </r>
    <r>
      <rPr>
        <sz val="10"/>
        <color theme="1"/>
        <rFont val="Arial"/>
        <family val="2"/>
      </rPr>
      <t xml:space="preserve"> Currently there is no actual v4 test.  It is the same as v3 except uses the 15flpsrs and stiff ca%.   Consider this a placeholder if we ever want to create a c-zeta curve with these paramaters.</t>
    </r>
  </si>
  <si>
    <t xml:space="preserve">  v1 thru v4 are older tests we created while learning the process.  These tests are obsolete because we no longer add linear drag force.  See v5 where we start adding actual drag force.</t>
  </si>
  <si>
    <t xml:space="preserve"> (see czeta_bkwd_3075s_actual_v1 for details on all versions)</t>
  </si>
  <si>
    <t xml:space="preserve"> v6</t>
  </si>
  <si>
    <t xml:space="preserve"> Tab for list of all c-zeta curve versions.</t>
  </si>
  <si>
    <t xml:space="preserve"> We won't use this curve, but are saving it to show the method used to calculate the c-zeta curve.</t>
  </si>
  <si>
    <t xml:space="preserve"> Redo 3075 trendline using v3.  Keep it visible for comparison purposes.</t>
  </si>
  <si>
    <t xml:space="preserve"> We deleted some tabs but you can find some on  zeta_backwards - Copy.xlsx</t>
  </si>
  <si>
    <t xml:space="preserve"> 3171s</t>
  </si>
  <si>
    <t xml:space="preserve"> Create new c-zeta curve using vers 5.  This uses stiff ca% for 15 flsprs.  See how it compares with others.</t>
  </si>
  <si>
    <t xml:space="preserve"> is not used in any calculationa</t>
  </si>
  <si>
    <t xml:space="preserve"> this is just for comparison and</t>
  </si>
  <si>
    <t>diff target</t>
  </si>
  <si>
    <t>to actual</t>
  </si>
  <si>
    <t>stiffer</t>
  </si>
  <si>
    <t xml:space="preserve"> D-Q</t>
  </si>
  <si>
    <t>diff from</t>
  </si>
  <si>
    <t>G128-G29</t>
  </si>
  <si>
    <t xml:space="preserve"> is calc co</t>
  </si>
  <si>
    <t>[lb diff]</t>
  </si>
  <si>
    <t xml:space="preserve">  See average of all drag forces at   vdb / excel / dt_allStacksShc_dragforce.xlsx.  We considered running drag forces based on these averages.  But decided against it.</t>
  </si>
  <si>
    <t xml:space="preserve">  --&gt; Our new gas force method is to use (1ips thru 5ips) / 5.</t>
  </si>
  <si>
    <t>aver 1-5ips drag</t>
  </si>
  <si>
    <t>c force + ca force + calc gas force (73c)  + adj gas diff + aver 1-5ips drag force = co wgas</t>
  </si>
  <si>
    <t>Vers 5</t>
  </si>
  <si>
    <t xml:space="preserve"> Tab for v5 methodology.    We will use aver (1-5ips)/5 drag force.</t>
  </si>
  <si>
    <t xml:space="preserve">  We will use aver (1-5ips)/5 drag force.</t>
  </si>
  <si>
    <t xml:space="preserve"> 1-10ips</t>
  </si>
  <si>
    <t>10-50ips</t>
  </si>
  <si>
    <t>diff</t>
  </si>
  <si>
    <t>I - J</t>
  </si>
  <si>
    <t>Poly numbers are in code, do not</t>
  </si>
  <si>
    <t>use the Excel trendline graph.</t>
  </si>
  <si>
    <t>(1-5ips)/5</t>
  </si>
  <si>
    <t xml:space="preserve">  3171s is most recent.</t>
  </si>
  <si>
    <t xml:space="preserve"> 3304s</t>
  </si>
  <si>
    <t>DONE</t>
  </si>
  <si>
    <t xml:space="preserve"> Tab for v6 methodology.    We will use aver (1-5ips)/5 drag force.</t>
  </si>
  <si>
    <t>Vers 6</t>
  </si>
  <si>
    <t xml:space="preserve"> v5 and v6 are the same except for v5 uses 12sxf450-psh and v6 uses 16sxf250-psh</t>
  </si>
  <si>
    <t xml:space="preserve"> 17 XCF 350</t>
  </si>
  <si>
    <t xml:space="preserve"> hunter</t>
  </si>
  <si>
    <t xml:space="preserve"> cody</t>
  </si>
  <si>
    <t xml:space="preserve"> 113_61_31a</t>
  </si>
  <si>
    <t xml:space="preserve"> ( a = 12sxf450-psh,  b = 16sxf250-psh)</t>
  </si>
  <si>
    <t xml:space="preserve"> 139_76_36a</t>
  </si>
  <si>
    <t xml:space="preserve"> 137_78_39b</t>
  </si>
  <si>
    <t>end</t>
  </si>
  <si>
    <t>[factor]</t>
  </si>
  <si>
    <t>We want to create different c-zeta curves, all starting with the same c force at 1ips as 3304s.</t>
  </si>
  <si>
    <t>See zeta_backwards.xlsx, we tried but there is no simple way to do this.  Lets go back to</t>
  </si>
  <si>
    <t>created c-zeta curved based on good tests.  Find different tests that worked with different curves.</t>
  </si>
  <si>
    <t>See zeta_c-zeta_graph_3171_3304_sh.xlsm where we got the idea to consider increasing force at 50ips by 1.075.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</si>
</sst>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
    <numFmt numFmtId="166" formatCode="0.000"/>
    <numFmt numFmtId="167" formatCode="0.0%"/>
    <numFmt numFmtId="168" formatCode="0.00000"/>
  </numFmts>
  <fonts count="51" x14ac:knownFonts="1">
    <font>
      <sz val="10"/>
      <color theme="1"/>
      <name val="Arial"/>
      <family val="2"/>
    </font>
    <font>
      <u/>
      <sz val="10"/>
      <color theme="1"/>
      <name val="Arial"/>
      <family val="2"/>
    </font>
    <font>
      <sz val="10"/>
      <color rgb="FF0070C0"/>
      <name val="Arial"/>
      <family val="2"/>
    </font>
    <font>
      <sz val="10"/>
      <color theme="5" tint="-0.249977111117893"/>
      <name val="Trebuchet MS"/>
      <family val="2"/>
    </font>
    <font>
      <b/>
      <sz val="10"/>
      <color theme="9" tint="-0.249977111117893"/>
      <name val="Arial"/>
      <family val="2"/>
    </font>
    <font>
      <b/>
      <sz val="10"/>
      <color theme="1"/>
      <name val="Arial"/>
      <family val="2"/>
    </font>
    <font>
      <i/>
      <sz val="9"/>
      <color theme="1"/>
      <name val="Arial"/>
      <family val="2"/>
    </font>
    <font>
      <b/>
      <sz val="10"/>
      <color rgb="FFFF0000"/>
      <name val="Arial"/>
      <family val="2"/>
    </font>
    <font>
      <sz val="9"/>
      <color rgb="FF808080"/>
      <name val="Trebuchet MS"/>
      <family val="2"/>
    </font>
    <font>
      <sz val="9"/>
      <color theme="9" tint="-0.249977111117893"/>
      <name val="Arial"/>
      <family val="2"/>
    </font>
    <font>
      <sz val="9"/>
      <color theme="1"/>
      <name val="Trebuchet MS"/>
      <family val="2"/>
    </font>
    <font>
      <sz val="10"/>
      <name val="Arial"/>
      <family val="2"/>
    </font>
    <font>
      <sz val="9"/>
      <color rgb="FFC00000"/>
      <name val="Arial"/>
      <family val="2"/>
    </font>
    <font>
      <sz val="9"/>
      <color theme="1" tint="0.249977111117893"/>
      <name val="Trebuchet MS"/>
      <family val="2"/>
    </font>
    <font>
      <b/>
      <u/>
      <sz val="10"/>
      <color rgb="FFFF0000"/>
      <name val="Arial"/>
      <family val="2"/>
    </font>
    <font>
      <sz val="10"/>
      <color rgb="FF008000"/>
      <name val="Arial"/>
      <family val="2"/>
    </font>
    <font>
      <sz val="9"/>
      <color theme="1"/>
      <name val="Arial"/>
      <family val="2"/>
    </font>
    <font>
      <sz val="9"/>
      <color rgb="FF0070C0"/>
      <name val="Trebuchet MS"/>
      <family val="2"/>
    </font>
    <font>
      <b/>
      <sz val="16"/>
      <color rgb="FFFF0000"/>
      <name val="Arial"/>
      <family val="2"/>
    </font>
    <font>
      <sz val="10"/>
      <color rgb="FFC00000"/>
      <name val="Arial"/>
      <family val="2"/>
    </font>
    <font>
      <b/>
      <sz val="10"/>
      <name val="Arial"/>
      <family val="2"/>
    </font>
    <font>
      <sz val="10"/>
      <color theme="8" tint="-0.249977111117893"/>
      <name val="Arial"/>
      <family val="2"/>
    </font>
    <font>
      <sz val="10"/>
      <color theme="0" tint="-0.499984740745262"/>
      <name val="Arial"/>
      <family val="2"/>
    </font>
    <font>
      <b/>
      <sz val="10"/>
      <color rgb="FF0070C0"/>
      <name val="Arial"/>
      <family val="2"/>
    </font>
    <font>
      <b/>
      <sz val="10"/>
      <color rgb="FFC00000"/>
      <name val="Arial"/>
      <family val="2"/>
    </font>
    <font>
      <sz val="8"/>
      <color theme="1" tint="0.499984740745262"/>
      <name val="Arial"/>
      <family val="2"/>
    </font>
    <font>
      <sz val="10"/>
      <color theme="5" tint="0.39997558519241921"/>
      <name val="Arial"/>
      <family val="2"/>
    </font>
    <font>
      <sz val="10"/>
      <color theme="5"/>
      <name val="Arial"/>
      <family val="2"/>
    </font>
    <font>
      <sz val="10"/>
      <color rgb="FFFF0000"/>
      <name val="Arial"/>
      <family val="2"/>
    </font>
    <font>
      <sz val="9"/>
      <color theme="5"/>
      <name val="Trebuchet MS"/>
      <family val="2"/>
    </font>
    <font>
      <sz val="9"/>
      <color theme="5"/>
      <name val="Arial"/>
      <family val="2"/>
    </font>
    <font>
      <sz val="8"/>
      <color theme="8" tint="-0.249977111117893"/>
      <name val="Arial"/>
      <family val="2"/>
    </font>
    <font>
      <strike/>
      <sz val="10"/>
      <color theme="1"/>
      <name val="Arial"/>
      <family val="2"/>
    </font>
    <font>
      <b/>
      <sz val="12"/>
      <color rgb="FFFF0000"/>
      <name val="Arial"/>
      <family val="2"/>
    </font>
    <font>
      <sz val="10"/>
      <color theme="9" tint="-0.249977111117893"/>
      <name val="Arial"/>
      <family val="2"/>
    </font>
    <font>
      <sz val="10"/>
      <color rgb="FF00B0F0"/>
      <name val="Arial"/>
      <family val="2"/>
    </font>
    <font>
      <sz val="10"/>
      <color theme="1" tint="0.34998626667073579"/>
      <name val="Arial"/>
      <family val="2"/>
    </font>
    <font>
      <u/>
      <sz val="10"/>
      <name val="Arial"/>
      <family val="2"/>
    </font>
    <font>
      <sz val="10"/>
      <color rgb="FFBC5908"/>
      <name val="Arial"/>
      <family val="2"/>
    </font>
    <font>
      <sz val="8"/>
      <color theme="5"/>
      <name val="Arial"/>
      <family val="2"/>
    </font>
    <font>
      <b/>
      <sz val="12"/>
      <color theme="7" tint="0.39997558519241921"/>
      <name val="Arial"/>
      <family val="2"/>
    </font>
    <font>
      <b/>
      <sz val="10"/>
      <color rgb="FF7030A0"/>
      <name val="Arial"/>
      <family val="2"/>
    </font>
    <font>
      <sz val="10"/>
      <color rgb="FF7030A0"/>
      <name val="Arial"/>
      <family val="2"/>
    </font>
    <font>
      <b/>
      <sz val="10"/>
      <color theme="8" tint="-0.249977111117893"/>
      <name val="Arial"/>
      <family val="2"/>
    </font>
    <font>
      <b/>
      <sz val="12"/>
      <color theme="8" tint="-0.249977111117893"/>
      <name val="Arial"/>
      <family val="2"/>
    </font>
    <font>
      <sz val="8"/>
      <name val="Arial"/>
      <family val="2"/>
    </font>
    <font>
      <sz val="8"/>
      <color theme="0" tint="-0.499984740745262"/>
      <name val="Arial"/>
      <family val="2"/>
    </font>
    <font>
      <sz val="10"/>
      <color theme="1" tint="0.499984740745262"/>
      <name val="Arial"/>
      <family val="2"/>
    </font>
    <font>
      <sz val="9"/>
      <color theme="1" tint="0.499984740745262"/>
      <name val="Arial"/>
      <family val="2"/>
    </font>
    <font>
      <b/>
      <sz val="11"/>
      <color rgb="FF7030A0"/>
      <name val="Arial"/>
      <family val="2"/>
    </font>
    <font>
      <b/>
      <sz val="11"/>
      <color rgb="FFFF0000"/>
      <name val="Arial"/>
      <family val="2"/>
    </font>
  </fonts>
  <fills count="16">
    <fill>
      <patternFill patternType="none"/>
    </fill>
    <fill>
      <patternFill patternType="gray125"/>
    </fill>
    <fill>
      <patternFill patternType="solid">
        <fgColor rgb="FFFFFF99"/>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D9"/>
        <bgColor indexed="64"/>
      </patternFill>
    </fill>
    <fill>
      <patternFill patternType="solid">
        <fgColor rgb="FFFFFFB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D6D6D6"/>
        <bgColor indexed="64"/>
      </patternFill>
    </fill>
    <fill>
      <patternFill patternType="solid">
        <fgColor rgb="FFEBF1DC"/>
        <bgColor indexed="64"/>
      </patternFill>
    </fill>
    <fill>
      <patternFill patternType="solid">
        <fgColor theme="6" tint="0.59999389629810485"/>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rgb="FFF4F4F4"/>
      </right>
      <top style="thin">
        <color rgb="FFF4F4F4"/>
      </top>
      <bottom/>
      <diagonal/>
    </border>
    <border>
      <left style="thin">
        <color rgb="FFF4F4F4"/>
      </left>
      <right style="thin">
        <color rgb="FFF4F4F4"/>
      </right>
      <top style="thin">
        <color rgb="FFF4F4F4"/>
      </top>
      <bottom style="thin">
        <color rgb="FFF4F4F4"/>
      </bottom>
      <diagonal/>
    </border>
    <border>
      <left/>
      <right style="thin">
        <color rgb="FFF4F4F4"/>
      </right>
      <top style="thin">
        <color rgb="FFF4F4F4"/>
      </top>
      <bottom style="thin">
        <color rgb="FFF4F4F4"/>
      </bottom>
      <diagonal/>
    </border>
    <border>
      <left style="thin">
        <color rgb="FFAABFAA"/>
      </left>
      <right style="thin">
        <color rgb="FFAABFAA"/>
      </right>
      <top style="thin">
        <color rgb="FFECECEC"/>
      </top>
      <bottom style="thin">
        <color rgb="FFECECEC"/>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4F4F4"/>
      </left>
      <right/>
      <top style="thin">
        <color rgb="FFF4F4F4"/>
      </top>
      <bottom style="thin">
        <color rgb="FFF4F4F4"/>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bottom/>
      <diagonal/>
    </border>
    <border>
      <left style="thin">
        <color indexed="64"/>
      </left>
      <right style="thin">
        <color rgb="FFFFFFFF"/>
      </right>
      <top style="thin">
        <color rgb="FFFFFFFF"/>
      </top>
      <bottom style="thin">
        <color rgb="FFFFFFFF"/>
      </bottom>
      <diagonal/>
    </border>
    <border>
      <left style="thin">
        <color indexed="64"/>
      </left>
      <right style="thin">
        <color rgb="FFFFFFFF"/>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indexed="64"/>
      </left>
      <right style="thin">
        <color indexed="64"/>
      </right>
      <top style="thin">
        <color rgb="FFFFFFFF"/>
      </top>
      <bottom style="thin">
        <color rgb="FFFFFFF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medium">
        <color indexed="64"/>
      </left>
      <right style="medium">
        <color indexed="64"/>
      </right>
      <top style="medium">
        <color indexed="64"/>
      </top>
      <bottom style="thin">
        <color rgb="FFFFFFFF"/>
      </bottom>
      <diagonal/>
    </border>
    <border>
      <left style="medium">
        <color indexed="64"/>
      </left>
      <right style="medium">
        <color indexed="64"/>
      </right>
      <top style="thin">
        <color rgb="FFFFFFFF"/>
      </top>
      <bottom style="thin">
        <color rgb="FFFFFFFF"/>
      </bottom>
      <diagonal/>
    </border>
    <border>
      <left style="medium">
        <color indexed="64"/>
      </left>
      <right style="medium">
        <color indexed="64"/>
      </right>
      <top style="thin">
        <color rgb="FFFFFFFF"/>
      </top>
      <bottom style="medium">
        <color indexed="64"/>
      </bottom>
      <diagonal/>
    </border>
    <border>
      <left/>
      <right style="thin">
        <color indexed="64"/>
      </right>
      <top style="thin">
        <color indexed="64"/>
      </top>
      <bottom style="thin">
        <color rgb="FFFFFFFF"/>
      </bottom>
      <diagonal/>
    </border>
    <border>
      <left/>
      <right style="thin">
        <color indexed="64"/>
      </right>
      <top style="thin">
        <color rgb="FFFFFFFF"/>
      </top>
      <bottom style="thin">
        <color rgb="FFFFFFFF"/>
      </bottom>
      <diagonal/>
    </border>
    <border>
      <left style="thin">
        <color rgb="FFFFFFFF"/>
      </left>
      <right/>
      <top/>
      <bottom/>
      <diagonal/>
    </border>
    <border>
      <left style="thin">
        <color indexed="64"/>
      </left>
      <right style="thin">
        <color indexed="64"/>
      </right>
      <top style="thin">
        <color rgb="FFFFFFFF"/>
      </top>
      <bottom style="thin">
        <color indexed="64"/>
      </bottom>
      <diagonal/>
    </border>
    <border>
      <left style="thin">
        <color indexed="64"/>
      </left>
      <right style="thin">
        <color indexed="64"/>
      </right>
      <top style="thin">
        <color indexed="64"/>
      </top>
      <bottom style="thin">
        <color rgb="FFFFFFFF"/>
      </bottom>
      <diagonal/>
    </border>
    <border>
      <left style="thin">
        <color indexed="64"/>
      </left>
      <right/>
      <top style="thin">
        <color rgb="FFFFFFFF"/>
      </top>
      <bottom style="thin">
        <color rgb="FFFFFFFF"/>
      </bottom>
      <diagonal/>
    </border>
    <border>
      <left style="thin">
        <color rgb="FFFF0000"/>
      </left>
      <right style="thin">
        <color indexed="64"/>
      </right>
      <top style="thin">
        <color rgb="FFFF0000"/>
      </top>
      <bottom style="thin">
        <color indexed="64"/>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FFFF"/>
      </left>
      <right style="thin">
        <color rgb="FFFFFFFF"/>
      </right>
      <top/>
      <bottom style="thin">
        <color rgb="FFFFFFFF"/>
      </bottom>
      <diagonal/>
    </border>
    <border>
      <left/>
      <right style="thin">
        <color rgb="FFF4F4F4"/>
      </right>
      <top/>
      <bottom style="thin">
        <color rgb="FFF4F4F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style="thin">
        <color rgb="FFFFFFFF"/>
      </bottom>
      <diagonal/>
    </border>
    <border>
      <left style="thin">
        <color rgb="FFFFFFFF"/>
      </left>
      <right style="thin">
        <color theme="0" tint="-0.499984740745262"/>
      </right>
      <top style="thin">
        <color theme="0" tint="-0.499984740745262"/>
      </top>
      <bottom style="thin">
        <color rgb="FFFFFFFF"/>
      </bottom>
      <diagonal/>
    </border>
    <border>
      <left style="thin">
        <color theme="0" tint="-0.499984740745262"/>
      </left>
      <right/>
      <top style="thin">
        <color rgb="FFFFFFFF"/>
      </top>
      <bottom style="thin">
        <color rgb="FFFFFFFF"/>
      </bottom>
      <diagonal/>
    </border>
    <border>
      <left style="thin">
        <color rgb="FFFFFFFF"/>
      </left>
      <right style="thin">
        <color theme="0" tint="-0.499984740745262"/>
      </right>
      <top style="thin">
        <color rgb="FFFFFFFF"/>
      </top>
      <bottom style="thin">
        <color rgb="FFFFFFFF"/>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rgb="FFFFFFFF"/>
      </bottom>
      <diagonal/>
    </border>
    <border>
      <left style="thin">
        <color theme="0" tint="-0.499984740745262"/>
      </left>
      <right style="thin">
        <color theme="0" tint="-0.499984740745262"/>
      </right>
      <top style="thin">
        <color rgb="FFFFFFFF"/>
      </top>
      <bottom style="thin">
        <color rgb="FFFFFFFF"/>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rgb="FFFFFFFF"/>
      </right>
      <top style="thin">
        <color theme="0" tint="-0.499984740745262"/>
      </top>
      <bottom/>
      <diagonal/>
    </border>
    <border>
      <left style="thin">
        <color rgb="FFFFFFFF"/>
      </left>
      <right style="thin">
        <color theme="0" tint="-0.499984740745262"/>
      </right>
      <top style="thin">
        <color theme="0" tint="-0.499984740745262"/>
      </top>
      <bottom/>
      <diagonal/>
    </border>
    <border>
      <left style="thin">
        <color theme="0" tint="-0.499984740745262"/>
      </left>
      <right style="thin">
        <color rgb="FFFFFFFF"/>
      </right>
      <top style="thin">
        <color rgb="FFFFFFFF"/>
      </top>
      <bottom style="thin">
        <color rgb="FFFFFFFF"/>
      </bottom>
      <diagonal/>
    </border>
    <border>
      <left style="thin">
        <color theme="0" tint="-0.499984740745262"/>
      </left>
      <right style="thin">
        <color rgb="FFFFFFFF"/>
      </right>
      <top style="thin">
        <color rgb="FFFFFFFF"/>
      </top>
      <bottom style="thin">
        <color theme="0" tint="-0.499984740745262"/>
      </bottom>
      <diagonal/>
    </border>
    <border>
      <left style="thin">
        <color rgb="FFFFFFFF"/>
      </left>
      <right style="thin">
        <color theme="0" tint="-0.499984740745262"/>
      </right>
      <top style="thin">
        <color rgb="FFFFFFFF"/>
      </top>
      <bottom style="thin">
        <color theme="0" tint="-0.499984740745262"/>
      </bottom>
      <diagonal/>
    </border>
  </borders>
  <cellStyleXfs count="1">
    <xf numFmtId="0" fontId="0" fillId="0" borderId="0"/>
  </cellStyleXfs>
  <cellXfs count="531">
    <xf numFmtId="0" fontId="0" fillId="0" borderId="0" xfId="0"/>
    <xf numFmtId="0" fontId="0" fillId="0" borderId="0" xfId="0" applyBorder="1"/>
    <xf numFmtId="0" fontId="0" fillId="0" borderId="0" xfId="0" quotePrefix="1" applyBorder="1" applyAlignment="1">
      <alignment horizontal="left"/>
    </xf>
    <xf numFmtId="0" fontId="0" fillId="0" borderId="0" xfId="0" applyBorder="1" applyAlignment="1">
      <alignment horizontal="center"/>
    </xf>
    <xf numFmtId="0" fontId="2" fillId="0" borderId="0" xfId="0" applyFont="1" applyBorder="1"/>
    <xf numFmtId="0" fontId="1" fillId="0" borderId="0" xfId="0" applyFont="1" applyBorder="1" applyAlignment="1">
      <alignment horizontal="center"/>
    </xf>
    <xf numFmtId="0" fontId="1" fillId="0" borderId="0" xfId="0" quotePrefix="1" applyFont="1" applyBorder="1" applyAlignment="1">
      <alignment horizontal="center"/>
    </xf>
    <xf numFmtId="0" fontId="0" fillId="2" borderId="0" xfId="0" applyFill="1" applyBorder="1" applyAlignment="1">
      <alignment horizontal="center"/>
    </xf>
    <xf numFmtId="0" fontId="2" fillId="0" borderId="0" xfId="0" applyFont="1"/>
    <xf numFmtId="2" fontId="2" fillId="0" borderId="0" xfId="0" applyNumberFormat="1" applyFont="1" applyBorder="1" applyAlignment="1">
      <alignment horizontal="center"/>
    </xf>
    <xf numFmtId="2" fontId="2" fillId="2" borderId="0" xfId="0" applyNumberFormat="1" applyFont="1" applyFill="1" applyBorder="1" applyAlignment="1">
      <alignment horizontal="center"/>
    </xf>
    <xf numFmtId="165" fontId="3" fillId="0" borderId="0" xfId="0" applyNumberFormat="1" applyFont="1" applyBorder="1" applyAlignment="1">
      <alignment horizontal="center" vertical="center" wrapText="1"/>
    </xf>
    <xf numFmtId="165" fontId="3" fillId="2" borderId="0" xfId="0" applyNumberFormat="1" applyFont="1" applyFill="1" applyBorder="1" applyAlignment="1">
      <alignment horizontal="center" vertical="center" wrapText="1"/>
    </xf>
    <xf numFmtId="0" fontId="4" fillId="0" borderId="0" xfId="0" quotePrefix="1" applyFont="1" applyAlignment="1">
      <alignment horizontal="left"/>
    </xf>
    <xf numFmtId="164" fontId="0" fillId="0" borderId="0" xfId="0" applyNumberFormat="1" applyBorder="1" applyAlignment="1">
      <alignment horizontal="center"/>
    </xf>
    <xf numFmtId="164" fontId="0" fillId="2" borderId="0" xfId="0" applyNumberFormat="1" applyFill="1" applyBorder="1" applyAlignment="1">
      <alignment horizontal="center"/>
    </xf>
    <xf numFmtId="2" fontId="2" fillId="0" borderId="0" xfId="0" applyNumberFormat="1" applyFont="1" applyBorder="1"/>
    <xf numFmtId="0" fontId="5" fillId="3" borderId="2" xfId="0" applyFont="1" applyFill="1" applyBorder="1"/>
    <xf numFmtId="0" fontId="0" fillId="3" borderId="3" xfId="0" applyFill="1" applyBorder="1"/>
    <xf numFmtId="0" fontId="0" fillId="3" borderId="4" xfId="0" applyFill="1" applyBorder="1"/>
    <xf numFmtId="0" fontId="5" fillId="4" borderId="1" xfId="0" applyFont="1" applyFill="1" applyBorder="1"/>
    <xf numFmtId="0" fontId="0" fillId="0" borderId="5" xfId="0" applyBorder="1"/>
    <xf numFmtId="0" fontId="0" fillId="0" borderId="6" xfId="0" applyBorder="1"/>
    <xf numFmtId="0" fontId="5" fillId="0" borderId="7" xfId="0" applyFont="1" applyBorder="1"/>
    <xf numFmtId="0" fontId="6" fillId="0" borderId="0" xfId="0" applyFont="1" applyBorder="1"/>
    <xf numFmtId="0" fontId="0" fillId="0" borderId="8" xfId="0" applyBorder="1" applyAlignment="1">
      <alignment horizontal="center"/>
    </xf>
    <xf numFmtId="0" fontId="5" fillId="0" borderId="9" xfId="0" applyFont="1" applyBorder="1"/>
    <xf numFmtId="0" fontId="6" fillId="0" borderId="10" xfId="0" applyFont="1" applyBorder="1"/>
    <xf numFmtId="0" fontId="0" fillId="0" borderId="11" xfId="0" applyBorder="1" applyAlignment="1">
      <alignment horizontal="center"/>
    </xf>
    <xf numFmtId="0" fontId="5" fillId="4" borderId="2" xfId="0" applyFont="1" applyFill="1" applyBorder="1"/>
    <xf numFmtId="0" fontId="0" fillId="4" borderId="4" xfId="0" applyFill="1" applyBorder="1"/>
    <xf numFmtId="0" fontId="0" fillId="0" borderId="11" xfId="0" applyBorder="1"/>
    <xf numFmtId="0" fontId="5" fillId="5" borderId="2" xfId="0" applyFont="1" applyFill="1" applyBorder="1"/>
    <xf numFmtId="0" fontId="0" fillId="5" borderId="3" xfId="0" applyFill="1" applyBorder="1"/>
    <xf numFmtId="0" fontId="0" fillId="5" borderId="4" xfId="0" applyFill="1" applyBorder="1"/>
    <xf numFmtId="0" fontId="5" fillId="0" borderId="12" xfId="0" applyFont="1" applyBorder="1" applyAlignment="1">
      <alignment horizontal="center"/>
    </xf>
    <xf numFmtId="0" fontId="5" fillId="0" borderId="5" xfId="0" applyFont="1" applyBorder="1" applyAlignment="1">
      <alignment horizontal="center"/>
    </xf>
    <xf numFmtId="0" fontId="6" fillId="0" borderId="7" xfId="0" applyFont="1" applyBorder="1" applyAlignment="1">
      <alignment horizontal="center"/>
    </xf>
    <xf numFmtId="0" fontId="6" fillId="0" borderId="0" xfId="0" applyFont="1" applyBorder="1" applyAlignment="1">
      <alignment horizontal="center"/>
    </xf>
    <xf numFmtId="0" fontId="0" fillId="0" borderId="8" xfId="0" applyBorder="1"/>
    <xf numFmtId="164" fontId="0" fillId="0" borderId="9" xfId="0" applyNumberFormat="1" applyBorder="1" applyAlignment="1">
      <alignment horizontal="center"/>
    </xf>
    <xf numFmtId="164" fontId="0" fillId="0" borderId="10" xfId="0" applyNumberFormat="1" applyBorder="1" applyAlignment="1">
      <alignment horizontal="center"/>
    </xf>
    <xf numFmtId="0" fontId="0" fillId="0" borderId="10" xfId="0" applyBorder="1"/>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1" fontId="0" fillId="0" borderId="0" xfId="0" applyNumberFormat="1" applyBorder="1" applyAlignment="1">
      <alignment horizontal="center"/>
    </xf>
    <xf numFmtId="1" fontId="0" fillId="0" borderId="10" xfId="0" applyNumberFormat="1" applyBorder="1" applyAlignment="1">
      <alignment horizontal="center"/>
    </xf>
    <xf numFmtId="0" fontId="5" fillId="6" borderId="7" xfId="0" applyFont="1" applyFill="1" applyBorder="1" applyAlignment="1">
      <alignment horizontal="center"/>
    </xf>
    <xf numFmtId="1" fontId="5" fillId="6" borderId="0" xfId="0" applyNumberFormat="1" applyFont="1" applyFill="1" applyBorder="1" applyAlignment="1">
      <alignment horizontal="center"/>
    </xf>
    <xf numFmtId="0" fontId="7" fillId="0" borderId="0" xfId="0" applyFont="1"/>
    <xf numFmtId="0" fontId="7" fillId="0" borderId="0" xfId="0" quotePrefix="1" applyFont="1" applyAlignment="1">
      <alignment horizontal="left"/>
    </xf>
    <xf numFmtId="1" fontId="8" fillId="0" borderId="14" xfId="0" applyNumberFormat="1" applyFont="1" applyBorder="1" applyAlignment="1">
      <alignment horizontal="center" vertical="center" wrapText="1"/>
    </xf>
    <xf numFmtId="1" fontId="8" fillId="7" borderId="14" xfId="0" applyNumberFormat="1" applyFont="1" applyFill="1" applyBorder="1" applyAlignment="1">
      <alignment horizontal="center" vertical="center" wrapText="1"/>
    </xf>
    <xf numFmtId="0" fontId="0" fillId="0" borderId="0" xfId="0" quotePrefix="1" applyAlignment="1">
      <alignment horizontal="left"/>
    </xf>
    <xf numFmtId="0" fontId="0" fillId="0" borderId="13" xfId="0" quotePrefix="1" applyBorder="1" applyAlignment="1">
      <alignment horizontal="center"/>
    </xf>
    <xf numFmtId="2" fontId="0" fillId="0" borderId="0" xfId="0" applyNumberFormat="1" applyBorder="1" applyAlignment="1">
      <alignment horizontal="center"/>
    </xf>
    <xf numFmtId="2" fontId="0" fillId="2" borderId="0" xfId="0" applyNumberFormat="1" applyFill="1" applyBorder="1" applyAlignment="1">
      <alignment horizontal="center"/>
    </xf>
    <xf numFmtId="0" fontId="0" fillId="0" borderId="1" xfId="0" applyBorder="1" applyAlignment="1">
      <alignment horizontal="center"/>
    </xf>
    <xf numFmtId="0" fontId="5" fillId="5" borderId="12" xfId="0" applyFont="1" applyFill="1" applyBorder="1"/>
    <xf numFmtId="0" fontId="0" fillId="5" borderId="5" xfId="0" applyFill="1" applyBorder="1"/>
    <xf numFmtId="0" fontId="0" fillId="5" borderId="6" xfId="0" applyFill="1" applyBorder="1"/>
    <xf numFmtId="164" fontId="0" fillId="0" borderId="7" xfId="0" applyNumberFormat="1" applyBorder="1" applyAlignment="1">
      <alignment horizontal="center"/>
    </xf>
    <xf numFmtId="0" fontId="0" fillId="0" borderId="7" xfId="0" applyBorder="1"/>
    <xf numFmtId="0" fontId="0" fillId="0" borderId="9" xfId="0" applyBorder="1"/>
    <xf numFmtId="1" fontId="8" fillId="0" borderId="15" xfId="0" applyNumberFormat="1" applyFont="1" applyBorder="1" applyAlignment="1">
      <alignment horizontal="center" vertical="center" wrapText="1"/>
    </xf>
    <xf numFmtId="1" fontId="8" fillId="7" borderId="15" xfId="0" applyNumberFormat="1" applyFont="1" applyFill="1" applyBorder="1" applyAlignment="1">
      <alignment horizontal="center" vertical="center" wrapText="1"/>
    </xf>
    <xf numFmtId="0" fontId="7" fillId="0" borderId="13" xfId="0" quotePrefix="1" applyFont="1" applyBorder="1" applyAlignment="1">
      <alignment horizontal="center"/>
    </xf>
    <xf numFmtId="0" fontId="0" fillId="0" borderId="13" xfId="0" applyBorder="1" applyAlignment="1">
      <alignment horizontal="center"/>
    </xf>
    <xf numFmtId="0" fontId="8" fillId="0" borderId="14" xfId="0" applyFont="1" applyBorder="1" applyAlignment="1">
      <alignment horizontal="center" vertical="center" wrapText="1"/>
    </xf>
    <xf numFmtId="164" fontId="0" fillId="0" borderId="0" xfId="0" applyNumberFormat="1"/>
    <xf numFmtId="0" fontId="8" fillId="7" borderId="14" xfId="0" applyFont="1" applyFill="1" applyBorder="1" applyAlignment="1">
      <alignment horizontal="center" vertical="center" wrapText="1"/>
    </xf>
    <xf numFmtId="0" fontId="0" fillId="0" borderId="0" xfId="0" applyAlignment="1">
      <alignment horizontal="center"/>
    </xf>
    <xf numFmtId="0" fontId="0" fillId="0" borderId="12" xfId="0" applyBorder="1" applyAlignment="1">
      <alignment horizontal="center"/>
    </xf>
    <xf numFmtId="0" fontId="0" fillId="0" borderId="5" xfId="0" applyBorder="1" applyAlignment="1">
      <alignment horizontal="left"/>
    </xf>
    <xf numFmtId="165" fontId="0" fillId="0" borderId="0" xfId="0" applyNumberFormat="1" applyBorder="1" applyAlignment="1">
      <alignment horizontal="center"/>
    </xf>
    <xf numFmtId="165" fontId="0" fillId="0" borderId="10" xfId="0" applyNumberFormat="1" applyBorder="1" applyAlignment="1">
      <alignment horizontal="center"/>
    </xf>
    <xf numFmtId="0" fontId="0" fillId="0" borderId="5" xfId="0" applyBorder="1" applyAlignment="1">
      <alignment horizontal="center"/>
    </xf>
    <xf numFmtId="166" fontId="0" fillId="0" borderId="8" xfId="0" applyNumberFormat="1" applyBorder="1" applyAlignment="1">
      <alignment horizontal="center"/>
    </xf>
    <xf numFmtId="0" fontId="0" fillId="0" borderId="10" xfId="0" applyBorder="1" applyAlignment="1">
      <alignment horizontal="center"/>
    </xf>
    <xf numFmtId="166" fontId="0" fillId="0" borderId="11" xfId="0" applyNumberFormat="1" applyBorder="1" applyAlignment="1">
      <alignment horizontal="center"/>
    </xf>
    <xf numFmtId="0" fontId="9" fillId="0" borderId="0" xfId="0" applyFont="1" applyFill="1" applyBorder="1" applyAlignment="1">
      <alignment horizontal="left"/>
    </xf>
    <xf numFmtId="0" fontId="5" fillId="0" borderId="0" xfId="0" applyFont="1" applyFill="1" applyBorder="1"/>
    <xf numFmtId="0" fontId="0" fillId="0" borderId="0" xfId="0" applyFill="1" applyBorder="1"/>
    <xf numFmtId="0" fontId="0" fillId="0" borderId="0" xfId="0" applyFill="1"/>
    <xf numFmtId="0" fontId="7" fillId="0" borderId="0" xfId="0" applyFont="1" applyFill="1" applyBorder="1"/>
    <xf numFmtId="0" fontId="5" fillId="0" borderId="9" xfId="0" quotePrefix="1" applyFont="1" applyBorder="1" applyAlignment="1">
      <alignment horizontal="left"/>
    </xf>
    <xf numFmtId="0" fontId="5" fillId="4" borderId="2" xfId="0" quotePrefix="1" applyFont="1" applyFill="1" applyBorder="1" applyAlignment="1">
      <alignment horizontal="left"/>
    </xf>
    <xf numFmtId="0" fontId="10" fillId="0" borderId="16" xfId="0" applyFont="1" applyBorder="1" applyAlignment="1">
      <alignment horizontal="center" vertical="center" wrapText="1"/>
    </xf>
    <xf numFmtId="0" fontId="10" fillId="8" borderId="16" xfId="0" applyFont="1" applyFill="1" applyBorder="1" applyAlignment="1">
      <alignment horizontal="center" vertical="center" wrapText="1"/>
    </xf>
    <xf numFmtId="0" fontId="6" fillId="0" borderId="0" xfId="0" applyFont="1" applyAlignment="1">
      <alignment horizontal="center"/>
    </xf>
    <xf numFmtId="166" fontId="0" fillId="0" borderId="0" xfId="0" applyNumberFormat="1"/>
    <xf numFmtId="0" fontId="6" fillId="0" borderId="0" xfId="0" applyFont="1" applyFill="1" applyBorder="1" applyAlignment="1">
      <alignment horizontal="center"/>
    </xf>
    <xf numFmtId="0" fontId="6" fillId="0" borderId="0" xfId="0" quotePrefix="1" applyFont="1" applyAlignment="1">
      <alignment horizontal="center"/>
    </xf>
    <xf numFmtId="0" fontId="2" fillId="0" borderId="0" xfId="0" applyFont="1" applyAlignment="1">
      <alignment horizontal="center"/>
    </xf>
    <xf numFmtId="0" fontId="12" fillId="0" borderId="0" xfId="0" quotePrefix="1" applyFont="1" applyBorder="1" applyAlignment="1">
      <alignment horizontal="center"/>
    </xf>
    <xf numFmtId="164" fontId="12" fillId="0" borderId="0" xfId="0" applyNumberFormat="1" applyFont="1" applyBorder="1" applyAlignment="1">
      <alignment horizontal="center"/>
    </xf>
    <xf numFmtId="0" fontId="12" fillId="0" borderId="0" xfId="0" applyFont="1" applyBorder="1" applyAlignment="1">
      <alignment horizontal="center"/>
    </xf>
    <xf numFmtId="0" fontId="5" fillId="6" borderId="9" xfId="0" applyFont="1" applyFill="1" applyBorder="1" applyAlignment="1">
      <alignment horizontal="center"/>
    </xf>
    <xf numFmtId="1" fontId="13" fillId="0" borderId="14" xfId="0" applyNumberFormat="1" applyFont="1" applyBorder="1" applyAlignment="1">
      <alignment horizontal="center" vertical="center" wrapText="1"/>
    </xf>
    <xf numFmtId="1" fontId="13" fillId="6" borderId="14" xfId="0" applyNumberFormat="1" applyFont="1" applyFill="1" applyBorder="1" applyAlignment="1">
      <alignment horizontal="center" vertical="center" wrapText="1"/>
    </xf>
    <xf numFmtId="1" fontId="13" fillId="3" borderId="14" xfId="0" applyNumberFormat="1" applyFont="1" applyFill="1" applyBorder="1" applyAlignment="1">
      <alignment horizontal="center" vertical="center" wrapText="1"/>
    </xf>
    <xf numFmtId="2" fontId="13" fillId="0" borderId="14" xfId="0" applyNumberFormat="1" applyFont="1" applyBorder="1" applyAlignment="1">
      <alignment horizontal="center" vertical="center" wrapText="1"/>
    </xf>
    <xf numFmtId="2" fontId="13" fillId="6" borderId="14" xfId="0" applyNumberFormat="1" applyFont="1" applyFill="1" applyBorder="1" applyAlignment="1">
      <alignment horizontal="center" vertical="center" wrapText="1"/>
    </xf>
    <xf numFmtId="2" fontId="13" fillId="3" borderId="14" xfId="0" applyNumberFormat="1" applyFont="1" applyFill="1" applyBorder="1" applyAlignment="1">
      <alignment horizontal="center" vertical="center" wrapText="1"/>
    </xf>
    <xf numFmtId="164" fontId="13" fillId="0" borderId="14" xfId="0" applyNumberFormat="1" applyFont="1" applyBorder="1" applyAlignment="1">
      <alignment horizontal="center" vertical="center" wrapText="1"/>
    </xf>
    <xf numFmtId="0" fontId="11" fillId="0" borderId="0" xfId="0" applyFont="1" applyBorder="1"/>
    <xf numFmtId="0" fontId="14" fillId="0" borderId="0" xfId="0" applyFont="1" applyFill="1" applyBorder="1"/>
    <xf numFmtId="0" fontId="0" fillId="0" borderId="12" xfId="0" applyBorder="1"/>
    <xf numFmtId="0" fontId="5" fillId="0" borderId="0" xfId="0" applyFont="1" applyBorder="1" applyAlignment="1">
      <alignment horizontal="center"/>
    </xf>
    <xf numFmtId="164" fontId="5" fillId="6" borderId="0" xfId="0" applyNumberFormat="1" applyFont="1" applyFill="1" applyBorder="1" applyAlignment="1">
      <alignment horizontal="center"/>
    </xf>
    <xf numFmtId="2" fontId="0" fillId="0" borderId="0" xfId="0" applyNumberFormat="1"/>
    <xf numFmtId="0" fontId="0" fillId="0" borderId="0" xfId="0" quotePrefix="1" applyAlignment="1">
      <alignment horizontal="fill"/>
    </xf>
    <xf numFmtId="0" fontId="10" fillId="0" borderId="16" xfId="0" applyFont="1" applyFill="1" applyBorder="1" applyAlignment="1">
      <alignment horizontal="center" vertical="center" wrapText="1"/>
    </xf>
    <xf numFmtId="0" fontId="16" fillId="10" borderId="0" xfId="0" applyFont="1" applyFill="1" applyBorder="1" applyAlignment="1">
      <alignment horizontal="center"/>
    </xf>
    <xf numFmtId="164" fontId="5" fillId="6" borderId="10" xfId="0" applyNumberFormat="1" applyFont="1" applyFill="1" applyBorder="1" applyAlignment="1">
      <alignment horizontal="center"/>
    </xf>
    <xf numFmtId="164" fontId="13" fillId="6" borderId="14" xfId="0" applyNumberFormat="1" applyFont="1" applyFill="1" applyBorder="1" applyAlignment="1">
      <alignment horizontal="center" vertical="center" wrapText="1"/>
    </xf>
    <xf numFmtId="164" fontId="13" fillId="3" borderId="14" xfId="0" applyNumberFormat="1" applyFont="1" applyFill="1" applyBorder="1" applyAlignment="1">
      <alignment horizontal="center" vertical="center" wrapText="1"/>
    </xf>
    <xf numFmtId="0" fontId="0" fillId="0" borderId="0" xfId="0" quotePrefix="1" applyFont="1" applyAlignment="1">
      <alignment horizontal="left"/>
    </xf>
    <xf numFmtId="0" fontId="0" fillId="0" borderId="0" xfId="0" applyFont="1"/>
    <xf numFmtId="164" fontId="13" fillId="0" borderId="15" xfId="0" applyNumberFormat="1" applyFont="1" applyBorder="1" applyAlignment="1">
      <alignment horizontal="center" vertical="center" wrapText="1"/>
    </xf>
    <xf numFmtId="164" fontId="13" fillId="6" borderId="15" xfId="0" applyNumberFormat="1" applyFont="1" applyFill="1" applyBorder="1" applyAlignment="1">
      <alignment horizontal="center" vertical="center" wrapText="1"/>
    </xf>
    <xf numFmtId="164" fontId="13" fillId="3" borderId="15" xfId="0" applyNumberFormat="1" applyFont="1" applyFill="1" applyBorder="1" applyAlignment="1">
      <alignment horizontal="center" vertical="center" wrapText="1"/>
    </xf>
    <xf numFmtId="0" fontId="2" fillId="0" borderId="0" xfId="0" applyFont="1" applyFill="1" applyAlignment="1">
      <alignment horizontal="center"/>
    </xf>
    <xf numFmtId="2" fontId="0" fillId="0" borderId="0" xfId="0" applyNumberFormat="1" applyAlignment="1">
      <alignment horizontal="center"/>
    </xf>
    <xf numFmtId="164" fontId="0" fillId="0" borderId="8" xfId="0" applyNumberFormat="1" applyBorder="1" applyAlignment="1">
      <alignment horizontal="center"/>
    </xf>
    <xf numFmtId="165" fontId="0" fillId="0" borderId="0" xfId="0" applyNumberFormat="1" applyAlignment="1">
      <alignment horizontal="center"/>
    </xf>
    <xf numFmtId="164" fontId="0" fillId="0" borderId="11" xfId="0" applyNumberFormat="1" applyBorder="1" applyAlignment="1">
      <alignment horizontal="center"/>
    </xf>
    <xf numFmtId="0" fontId="5" fillId="0" borderId="7" xfId="0" applyFont="1" applyBorder="1" applyAlignment="1">
      <alignment horizontal="center"/>
    </xf>
    <xf numFmtId="0" fontId="0" fillId="0" borderId="17" xfId="0" applyBorder="1"/>
    <xf numFmtId="0" fontId="0" fillId="0" borderId="17" xfId="0" applyBorder="1" applyAlignment="1">
      <alignment horizontal="center"/>
    </xf>
    <xf numFmtId="164" fontId="0" fillId="0" borderId="17" xfId="0" applyNumberFormat="1" applyBorder="1" applyAlignment="1">
      <alignment horizontal="center"/>
    </xf>
    <xf numFmtId="2" fontId="0" fillId="0" borderId="8" xfId="0" applyNumberFormat="1" applyBorder="1"/>
    <xf numFmtId="0" fontId="0" fillId="11" borderId="0" xfId="0" applyFill="1"/>
    <xf numFmtId="2" fontId="0" fillId="0" borderId="11" xfId="0" applyNumberFormat="1" applyBorder="1"/>
    <xf numFmtId="1" fontId="0" fillId="0" borderId="0" xfId="0" applyNumberFormat="1"/>
    <xf numFmtId="166" fontId="0" fillId="0" borderId="0" xfId="0" applyNumberFormat="1" applyBorder="1" applyAlignment="1">
      <alignment horizontal="center"/>
    </xf>
    <xf numFmtId="166" fontId="0" fillId="2" borderId="0" xfId="0" applyNumberFormat="1" applyFill="1" applyBorder="1" applyAlignment="1">
      <alignment horizontal="center"/>
    </xf>
    <xf numFmtId="0" fontId="1" fillId="0" borderId="0" xfId="0" applyFont="1" applyFill="1" applyBorder="1" applyAlignment="1">
      <alignment horizontal="center"/>
    </xf>
    <xf numFmtId="0" fontId="18" fillId="0" borderId="0" xfId="0" applyFont="1"/>
    <xf numFmtId="166" fontId="13" fillId="0" borderId="14" xfId="0" applyNumberFormat="1" applyFont="1" applyBorder="1" applyAlignment="1">
      <alignment horizontal="center" vertical="center" wrapText="1"/>
    </xf>
    <xf numFmtId="166" fontId="13" fillId="6" borderId="14" xfId="0" applyNumberFormat="1" applyFont="1" applyFill="1" applyBorder="1" applyAlignment="1">
      <alignment horizontal="center" vertical="center" wrapText="1"/>
    </xf>
    <xf numFmtId="166" fontId="13" fillId="3" borderId="14" xfId="0" applyNumberFormat="1" applyFont="1" applyFill="1" applyBorder="1" applyAlignment="1">
      <alignment horizontal="center" vertical="center" wrapText="1"/>
    </xf>
    <xf numFmtId="0" fontId="5" fillId="0" borderId="0" xfId="0" quotePrefix="1" applyFont="1" applyAlignment="1">
      <alignment horizontal="left"/>
    </xf>
    <xf numFmtId="2" fontId="2" fillId="0" borderId="0" xfId="0" applyNumberFormat="1" applyFont="1" applyAlignment="1">
      <alignment horizontal="center"/>
    </xf>
    <xf numFmtId="0" fontId="0" fillId="0" borderId="0" xfId="0" applyFill="1" applyBorder="1" applyAlignment="1">
      <alignment horizontal="center"/>
    </xf>
    <xf numFmtId="0" fontId="0" fillId="9" borderId="0" xfId="0" applyFill="1"/>
    <xf numFmtId="0" fontId="0" fillId="9" borderId="0" xfId="0" applyFill="1" applyAlignment="1">
      <alignment horizontal="center"/>
    </xf>
    <xf numFmtId="1" fontId="13" fillId="0" borderId="15" xfId="0" applyNumberFormat="1" applyFont="1" applyBorder="1" applyAlignment="1">
      <alignment horizontal="center" vertical="center" wrapText="1"/>
    </xf>
    <xf numFmtId="1" fontId="13" fillId="6" borderId="15" xfId="0" applyNumberFormat="1" applyFont="1" applyFill="1" applyBorder="1" applyAlignment="1">
      <alignment horizontal="center" vertical="center" wrapText="1"/>
    </xf>
    <xf numFmtId="1" fontId="13" fillId="3" borderId="15" xfId="0" applyNumberFormat="1" applyFont="1" applyFill="1" applyBorder="1" applyAlignment="1">
      <alignment horizontal="center" vertical="center" wrapText="1"/>
    </xf>
    <xf numFmtId="164" fontId="13" fillId="0" borderId="21" xfId="0" applyNumberFormat="1" applyFont="1" applyBorder="1" applyAlignment="1">
      <alignment horizontal="center" vertical="center" wrapText="1"/>
    </xf>
    <xf numFmtId="164" fontId="13" fillId="6" borderId="21" xfId="0" applyNumberFormat="1" applyFont="1" applyFill="1" applyBorder="1" applyAlignment="1">
      <alignment horizontal="center" vertical="center" wrapText="1"/>
    </xf>
    <xf numFmtId="164" fontId="13" fillId="3" borderId="21" xfId="0" applyNumberFormat="1" applyFont="1" applyFill="1" applyBorder="1" applyAlignment="1">
      <alignment horizontal="center" vertical="center" wrapText="1"/>
    </xf>
    <xf numFmtId="1" fontId="13" fillId="0" borderId="15" xfId="0" applyNumberFormat="1" applyFont="1" applyFill="1" applyBorder="1" applyAlignment="1">
      <alignment horizontal="center" vertical="center" wrapText="1"/>
    </xf>
    <xf numFmtId="164" fontId="13" fillId="0" borderId="21" xfId="0" applyNumberFormat="1" applyFont="1" applyFill="1" applyBorder="1" applyAlignment="1">
      <alignment horizontal="center" vertical="center" wrapText="1"/>
    </xf>
    <xf numFmtId="0" fontId="0" fillId="0" borderId="10" xfId="0" quotePrefix="1" applyBorder="1" applyAlignment="1">
      <alignment horizontal="left"/>
    </xf>
    <xf numFmtId="0" fontId="0" fillId="0" borderId="5" xfId="0" quotePrefix="1" applyBorder="1" applyAlignment="1">
      <alignment horizontal="left"/>
    </xf>
    <xf numFmtId="0" fontId="2" fillId="0" borderId="12" xfId="0" applyFont="1" applyBorder="1"/>
    <xf numFmtId="0" fontId="2" fillId="0" borderId="7" xfId="0" applyFont="1" applyBorder="1"/>
    <xf numFmtId="0" fontId="2" fillId="0" borderId="9" xfId="0" applyFont="1" applyBorder="1"/>
    <xf numFmtId="0" fontId="2" fillId="0" borderId="8" xfId="0" applyFont="1" applyBorder="1" applyAlignment="1">
      <alignment horizontal="center"/>
    </xf>
    <xf numFmtId="0" fontId="2" fillId="0" borderId="11" xfId="0" applyFont="1" applyBorder="1" applyAlignment="1">
      <alignment horizontal="center"/>
    </xf>
    <xf numFmtId="0" fontId="0" fillId="12" borderId="22" xfId="0" applyFill="1" applyBorder="1" applyAlignment="1">
      <alignment horizontal="center" vertical="center" wrapText="1"/>
    </xf>
    <xf numFmtId="0" fontId="0" fillId="13" borderId="22" xfId="0" applyFill="1" applyBorder="1" applyAlignment="1">
      <alignment horizontal="center" vertical="center" wrapText="1"/>
    </xf>
    <xf numFmtId="0" fontId="0" fillId="0" borderId="22" xfId="0" applyBorder="1" applyAlignment="1">
      <alignment horizontal="center" vertical="center" wrapText="1"/>
    </xf>
    <xf numFmtId="0" fontId="0" fillId="8" borderId="22" xfId="0" applyFill="1" applyBorder="1" applyAlignment="1">
      <alignment horizontal="center" vertical="center" wrapText="1"/>
    </xf>
    <xf numFmtId="0" fontId="15" fillId="0" borderId="0" xfId="0" applyFont="1"/>
    <xf numFmtId="0" fontId="0" fillId="12" borderId="23" xfId="0" applyFill="1" applyBorder="1" applyAlignment="1">
      <alignment horizontal="center" vertical="center" wrapText="1"/>
    </xf>
    <xf numFmtId="0" fontId="5" fillId="0" borderId="0" xfId="0" applyFont="1"/>
    <xf numFmtId="0" fontId="0" fillId="12" borderId="24" xfId="0" applyFill="1" applyBorder="1" applyAlignment="1">
      <alignment horizontal="center" vertical="center" wrapText="1"/>
    </xf>
    <xf numFmtId="164" fontId="0" fillId="13" borderId="22" xfId="0" applyNumberFormat="1" applyFill="1" applyBorder="1" applyAlignment="1">
      <alignment horizontal="center" vertical="center" wrapText="1"/>
    </xf>
    <xf numFmtId="164" fontId="0" fillId="8" borderId="22" xfId="0" applyNumberFormat="1" applyFill="1" applyBorder="1" applyAlignment="1">
      <alignment horizontal="center" vertical="center" wrapText="1"/>
    </xf>
    <xf numFmtId="164" fontId="0" fillId="0" borderId="22" xfId="0" applyNumberFormat="1" applyBorder="1" applyAlignment="1">
      <alignment horizontal="center" vertical="center" wrapText="1"/>
    </xf>
    <xf numFmtId="0" fontId="0" fillId="12" borderId="22" xfId="0" quotePrefix="1" applyFill="1" applyBorder="1" applyAlignment="1">
      <alignment horizontal="center" vertical="center" wrapText="1"/>
    </xf>
    <xf numFmtId="164" fontId="0" fillId="13" borderId="25" xfId="0" applyNumberFormat="1" applyFill="1" applyBorder="1" applyAlignment="1">
      <alignment horizontal="center" vertical="center" wrapText="1"/>
    </xf>
    <xf numFmtId="164" fontId="0" fillId="8" borderId="25" xfId="0" applyNumberFormat="1" applyFill="1" applyBorder="1" applyAlignment="1">
      <alignment horizontal="center" vertical="center" wrapText="1"/>
    </xf>
    <xf numFmtId="164" fontId="0" fillId="0" borderId="25" xfId="0" applyNumberFormat="1" applyBorder="1" applyAlignment="1">
      <alignment horizontal="center" vertical="center" wrapText="1"/>
    </xf>
    <xf numFmtId="164" fontId="0" fillId="8" borderId="26" xfId="0" applyNumberFormat="1" applyFill="1" applyBorder="1" applyAlignment="1">
      <alignment horizontal="center" vertical="center" wrapText="1"/>
    </xf>
    <xf numFmtId="164" fontId="0" fillId="8" borderId="27" xfId="0" applyNumberFormat="1" applyFill="1" applyBorder="1" applyAlignment="1">
      <alignment horizontal="center" vertical="center" wrapText="1"/>
    </xf>
    <xf numFmtId="0" fontId="0" fillId="12" borderId="18" xfId="0" applyFill="1" applyBorder="1" applyAlignment="1">
      <alignment horizontal="center" vertical="center" wrapText="1"/>
    </xf>
    <xf numFmtId="0" fontId="0" fillId="12" borderId="28" xfId="0" applyFill="1" applyBorder="1" applyAlignment="1">
      <alignment horizontal="center" vertical="center" wrapText="1"/>
    </xf>
    <xf numFmtId="0" fontId="11" fillId="12" borderId="18" xfId="0" applyFont="1" applyFill="1" applyBorder="1" applyAlignment="1">
      <alignment horizontal="center" vertical="center" wrapText="1"/>
    </xf>
    <xf numFmtId="0" fontId="11" fillId="12" borderId="28" xfId="0" applyFont="1" applyFill="1" applyBorder="1" applyAlignment="1">
      <alignment horizontal="center" vertical="center" wrapText="1"/>
    </xf>
    <xf numFmtId="0" fontId="11" fillId="0" borderId="0" xfId="0" applyFont="1" applyAlignment="1">
      <alignment horizontal="center"/>
    </xf>
    <xf numFmtId="0" fontId="11" fillId="9" borderId="0" xfId="0" applyFont="1" applyFill="1" applyAlignment="1">
      <alignment horizontal="center"/>
    </xf>
    <xf numFmtId="0" fontId="0" fillId="12" borderId="33" xfId="0" applyFill="1" applyBorder="1" applyAlignment="1">
      <alignment horizontal="center" vertical="center" wrapText="1"/>
    </xf>
    <xf numFmtId="0" fontId="11" fillId="12" borderId="22" xfId="0" applyFont="1" applyFill="1" applyBorder="1" applyAlignment="1">
      <alignment horizontal="center" vertical="center" wrapText="1"/>
    </xf>
    <xf numFmtId="0" fontId="11" fillId="3" borderId="0" xfId="0" applyFont="1" applyFill="1" applyAlignment="1">
      <alignment horizontal="center"/>
    </xf>
    <xf numFmtId="0" fontId="11" fillId="6" borderId="0" xfId="0" applyFont="1" applyFill="1" applyAlignment="1">
      <alignment horizontal="center"/>
    </xf>
    <xf numFmtId="0" fontId="22" fillId="12" borderId="22" xfId="0" applyFont="1" applyFill="1" applyBorder="1" applyAlignment="1">
      <alignment horizontal="center" vertical="center" wrapText="1"/>
    </xf>
    <xf numFmtId="0" fontId="0" fillId="12" borderId="34" xfId="0" applyFill="1" applyBorder="1" applyAlignment="1">
      <alignment horizontal="center" vertical="center" wrapText="1"/>
    </xf>
    <xf numFmtId="0" fontId="25" fillId="12" borderId="22" xfId="0" quotePrefix="1" applyFont="1" applyFill="1" applyBorder="1" applyAlignment="1">
      <alignment horizontal="center" vertical="center" wrapText="1"/>
    </xf>
    <xf numFmtId="164" fontId="15" fillId="0" borderId="0" xfId="0" applyNumberFormat="1" applyFont="1" applyBorder="1" applyAlignment="1">
      <alignment horizontal="center"/>
    </xf>
    <xf numFmtId="164" fontId="19" fillId="0" borderId="0" xfId="0" applyNumberFormat="1" applyFont="1" applyBorder="1" applyAlignment="1">
      <alignment horizontal="center"/>
    </xf>
    <xf numFmtId="0" fontId="11" fillId="12" borderId="32" xfId="0" applyFont="1" applyFill="1" applyBorder="1" applyAlignment="1">
      <alignment horizontal="center" vertical="center" wrapText="1"/>
    </xf>
    <xf numFmtId="0" fontId="11" fillId="12" borderId="33" xfId="0" applyFont="1" applyFill="1" applyBorder="1" applyAlignment="1">
      <alignment horizontal="center" vertical="center" wrapText="1"/>
    </xf>
    <xf numFmtId="166" fontId="2" fillId="0" borderId="0" xfId="0" applyNumberFormat="1" applyFont="1" applyAlignment="1">
      <alignment horizontal="center"/>
    </xf>
    <xf numFmtId="164" fontId="11" fillId="3" borderId="0" xfId="0" applyNumberFormat="1" applyFont="1" applyFill="1" applyAlignment="1">
      <alignment horizontal="center"/>
    </xf>
    <xf numFmtId="164" fontId="11" fillId="6" borderId="0" xfId="0" applyNumberFormat="1" applyFont="1" applyFill="1" applyAlignment="1">
      <alignment horizontal="center"/>
    </xf>
    <xf numFmtId="164" fontId="11" fillId="0" borderId="0" xfId="0" applyNumberFormat="1" applyFont="1" applyAlignment="1">
      <alignment horizontal="center"/>
    </xf>
    <xf numFmtId="165" fontId="10" fillId="0" borderId="16" xfId="0" applyNumberFormat="1" applyFont="1" applyBorder="1" applyAlignment="1">
      <alignment horizontal="center" vertical="center" wrapText="1"/>
    </xf>
    <xf numFmtId="165" fontId="10" fillId="8" borderId="16" xfId="0" applyNumberFormat="1" applyFont="1" applyFill="1" applyBorder="1" applyAlignment="1">
      <alignment horizontal="center" vertical="center" wrapText="1"/>
    </xf>
    <xf numFmtId="0" fontId="5" fillId="0" borderId="0" xfId="0" quotePrefix="1" applyFont="1" applyFill="1" applyBorder="1" applyAlignment="1">
      <alignment horizontal="center"/>
    </xf>
    <xf numFmtId="0" fontId="6" fillId="0" borderId="0" xfId="0" quotePrefix="1" applyFont="1" applyFill="1" applyBorder="1" applyAlignment="1">
      <alignment horizontal="center"/>
    </xf>
    <xf numFmtId="164" fontId="0" fillId="0" borderId="35" xfId="0" applyNumberFormat="1" applyBorder="1" applyAlignment="1">
      <alignment horizontal="center" vertical="center" wrapText="1"/>
    </xf>
    <xf numFmtId="164" fontId="0" fillId="8" borderId="0" xfId="0" applyNumberFormat="1" applyFill="1" applyBorder="1" applyAlignment="1">
      <alignment horizontal="center" vertical="center" wrapText="1"/>
    </xf>
    <xf numFmtId="0" fontId="28" fillId="0" borderId="0" xfId="0" applyFont="1" applyAlignment="1">
      <alignment horizontal="center"/>
    </xf>
    <xf numFmtId="0" fontId="5" fillId="9" borderId="29" xfId="0" applyFont="1" applyFill="1" applyBorder="1" applyAlignment="1">
      <alignment horizontal="center"/>
    </xf>
    <xf numFmtId="0" fontId="5" fillId="9" borderId="30" xfId="0" applyFont="1" applyFill="1" applyBorder="1" applyAlignment="1">
      <alignment horizontal="center"/>
    </xf>
    <xf numFmtId="166" fontId="0" fillId="0" borderId="30" xfId="0" applyNumberFormat="1" applyBorder="1" applyAlignment="1">
      <alignment horizontal="center"/>
    </xf>
    <xf numFmtId="166" fontId="0" fillId="0" borderId="31" xfId="0" applyNumberFormat="1" applyBorder="1" applyAlignment="1">
      <alignment horizontal="center"/>
    </xf>
    <xf numFmtId="0" fontId="11" fillId="12" borderId="34" xfId="0" applyFont="1" applyFill="1" applyBorder="1" applyAlignment="1">
      <alignment horizontal="center" vertical="center" wrapText="1"/>
    </xf>
    <xf numFmtId="0" fontId="20" fillId="12" borderId="36" xfId="0" applyFont="1" applyFill="1" applyBorder="1" applyAlignment="1">
      <alignment horizontal="center" vertical="center" wrapText="1"/>
    </xf>
    <xf numFmtId="0" fontId="20" fillId="12" borderId="37" xfId="0" applyFont="1" applyFill="1" applyBorder="1" applyAlignment="1">
      <alignment horizontal="center" vertical="center" wrapText="1"/>
    </xf>
    <xf numFmtId="0" fontId="20" fillId="12" borderId="38" xfId="0" applyFont="1" applyFill="1" applyBorder="1" applyAlignment="1">
      <alignment horizontal="center" vertical="center" wrapText="1"/>
    </xf>
    <xf numFmtId="165" fontId="0" fillId="0" borderId="30" xfId="0" applyNumberFormat="1" applyBorder="1" applyAlignment="1">
      <alignment horizontal="center"/>
    </xf>
    <xf numFmtId="165" fontId="0" fillId="0" borderId="31" xfId="0" applyNumberFormat="1" applyBorder="1" applyAlignment="1">
      <alignment horizontal="center"/>
    </xf>
    <xf numFmtId="0" fontId="11" fillId="12" borderId="39" xfId="0" applyFont="1" applyFill="1" applyBorder="1" applyAlignment="1">
      <alignment horizontal="center" vertical="center" wrapText="1"/>
    </xf>
    <xf numFmtId="0" fontId="11" fillId="12" borderId="40" xfId="0" applyFont="1" applyFill="1" applyBorder="1" applyAlignment="1">
      <alignment horizontal="center" vertical="center" wrapText="1"/>
    </xf>
    <xf numFmtId="0" fontId="0" fillId="12" borderId="36" xfId="0" applyFill="1" applyBorder="1" applyAlignment="1">
      <alignment horizontal="center" vertical="center" wrapText="1"/>
    </xf>
    <xf numFmtId="0" fontId="0" fillId="12" borderId="37" xfId="0" applyFill="1" applyBorder="1" applyAlignment="1">
      <alignment horizontal="center" vertical="center" wrapText="1"/>
    </xf>
    <xf numFmtId="164" fontId="11" fillId="3" borderId="8"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0" borderId="8" xfId="0" applyNumberFormat="1" applyFont="1" applyBorder="1" applyAlignment="1">
      <alignment horizontal="center"/>
    </xf>
    <xf numFmtId="164" fontId="11" fillId="6" borderId="11" xfId="0" applyNumberFormat="1" applyFont="1" applyFill="1" applyBorder="1" applyAlignment="1">
      <alignment horizontal="center"/>
    </xf>
    <xf numFmtId="0" fontId="0" fillId="12" borderId="39" xfId="0" quotePrefix="1" applyFill="1" applyBorder="1" applyAlignment="1">
      <alignment horizontal="center" vertical="center" wrapText="1"/>
    </xf>
    <xf numFmtId="0" fontId="0" fillId="12" borderId="40" xfId="0" quotePrefix="1" applyFill="1" applyBorder="1" applyAlignment="1">
      <alignment horizontal="center" vertical="center" wrapText="1"/>
    </xf>
    <xf numFmtId="0" fontId="0" fillId="12" borderId="40" xfId="0" applyFill="1" applyBorder="1" applyAlignment="1">
      <alignment horizontal="center" vertical="center" wrapText="1"/>
    </xf>
    <xf numFmtId="165" fontId="26" fillId="0" borderId="8" xfId="0" applyNumberFormat="1" applyFont="1" applyBorder="1" applyAlignment="1">
      <alignment horizontal="center"/>
    </xf>
    <xf numFmtId="165" fontId="26" fillId="0" borderId="11" xfId="0" applyNumberFormat="1" applyFont="1" applyBorder="1" applyAlignment="1">
      <alignment horizontal="center"/>
    </xf>
    <xf numFmtId="165" fontId="11" fillId="3" borderId="0" xfId="0" applyNumberFormat="1" applyFont="1" applyFill="1" applyAlignment="1">
      <alignment horizontal="center"/>
    </xf>
    <xf numFmtId="165" fontId="11" fillId="6" borderId="0" xfId="0" applyNumberFormat="1" applyFont="1" applyFill="1" applyAlignment="1">
      <alignment horizontal="center"/>
    </xf>
    <xf numFmtId="165" fontId="11" fillId="0" borderId="0" xfId="0" applyNumberFormat="1" applyFont="1" applyAlignment="1">
      <alignment horizontal="center"/>
    </xf>
    <xf numFmtId="167" fontId="27" fillId="3" borderId="0" xfId="0" applyNumberFormat="1" applyFont="1" applyFill="1" applyAlignment="1">
      <alignment horizontal="center"/>
    </xf>
    <xf numFmtId="167" fontId="27" fillId="6" borderId="0" xfId="0" applyNumberFormat="1" applyFont="1" applyFill="1" applyAlignment="1">
      <alignment horizontal="center"/>
    </xf>
    <xf numFmtId="167" fontId="27" fillId="0" borderId="0" xfId="0" applyNumberFormat="1" applyFont="1" applyAlignment="1">
      <alignment horizontal="center"/>
    </xf>
    <xf numFmtId="0" fontId="0" fillId="3" borderId="0" xfId="0" applyFill="1" applyBorder="1"/>
    <xf numFmtId="0" fontId="5" fillId="0" borderId="5" xfId="0" quotePrefix="1" applyFont="1" applyBorder="1" applyAlignment="1">
      <alignment horizontal="center"/>
    </xf>
    <xf numFmtId="165" fontId="10" fillId="0" borderId="0" xfId="0" applyNumberFormat="1" applyFont="1" applyFill="1" applyBorder="1" applyAlignment="1">
      <alignment horizontal="center" vertical="center" wrapText="1"/>
    </xf>
    <xf numFmtId="164" fontId="0" fillId="0" borderId="0" xfId="0" applyNumberFormat="1" applyFill="1" applyBorder="1" applyAlignment="1">
      <alignment horizontal="center"/>
    </xf>
    <xf numFmtId="164"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quotePrefix="1" applyFont="1" applyAlignment="1">
      <alignment horizontal="center"/>
    </xf>
    <xf numFmtId="0" fontId="16" fillId="0" borderId="0" xfId="0" quotePrefix="1" applyFont="1" applyFill="1" applyBorder="1" applyAlignment="1">
      <alignment horizontal="center"/>
    </xf>
    <xf numFmtId="2" fontId="13" fillId="3" borderId="15" xfId="0" applyNumberFormat="1" applyFont="1" applyFill="1" applyBorder="1" applyAlignment="1">
      <alignment horizontal="center" vertical="center" wrapText="1"/>
    </xf>
    <xf numFmtId="2" fontId="13" fillId="6" borderId="15" xfId="0" applyNumberFormat="1" applyFont="1" applyFill="1" applyBorder="1" applyAlignment="1">
      <alignment horizontal="center" vertical="center" wrapText="1"/>
    </xf>
    <xf numFmtId="2" fontId="13" fillId="0" borderId="15" xfId="0" applyNumberFormat="1" applyFont="1" applyBorder="1" applyAlignment="1">
      <alignment horizontal="center" vertical="center" wrapText="1"/>
    </xf>
    <xf numFmtId="167" fontId="29" fillId="3" borderId="15" xfId="0" applyNumberFormat="1" applyFont="1" applyFill="1" applyBorder="1" applyAlignment="1">
      <alignment horizontal="center" vertical="center" wrapText="1"/>
    </xf>
    <xf numFmtId="167" fontId="29" fillId="6" borderId="15" xfId="0" applyNumberFormat="1" applyFont="1" applyFill="1" applyBorder="1" applyAlignment="1">
      <alignment horizontal="center" vertical="center" wrapText="1"/>
    </xf>
    <xf numFmtId="167" fontId="29" fillId="0" borderId="15" xfId="0" applyNumberFormat="1" applyFont="1" applyBorder="1" applyAlignment="1">
      <alignment horizontal="center" vertical="center" wrapText="1"/>
    </xf>
    <xf numFmtId="0" fontId="30" fillId="0" borderId="0" xfId="0" applyFont="1" applyFill="1" applyBorder="1" applyAlignment="1">
      <alignment horizontal="center"/>
    </xf>
    <xf numFmtId="0" fontId="11" fillId="0" borderId="0" xfId="0" quotePrefix="1" applyFont="1" applyAlignment="1">
      <alignment horizontal="center"/>
    </xf>
    <xf numFmtId="0" fontId="27" fillId="0" borderId="0" xfId="0" quotePrefix="1" applyFont="1" applyAlignment="1">
      <alignment horizontal="right"/>
    </xf>
    <xf numFmtId="2" fontId="11" fillId="3" borderId="0" xfId="0" applyNumberFormat="1" applyFont="1" applyFill="1" applyAlignment="1">
      <alignment horizontal="center"/>
    </xf>
    <xf numFmtId="2" fontId="11" fillId="6" borderId="0" xfId="0" applyNumberFormat="1" applyFont="1" applyFill="1" applyAlignment="1">
      <alignment horizontal="center"/>
    </xf>
    <xf numFmtId="2" fontId="11" fillId="0" borderId="0" xfId="0" applyNumberFormat="1" applyFont="1" applyAlignment="1">
      <alignment horizontal="center"/>
    </xf>
    <xf numFmtId="165" fontId="13" fillId="3" borderId="14" xfId="0" applyNumberFormat="1" applyFont="1" applyFill="1" applyBorder="1" applyAlignment="1">
      <alignment horizontal="center" vertical="center" wrapText="1"/>
    </xf>
    <xf numFmtId="165" fontId="13" fillId="6" borderId="14" xfId="0" applyNumberFormat="1" applyFont="1" applyFill="1" applyBorder="1" applyAlignment="1">
      <alignment horizontal="center" vertical="center" wrapText="1"/>
    </xf>
    <xf numFmtId="165" fontId="13" fillId="0" borderId="14" xfId="0" applyNumberFormat="1" applyFont="1" applyBorder="1" applyAlignment="1">
      <alignment horizontal="center" vertical="center" wrapText="1"/>
    </xf>
    <xf numFmtId="0" fontId="5" fillId="0" borderId="0" xfId="0" quotePrefix="1" applyFont="1" applyBorder="1" applyAlignment="1">
      <alignment horizontal="center"/>
    </xf>
    <xf numFmtId="0" fontId="24" fillId="3" borderId="0" xfId="0" quotePrefix="1" applyFont="1" applyFill="1" applyBorder="1" applyAlignment="1">
      <alignment horizontal="left"/>
    </xf>
    <xf numFmtId="0" fontId="11" fillId="12" borderId="0" xfId="0" applyFont="1" applyFill="1" applyBorder="1" applyAlignment="1">
      <alignment horizontal="center" vertical="center" wrapText="1"/>
    </xf>
    <xf numFmtId="164" fontId="0" fillId="0" borderId="0" xfId="0" applyNumberFormat="1" applyAlignment="1">
      <alignment horizontal="center"/>
    </xf>
    <xf numFmtId="0" fontId="0" fillId="12" borderId="32" xfId="0" applyFill="1" applyBorder="1" applyAlignment="1">
      <alignment horizontal="center" vertical="center" wrapText="1"/>
    </xf>
    <xf numFmtId="0" fontId="25" fillId="12" borderId="32" xfId="0" quotePrefix="1" applyFont="1" applyFill="1" applyBorder="1" applyAlignment="1">
      <alignment horizontal="center" vertical="center" wrapText="1"/>
    </xf>
    <xf numFmtId="0" fontId="0" fillId="12" borderId="28" xfId="0" quotePrefix="1" applyFill="1" applyBorder="1" applyAlignment="1">
      <alignment horizontal="center" vertical="center" wrapText="1"/>
    </xf>
    <xf numFmtId="0" fontId="25" fillId="12" borderId="28" xfId="0" quotePrefix="1" applyFont="1" applyFill="1" applyBorder="1" applyAlignment="1">
      <alignment horizontal="center" vertical="center" wrapText="1"/>
    </xf>
    <xf numFmtId="164" fontId="0" fillId="13" borderId="28" xfId="0" applyNumberFormat="1" applyFill="1" applyBorder="1" applyAlignment="1">
      <alignment horizontal="center" vertical="center" wrapText="1"/>
    </xf>
    <xf numFmtId="164" fontId="0" fillId="8" borderId="28" xfId="0" applyNumberFormat="1" applyFill="1" applyBorder="1" applyAlignment="1">
      <alignment horizontal="center" vertical="center" wrapText="1"/>
    </xf>
    <xf numFmtId="164" fontId="0" fillId="0" borderId="28" xfId="0" applyNumberFormat="1" applyBorder="1" applyAlignment="1">
      <alignment horizontal="center" vertical="center" wrapText="1"/>
    </xf>
    <xf numFmtId="164" fontId="0" fillId="8" borderId="42" xfId="0" applyNumberFormat="1" applyFill="1" applyBorder="1" applyAlignment="1">
      <alignment horizontal="center" vertical="center" wrapText="1"/>
    </xf>
    <xf numFmtId="0" fontId="21" fillId="12" borderId="41" xfId="0" applyFont="1" applyFill="1" applyBorder="1" applyAlignment="1">
      <alignment horizontal="center" vertical="center" wrapText="1"/>
    </xf>
    <xf numFmtId="0" fontId="21" fillId="12" borderId="33" xfId="0" quotePrefix="1" applyFont="1" applyFill="1" applyBorder="1" applyAlignment="1">
      <alignment horizontal="center" vertical="center" wrapText="1"/>
    </xf>
    <xf numFmtId="0" fontId="31" fillId="12" borderId="33" xfId="0" quotePrefix="1" applyFont="1" applyFill="1" applyBorder="1" applyAlignment="1">
      <alignment horizontal="center" vertical="center" wrapText="1"/>
    </xf>
    <xf numFmtId="164" fontId="0" fillId="13" borderId="33" xfId="0" applyNumberFormat="1" applyFill="1" applyBorder="1" applyAlignment="1">
      <alignment horizontal="center" vertical="center" wrapText="1"/>
    </xf>
    <xf numFmtId="164" fontId="0" fillId="8" borderId="33" xfId="0" applyNumberFormat="1" applyFill="1" applyBorder="1" applyAlignment="1">
      <alignment horizontal="center" vertical="center" wrapText="1"/>
    </xf>
    <xf numFmtId="164" fontId="0" fillId="0" borderId="33" xfId="0" applyNumberFormat="1" applyBorder="1" applyAlignment="1">
      <alignment horizontal="center" vertical="center" wrapText="1"/>
    </xf>
    <xf numFmtId="0" fontId="11" fillId="12" borderId="43" xfId="0" applyFont="1" applyFill="1" applyBorder="1" applyAlignment="1">
      <alignment horizontal="center" vertical="center" wrapText="1"/>
    </xf>
    <xf numFmtId="0" fontId="19" fillId="12" borderId="18" xfId="0" applyFont="1" applyFill="1" applyBorder="1" applyAlignment="1">
      <alignment horizontal="center" vertical="center" wrapText="1"/>
    </xf>
    <xf numFmtId="0" fontId="19" fillId="12" borderId="28" xfId="0" applyFont="1" applyFill="1" applyBorder="1" applyAlignment="1">
      <alignment horizontal="center" vertical="center" wrapText="1"/>
    </xf>
    <xf numFmtId="0" fontId="19" fillId="12" borderId="28" xfId="0" quotePrefix="1" applyFont="1" applyFill="1" applyBorder="1" applyAlignment="1">
      <alignment horizontal="center" vertical="center" wrapText="1"/>
    </xf>
    <xf numFmtId="0" fontId="11" fillId="12" borderId="44"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0" fillId="12" borderId="41" xfId="0" applyFill="1" applyBorder="1" applyAlignment="1">
      <alignment horizontal="center" vertical="center" wrapText="1"/>
    </xf>
    <xf numFmtId="0" fontId="25" fillId="12" borderId="33" xfId="0" quotePrefix="1" applyFont="1" applyFill="1" applyBorder="1" applyAlignment="1">
      <alignment horizontal="center" vertical="center" wrapText="1"/>
    </xf>
    <xf numFmtId="0" fontId="22" fillId="12" borderId="34" xfId="0" applyFont="1" applyFill="1" applyBorder="1" applyAlignment="1">
      <alignment horizontal="center" vertical="center" wrapText="1"/>
    </xf>
    <xf numFmtId="0" fontId="5" fillId="3" borderId="0" xfId="0" quotePrefix="1" applyFont="1" applyFill="1" applyBorder="1" applyAlignment="1">
      <alignment horizontal="left"/>
    </xf>
    <xf numFmtId="0" fontId="24" fillId="0" borderId="0" xfId="0" quotePrefix="1" applyFont="1" applyFill="1" applyBorder="1" applyAlignment="1">
      <alignment horizontal="left"/>
    </xf>
    <xf numFmtId="0" fontId="16" fillId="0" borderId="0" xfId="0" quotePrefix="1" applyFont="1" applyAlignment="1">
      <alignment horizontal="left"/>
    </xf>
    <xf numFmtId="0" fontId="0" fillId="0" borderId="0" xfId="0" applyAlignment="1">
      <alignment horizontal="right"/>
    </xf>
    <xf numFmtId="0" fontId="0" fillId="0" borderId="0" xfId="0" quotePrefix="1" applyAlignment="1">
      <alignment horizontal="right"/>
    </xf>
    <xf numFmtId="0" fontId="1" fillId="0" borderId="0" xfId="0" applyFont="1"/>
    <xf numFmtId="0" fontId="0" fillId="0" borderId="0" xfId="0" quotePrefix="1" applyAlignment="1">
      <alignment horizontal="center"/>
    </xf>
    <xf numFmtId="1" fontId="11" fillId="3" borderId="0" xfId="0" applyNumberFormat="1" applyFont="1" applyFill="1" applyAlignment="1">
      <alignment horizontal="center"/>
    </xf>
    <xf numFmtId="1" fontId="11" fillId="6" borderId="0" xfId="0" applyNumberFormat="1" applyFont="1" applyFill="1" applyAlignment="1">
      <alignment horizontal="center"/>
    </xf>
    <xf numFmtId="1" fontId="11" fillId="0" borderId="0" xfId="0" applyNumberFormat="1" applyFont="1" applyAlignment="1">
      <alignment horizontal="center"/>
    </xf>
    <xf numFmtId="2" fontId="13" fillId="3" borderId="21" xfId="0" applyNumberFormat="1" applyFont="1" applyFill="1" applyBorder="1" applyAlignment="1">
      <alignment horizontal="center" vertical="center" wrapText="1"/>
    </xf>
    <xf numFmtId="2" fontId="13" fillId="6" borderId="21" xfId="0" applyNumberFormat="1" applyFont="1" applyFill="1" applyBorder="1" applyAlignment="1">
      <alignment horizontal="center" vertical="center" wrapText="1"/>
    </xf>
    <xf numFmtId="2" fontId="13" fillId="0" borderId="21" xfId="0" applyNumberFormat="1" applyFont="1" applyBorder="1" applyAlignment="1">
      <alignment horizontal="center" vertical="center" wrapText="1"/>
    </xf>
    <xf numFmtId="2" fontId="13" fillId="0" borderId="21" xfId="0" applyNumberFormat="1" applyFont="1" applyFill="1" applyBorder="1" applyAlignment="1">
      <alignment horizontal="center" vertical="center" wrapText="1"/>
    </xf>
    <xf numFmtId="164" fontId="0" fillId="13" borderId="34" xfId="0" applyNumberFormat="1" applyFill="1" applyBorder="1" applyAlignment="1">
      <alignment horizontal="center" vertical="center" wrapText="1"/>
    </xf>
    <xf numFmtId="164" fontId="0" fillId="8" borderId="34" xfId="0" applyNumberFormat="1" applyFill="1" applyBorder="1" applyAlignment="1">
      <alignment horizontal="center" vertical="center" wrapText="1"/>
    </xf>
    <xf numFmtId="164" fontId="0" fillId="0" borderId="34" xfId="0" applyNumberFormat="1" applyBorder="1" applyAlignment="1">
      <alignment horizontal="center" vertical="center" wrapText="1"/>
    </xf>
    <xf numFmtId="2" fontId="0" fillId="13" borderId="28" xfId="0" applyNumberFormat="1" applyFill="1" applyBorder="1" applyAlignment="1">
      <alignment horizontal="center" vertical="center" wrapText="1"/>
    </xf>
    <xf numFmtId="2" fontId="0" fillId="8" borderId="28" xfId="0" applyNumberFormat="1" applyFill="1" applyBorder="1" applyAlignment="1">
      <alignment horizontal="center" vertical="center" wrapText="1"/>
    </xf>
    <xf numFmtId="2" fontId="0" fillId="0" borderId="28" xfId="0" applyNumberFormat="1" applyBorder="1" applyAlignment="1">
      <alignment horizontal="center" vertical="center" wrapText="1"/>
    </xf>
    <xf numFmtId="2" fontId="0" fillId="8" borderId="42" xfId="0" applyNumberFormat="1" applyFill="1" applyBorder="1" applyAlignment="1">
      <alignment horizontal="center" vertical="center" wrapText="1"/>
    </xf>
    <xf numFmtId="1" fontId="0" fillId="13" borderId="28" xfId="0" applyNumberFormat="1" applyFill="1" applyBorder="1" applyAlignment="1">
      <alignment horizontal="center" vertical="center" wrapText="1"/>
    </xf>
    <xf numFmtId="1" fontId="0" fillId="8" borderId="28" xfId="0" applyNumberFormat="1" applyFill="1" applyBorder="1" applyAlignment="1">
      <alignment horizontal="center" vertical="center" wrapText="1"/>
    </xf>
    <xf numFmtId="1" fontId="0" fillId="0" borderId="28" xfId="0" applyNumberFormat="1" applyBorder="1" applyAlignment="1">
      <alignment horizontal="center" vertical="center" wrapText="1"/>
    </xf>
    <xf numFmtId="1" fontId="0" fillId="8" borderId="42" xfId="0" applyNumberFormat="1" applyFill="1" applyBorder="1" applyAlignment="1">
      <alignment horizontal="center" vertical="center" wrapText="1"/>
    </xf>
    <xf numFmtId="166" fontId="13" fillId="3" borderId="19" xfId="0" applyNumberFormat="1" applyFont="1" applyFill="1" applyBorder="1" applyAlignment="1">
      <alignment horizontal="center" vertical="center" wrapText="1"/>
    </xf>
    <xf numFmtId="166" fontId="13" fillId="6" borderId="19" xfId="0" applyNumberFormat="1" applyFont="1" applyFill="1" applyBorder="1" applyAlignment="1">
      <alignment horizontal="center" vertical="center" wrapText="1"/>
    </xf>
    <xf numFmtId="166" fontId="13" fillId="0" borderId="19" xfId="0" applyNumberFormat="1" applyFont="1" applyBorder="1" applyAlignment="1">
      <alignment horizontal="center" vertical="center" wrapText="1"/>
    </xf>
    <xf numFmtId="166" fontId="13" fillId="6" borderId="20" xfId="0" applyNumberFormat="1" applyFont="1" applyFill="1" applyBorder="1" applyAlignment="1">
      <alignment horizontal="center" vertical="center" wrapText="1"/>
    </xf>
    <xf numFmtId="2" fontId="13" fillId="3" borderId="19" xfId="0" applyNumberFormat="1" applyFont="1" applyFill="1" applyBorder="1" applyAlignment="1">
      <alignment horizontal="center" vertical="center" wrapText="1"/>
    </xf>
    <xf numFmtId="2" fontId="13" fillId="6" borderId="19" xfId="0" applyNumberFormat="1" applyFont="1" applyFill="1" applyBorder="1" applyAlignment="1">
      <alignment horizontal="center" vertical="center" wrapText="1"/>
    </xf>
    <xf numFmtId="2" fontId="13" fillId="0" borderId="19" xfId="0" applyNumberFormat="1" applyFont="1" applyBorder="1" applyAlignment="1">
      <alignment horizontal="center" vertical="center" wrapText="1"/>
    </xf>
    <xf numFmtId="2" fontId="13" fillId="6" borderId="20" xfId="0" applyNumberFormat="1" applyFont="1" applyFill="1" applyBorder="1" applyAlignment="1">
      <alignment horizontal="center" vertical="center" wrapText="1"/>
    </xf>
    <xf numFmtId="0" fontId="2" fillId="13" borderId="22"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0" borderId="22" xfId="0" applyFont="1" applyBorder="1" applyAlignment="1">
      <alignment horizontal="center" vertical="center" wrapText="1"/>
    </xf>
    <xf numFmtId="1" fontId="2" fillId="3" borderId="0" xfId="0" applyNumberFormat="1" applyFont="1" applyFill="1" applyAlignment="1">
      <alignment horizontal="center"/>
    </xf>
    <xf numFmtId="1" fontId="2" fillId="6" borderId="0" xfId="0" applyNumberFormat="1" applyFont="1" applyFill="1" applyAlignment="1">
      <alignment horizontal="center"/>
    </xf>
    <xf numFmtId="1" fontId="2" fillId="0" borderId="0" xfId="0" applyNumberFormat="1" applyFont="1" applyAlignment="1">
      <alignment horizontal="center"/>
    </xf>
    <xf numFmtId="0" fontId="2" fillId="3" borderId="0" xfId="0" applyFont="1" applyFill="1" applyAlignment="1">
      <alignment horizontal="center"/>
    </xf>
    <xf numFmtId="0" fontId="2" fillId="6" borderId="0" xfId="0" applyFont="1" applyFill="1" applyAlignment="1">
      <alignment horizontal="center"/>
    </xf>
    <xf numFmtId="165" fontId="17" fillId="0" borderId="16" xfId="0" applyNumberFormat="1" applyFont="1" applyBorder="1" applyAlignment="1">
      <alignment horizontal="center" vertical="center" wrapText="1"/>
    </xf>
    <xf numFmtId="165" fontId="17" fillId="8" borderId="16" xfId="0" applyNumberFormat="1" applyFont="1" applyFill="1" applyBorder="1" applyAlignment="1">
      <alignment horizontal="center" vertical="center" wrapText="1"/>
    </xf>
    <xf numFmtId="0" fontId="34" fillId="0" borderId="0" xfId="0" applyFont="1"/>
    <xf numFmtId="0" fontId="25" fillId="12" borderId="42" xfId="0" quotePrefix="1" applyFont="1" applyFill="1" applyBorder="1" applyAlignment="1">
      <alignment horizontal="center" vertical="center" wrapText="1"/>
    </xf>
    <xf numFmtId="0" fontId="27" fillId="12" borderId="34" xfId="0" applyFont="1" applyFill="1" applyBorder="1" applyAlignment="1">
      <alignment horizontal="center" vertical="center" wrapText="1"/>
    </xf>
    <xf numFmtId="165" fontId="15" fillId="0" borderId="0" xfId="0" applyNumberFormat="1" applyFont="1" applyAlignment="1">
      <alignment horizontal="center"/>
    </xf>
    <xf numFmtId="0" fontId="0" fillId="0" borderId="4" xfId="0" applyBorder="1" applyAlignment="1">
      <alignment horizontal="center"/>
    </xf>
    <xf numFmtId="0" fontId="5" fillId="4" borderId="45" xfId="0" applyFont="1" applyFill="1" applyBorder="1"/>
    <xf numFmtId="0" fontId="0" fillId="0" borderId="46" xfId="0" applyBorder="1"/>
    <xf numFmtId="0" fontId="0" fillId="0" borderId="47" xfId="0" applyBorder="1"/>
    <xf numFmtId="0" fontId="5" fillId="0" borderId="48" xfId="0" applyFont="1" applyBorder="1"/>
    <xf numFmtId="0" fontId="2" fillId="0" borderId="49" xfId="0" applyFont="1" applyBorder="1" applyAlignment="1">
      <alignment horizontal="center"/>
    </xf>
    <xf numFmtId="0" fontId="5" fillId="0" borderId="50" xfId="0" applyFont="1" applyBorder="1"/>
    <xf numFmtId="0" fontId="6" fillId="0" borderId="51" xfId="0" applyFont="1" applyBorder="1"/>
    <xf numFmtId="0" fontId="2" fillId="0" borderId="52" xfId="0" applyFont="1" applyBorder="1" applyAlignment="1">
      <alignment horizontal="center"/>
    </xf>
    <xf numFmtId="2" fontId="35" fillId="0" borderId="0" xfId="0" applyNumberFormat="1" applyFont="1" applyAlignment="1">
      <alignment horizontal="center"/>
    </xf>
    <xf numFmtId="0" fontId="1" fillId="0" borderId="0" xfId="0" applyFont="1" applyAlignment="1">
      <alignment horizontal="center"/>
    </xf>
    <xf numFmtId="0" fontId="37" fillId="0" borderId="0" xfId="0" applyFont="1" applyFill="1" applyBorder="1" applyAlignment="1">
      <alignment horizontal="center" vertical="center" wrapText="1"/>
    </xf>
    <xf numFmtId="0" fontId="15" fillId="0" borderId="0" xfId="0" quotePrefix="1" applyFont="1" applyAlignment="1">
      <alignment horizontal="left"/>
    </xf>
    <xf numFmtId="0" fontId="7" fillId="0" borderId="0" xfId="0" quotePrefix="1" applyFont="1" applyFill="1" applyBorder="1" applyAlignment="1">
      <alignment horizontal="left"/>
    </xf>
    <xf numFmtId="0" fontId="11" fillId="0" borderId="12" xfId="0" applyFont="1" applyBorder="1"/>
    <xf numFmtId="0" fontId="11" fillId="0" borderId="7" xfId="0" applyFont="1" applyBorder="1"/>
    <xf numFmtId="0" fontId="11" fillId="0" borderId="9" xfId="0" applyFont="1" applyBorder="1"/>
    <xf numFmtId="164" fontId="0" fillId="0" borderId="5" xfId="0" applyNumberFormat="1" applyBorder="1"/>
    <xf numFmtId="164" fontId="0" fillId="0" borderId="0" xfId="0" applyNumberFormat="1" applyBorder="1"/>
    <xf numFmtId="0" fontId="5" fillId="0" borderId="7" xfId="0" quotePrefix="1" applyFont="1" applyBorder="1" applyAlignment="1">
      <alignment horizontal="left"/>
    </xf>
    <xf numFmtId="0" fontId="5" fillId="0" borderId="0" xfId="0" quotePrefix="1" applyFont="1" applyBorder="1" applyAlignment="1">
      <alignment horizontal="left"/>
    </xf>
    <xf numFmtId="0" fontId="5" fillId="0" borderId="0" xfId="0" applyFont="1" applyBorder="1"/>
    <xf numFmtId="0" fontId="24" fillId="0" borderId="0" xfId="0" quotePrefix="1" applyFont="1" applyBorder="1" applyAlignment="1">
      <alignment horizontal="left"/>
    </xf>
    <xf numFmtId="0" fontId="0" fillId="0" borderId="0" xfId="0" applyBorder="1" applyAlignment="1">
      <alignment horizontal="right"/>
    </xf>
    <xf numFmtId="0" fontId="24" fillId="0" borderId="0" xfId="0" applyFont="1" applyBorder="1"/>
    <xf numFmtId="0" fontId="32" fillId="0" borderId="0" xfId="0" applyFont="1" applyBorder="1"/>
    <xf numFmtId="0" fontId="2" fillId="0" borderId="0" xfId="0" quotePrefix="1" applyFont="1" applyBorder="1" applyAlignment="1">
      <alignment horizontal="left"/>
    </xf>
    <xf numFmtId="0" fontId="33" fillId="0" borderId="0" xfId="0" quotePrefix="1" applyFont="1" applyFill="1" applyBorder="1" applyAlignment="1">
      <alignment horizontal="left"/>
    </xf>
    <xf numFmtId="0" fontId="28" fillId="0" borderId="0" xfId="0" applyFont="1"/>
    <xf numFmtId="0" fontId="7" fillId="12" borderId="36" xfId="0" applyFont="1" applyFill="1" applyBorder="1" applyAlignment="1">
      <alignment horizontal="center" vertical="center" wrapText="1"/>
    </xf>
    <xf numFmtId="0" fontId="7" fillId="12" borderId="37" xfId="0" applyFont="1" applyFill="1" applyBorder="1" applyAlignment="1">
      <alignment horizontal="center" vertical="center" wrapText="1"/>
    </xf>
    <xf numFmtId="0" fontId="7" fillId="12" borderId="38" xfId="0" applyFont="1" applyFill="1" applyBorder="1" applyAlignment="1">
      <alignment horizontal="center" vertical="center" wrapText="1"/>
    </xf>
    <xf numFmtId="2" fontId="36" fillId="0" borderId="0" xfId="0" applyNumberFormat="1" applyFont="1" applyAlignment="1">
      <alignment horizontal="center"/>
    </xf>
    <xf numFmtId="166" fontId="15" fillId="0" borderId="0" xfId="0" applyNumberFormat="1" applyFont="1" applyAlignment="1">
      <alignment horizontal="center"/>
    </xf>
    <xf numFmtId="166" fontId="15" fillId="3" borderId="0" xfId="0" applyNumberFormat="1" applyFont="1" applyFill="1" applyAlignment="1">
      <alignment horizontal="center"/>
    </xf>
    <xf numFmtId="166" fontId="15" fillId="6" borderId="0" xfId="0" applyNumberFormat="1" applyFont="1" applyFill="1" applyAlignment="1">
      <alignment horizontal="center"/>
    </xf>
    <xf numFmtId="0" fontId="28" fillId="12" borderId="33" xfId="0" applyFont="1" applyFill="1" applyBorder="1" applyAlignment="1">
      <alignment horizontal="center" vertical="center" wrapText="1"/>
    </xf>
    <xf numFmtId="0" fontId="28" fillId="12" borderId="24" xfId="0" applyFont="1" applyFill="1" applyBorder="1" applyAlignment="1">
      <alignment horizontal="center" vertical="center" wrapText="1"/>
    </xf>
    <xf numFmtId="0" fontId="28" fillId="12" borderId="22" xfId="0" quotePrefix="1" applyFont="1" applyFill="1" applyBorder="1" applyAlignment="1">
      <alignment horizontal="center" vertical="center" wrapText="1"/>
    </xf>
    <xf numFmtId="166" fontId="19" fillId="13" borderId="28" xfId="0" applyNumberFormat="1" applyFont="1" applyFill="1" applyBorder="1" applyAlignment="1">
      <alignment horizontal="center" vertical="center" wrapText="1"/>
    </xf>
    <xf numFmtId="166" fontId="19" fillId="8" borderId="28" xfId="0" applyNumberFormat="1" applyFont="1" applyFill="1" applyBorder="1" applyAlignment="1">
      <alignment horizontal="center" vertical="center" wrapText="1"/>
    </xf>
    <xf numFmtId="166" fontId="19" fillId="0" borderId="28" xfId="0" applyNumberFormat="1" applyFont="1" applyBorder="1" applyAlignment="1">
      <alignment horizontal="center" vertical="center" wrapText="1"/>
    </xf>
    <xf numFmtId="166" fontId="19" fillId="8" borderId="42" xfId="0" applyNumberFormat="1" applyFont="1" applyFill="1" applyBorder="1" applyAlignment="1">
      <alignment horizontal="center" vertical="center" wrapText="1"/>
    </xf>
    <xf numFmtId="164" fontId="0" fillId="0" borderId="0" xfId="0" quotePrefix="1" applyNumberFormat="1" applyBorder="1" applyAlignment="1">
      <alignment horizontal="right"/>
    </xf>
    <xf numFmtId="0" fontId="0" fillId="0" borderId="8" xfId="0" applyBorder="1" applyAlignment="1">
      <alignment horizontal="left"/>
    </xf>
    <xf numFmtId="0" fontId="0" fillId="0" borderId="7" xfId="0" quotePrefix="1" applyBorder="1" applyAlignment="1">
      <alignment horizontal="right"/>
    </xf>
    <xf numFmtId="0" fontId="34" fillId="4" borderId="4" xfId="0" quotePrefix="1" applyFont="1" applyFill="1" applyBorder="1" applyAlignment="1">
      <alignment horizontal="center"/>
    </xf>
    <xf numFmtId="0" fontId="34" fillId="4" borderId="4" xfId="0" applyFont="1" applyFill="1" applyBorder="1" applyAlignment="1">
      <alignment horizontal="center"/>
    </xf>
    <xf numFmtId="0" fontId="5" fillId="4" borderId="3" xfId="0" applyFont="1" applyFill="1" applyBorder="1" applyAlignment="1">
      <alignment horizontal="center"/>
    </xf>
    <xf numFmtId="0" fontId="16" fillId="4" borderId="1" xfId="0" quotePrefix="1" applyFont="1" applyFill="1" applyBorder="1" applyAlignment="1">
      <alignment horizontal="center"/>
    </xf>
    <xf numFmtId="0" fontId="16" fillId="4" borderId="2" xfId="0" quotePrefix="1" applyFont="1" applyFill="1" applyBorder="1" applyAlignment="1">
      <alignment horizontal="left"/>
    </xf>
    <xf numFmtId="0" fontId="38" fillId="0" borderId="0" xfId="0" quotePrefix="1" applyFont="1" applyFill="1" applyBorder="1" applyAlignment="1">
      <alignment horizontal="left"/>
    </xf>
    <xf numFmtId="0" fontId="38" fillId="0" borderId="0" xfId="0" applyFont="1"/>
    <xf numFmtId="0" fontId="38" fillId="0" borderId="0" xfId="0" quotePrefix="1" applyFont="1" applyAlignment="1">
      <alignment horizontal="center"/>
    </xf>
    <xf numFmtId="0" fontId="11" fillId="12" borderId="33" xfId="0" quotePrefix="1" applyFont="1" applyFill="1" applyBorder="1" applyAlignment="1">
      <alignment horizontal="center" vertical="center" wrapText="1"/>
    </xf>
    <xf numFmtId="0" fontId="2" fillId="13" borderId="53" xfId="0" applyFont="1" applyFill="1" applyBorder="1" applyAlignment="1">
      <alignment horizontal="center" vertical="center" wrapText="1"/>
    </xf>
    <xf numFmtId="0" fontId="25" fillId="12" borderId="0" xfId="0" quotePrefix="1" applyFont="1" applyFill="1" applyBorder="1" applyAlignment="1">
      <alignment horizontal="center" vertical="center" wrapText="1"/>
    </xf>
    <xf numFmtId="0" fontId="39" fillId="12" borderId="34" xfId="0" quotePrefix="1" applyFont="1" applyFill="1" applyBorder="1" applyAlignment="1">
      <alignment horizontal="center" vertical="center" wrapText="1"/>
    </xf>
    <xf numFmtId="0" fontId="22" fillId="12" borderId="33" xfId="0" applyFont="1" applyFill="1" applyBorder="1" applyAlignment="1">
      <alignment horizontal="center" vertical="center" wrapText="1"/>
    </xf>
    <xf numFmtId="0" fontId="25" fillId="12" borderId="38" xfId="0" quotePrefix="1" applyFont="1" applyFill="1" applyBorder="1" applyAlignment="1">
      <alignment horizontal="center" vertical="center" wrapText="1"/>
    </xf>
    <xf numFmtId="0" fontId="27" fillId="0" borderId="0" xfId="0" applyFont="1"/>
    <xf numFmtId="0" fontId="11" fillId="13" borderId="53"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0" borderId="22" xfId="0" applyFont="1" applyBorder="1" applyAlignment="1">
      <alignment horizontal="center" vertical="center" wrapText="1"/>
    </xf>
    <xf numFmtId="0" fontId="40" fillId="0" borderId="0" xfId="0" applyFont="1"/>
    <xf numFmtId="0" fontId="5" fillId="3" borderId="0" xfId="0" applyFont="1" applyFill="1" applyBorder="1"/>
    <xf numFmtId="164" fontId="0" fillId="0" borderId="0" xfId="0" quotePrefix="1" applyNumberFormat="1" applyFill="1" applyBorder="1" applyAlignment="1">
      <alignment horizontal="center" vertical="center" wrapText="1"/>
    </xf>
    <xf numFmtId="0" fontId="38" fillId="0" borderId="0" xfId="0" applyFont="1" applyFill="1" applyBorder="1"/>
    <xf numFmtId="1" fontId="13" fillId="0" borderId="0" xfId="0" applyNumberFormat="1" applyFont="1" applyFill="1" applyBorder="1" applyAlignment="1">
      <alignment horizontal="center" vertical="center" wrapText="1"/>
    </xf>
    <xf numFmtId="164" fontId="13" fillId="0" borderId="0" xfId="0"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165" fontId="0" fillId="0" borderId="0" xfId="0" applyNumberFormat="1" applyFill="1" applyBorder="1" applyAlignment="1">
      <alignment horizontal="center"/>
    </xf>
    <xf numFmtId="167" fontId="29" fillId="0" borderId="0" xfId="0" applyNumberFormat="1" applyFont="1" applyFill="1" applyBorder="1" applyAlignment="1">
      <alignment horizontal="center" vertical="center" wrapText="1"/>
    </xf>
    <xf numFmtId="164" fontId="13" fillId="3" borderId="54" xfId="0" applyNumberFormat="1" applyFont="1" applyFill="1" applyBorder="1" applyAlignment="1">
      <alignment horizontal="center" vertical="center" wrapText="1"/>
    </xf>
    <xf numFmtId="0" fontId="24" fillId="0" borderId="0" xfId="0" applyFont="1" applyFill="1" applyBorder="1" applyAlignment="1">
      <alignment horizontal="left"/>
    </xf>
    <xf numFmtId="164" fontId="16" fillId="0" borderId="0" xfId="0" applyNumberFormat="1" applyFont="1" applyBorder="1"/>
    <xf numFmtId="0" fontId="20" fillId="0" borderId="0" xfId="0" quotePrefix="1" applyFont="1" applyAlignment="1">
      <alignment horizontal="left"/>
    </xf>
    <xf numFmtId="0" fontId="11" fillId="0" borderId="0" xfId="0" applyFont="1"/>
    <xf numFmtId="0" fontId="24" fillId="0" borderId="0" xfId="0" quotePrefix="1" applyFont="1" applyAlignment="1">
      <alignment horizontal="left"/>
    </xf>
    <xf numFmtId="164" fontId="0" fillId="0" borderId="0" xfId="0" quotePrefix="1" applyNumberFormat="1" applyBorder="1" applyAlignment="1">
      <alignment horizontal="left"/>
    </xf>
    <xf numFmtId="0" fontId="0" fillId="0" borderId="0" xfId="0" applyFill="1" applyBorder="1" applyAlignment="1">
      <alignment horizontal="right"/>
    </xf>
    <xf numFmtId="0" fontId="7" fillId="0" borderId="12" xfId="0" quotePrefix="1" applyFont="1" applyFill="1" applyBorder="1" applyAlignment="1">
      <alignment horizontal="left"/>
    </xf>
    <xf numFmtId="0" fontId="0" fillId="0" borderId="5" xfId="0" applyFill="1" applyBorder="1"/>
    <xf numFmtId="0" fontId="24" fillId="0" borderId="7" xfId="0" quotePrefix="1" applyFont="1" applyFill="1" applyBorder="1" applyAlignment="1">
      <alignment horizontal="left"/>
    </xf>
    <xf numFmtId="0" fontId="0" fillId="0" borderId="8" xfId="0" applyFill="1" applyBorder="1"/>
    <xf numFmtId="0" fontId="7" fillId="0" borderId="9" xfId="0" quotePrefix="1" applyFont="1" applyFill="1" applyBorder="1" applyAlignment="1">
      <alignment horizontal="left"/>
    </xf>
    <xf numFmtId="0" fontId="0" fillId="0" borderId="6" xfId="0" applyFill="1" applyBorder="1"/>
    <xf numFmtId="0" fontId="7" fillId="9" borderId="30" xfId="0" applyFont="1" applyFill="1" applyBorder="1" applyAlignment="1">
      <alignment horizontal="center"/>
    </xf>
    <xf numFmtId="0" fontId="11" fillId="0" borderId="0" xfId="0" quotePrefix="1" applyFont="1" applyAlignment="1">
      <alignment horizontal="left"/>
    </xf>
    <xf numFmtId="0" fontId="0" fillId="9" borderId="30" xfId="0" applyFont="1" applyFill="1" applyBorder="1" applyAlignment="1">
      <alignment horizontal="center"/>
    </xf>
    <xf numFmtId="0" fontId="19" fillId="0" borderId="0" xfId="0" quotePrefix="1" applyFont="1" applyAlignment="1">
      <alignment horizontal="left"/>
    </xf>
    <xf numFmtId="0" fontId="27" fillId="0" borderId="0" xfId="0" quotePrefix="1" applyFont="1" applyAlignment="1">
      <alignment horizontal="left"/>
    </xf>
    <xf numFmtId="0" fontId="20" fillId="3" borderId="0" xfId="0" applyFont="1" applyFill="1" applyBorder="1"/>
    <xf numFmtId="0" fontId="41" fillId="0" borderId="0" xfId="0" quotePrefix="1" applyFont="1" applyAlignment="1">
      <alignment horizontal="left"/>
    </xf>
    <xf numFmtId="0" fontId="42" fillId="0" borderId="0" xfId="0" applyFont="1"/>
    <xf numFmtId="0" fontId="42" fillId="0" borderId="0" xfId="0" quotePrefix="1" applyFont="1" applyAlignment="1">
      <alignment horizontal="left"/>
    </xf>
    <xf numFmtId="0" fontId="0" fillId="9" borderId="55" xfId="0" quotePrefix="1" applyFill="1" applyBorder="1" applyAlignment="1">
      <alignment horizontal="center"/>
    </xf>
    <xf numFmtId="0" fontId="0" fillId="9" borderId="55" xfId="0" applyFill="1" applyBorder="1" applyAlignment="1">
      <alignment horizontal="center"/>
    </xf>
    <xf numFmtId="0" fontId="0" fillId="0" borderId="55" xfId="0" applyBorder="1" applyAlignment="1">
      <alignment horizontal="center"/>
    </xf>
    <xf numFmtId="0" fontId="0" fillId="0" borderId="55" xfId="0" quotePrefix="1" applyBorder="1" applyAlignment="1">
      <alignment horizontal="center"/>
    </xf>
    <xf numFmtId="0" fontId="0" fillId="0" borderId="55" xfId="0" applyBorder="1"/>
    <xf numFmtId="0" fontId="11" fillId="0" borderId="55" xfId="0" applyFont="1" applyBorder="1" applyAlignment="1">
      <alignment horizontal="center"/>
    </xf>
    <xf numFmtId="0" fontId="11" fillId="0" borderId="55" xfId="0" quotePrefix="1" applyFont="1" applyBorder="1" applyAlignment="1">
      <alignment horizontal="center"/>
    </xf>
    <xf numFmtId="0" fontId="43" fillId="0" borderId="0" xfId="0" quotePrefix="1" applyFont="1" applyFill="1" applyBorder="1" applyAlignment="1">
      <alignment horizontal="left"/>
    </xf>
    <xf numFmtId="0" fontId="44" fillId="0" borderId="0" xfId="0" quotePrefix="1" applyFont="1" applyFill="1" applyBorder="1" applyAlignment="1">
      <alignment horizontal="left"/>
    </xf>
    <xf numFmtId="0" fontId="45" fillId="12" borderId="33" xfId="0" quotePrefix="1" applyFont="1" applyFill="1" applyBorder="1" applyAlignment="1">
      <alignment horizontal="center" vertical="center" wrapText="1"/>
    </xf>
    <xf numFmtId="0" fontId="0" fillId="0" borderId="56" xfId="0" applyBorder="1"/>
    <xf numFmtId="0" fontId="0" fillId="0" borderId="56" xfId="0" applyBorder="1" applyAlignment="1">
      <alignment horizontal="center"/>
    </xf>
    <xf numFmtId="0" fontId="0" fillId="0" borderId="57" xfId="0" quotePrefix="1" applyBorder="1" applyAlignment="1">
      <alignment horizontal="left"/>
    </xf>
    <xf numFmtId="0" fontId="0" fillId="0" borderId="57" xfId="0" applyBorder="1"/>
    <xf numFmtId="0" fontId="0" fillId="0" borderId="57" xfId="0" quotePrefix="1" applyBorder="1" applyAlignment="1">
      <alignment horizontal="center"/>
    </xf>
    <xf numFmtId="0" fontId="0" fillId="0" borderId="58" xfId="0" applyBorder="1"/>
    <xf numFmtId="2" fontId="0" fillId="12" borderId="33" xfId="0" applyNumberFormat="1" applyFill="1" applyBorder="1" applyAlignment="1">
      <alignment horizontal="center" vertical="center" wrapText="1"/>
    </xf>
    <xf numFmtId="0" fontId="25" fillId="12" borderId="34" xfId="0" applyFont="1" applyFill="1" applyBorder="1" applyAlignment="1">
      <alignment horizontal="center" vertical="center" wrapText="1"/>
    </xf>
    <xf numFmtId="0" fontId="11" fillId="12" borderId="59" xfId="0" applyFont="1" applyFill="1" applyBorder="1" applyAlignment="1">
      <alignment horizontal="center" vertical="center" wrapText="1"/>
    </xf>
    <xf numFmtId="0" fontId="11" fillId="12" borderId="60" xfId="0" quotePrefix="1" applyFont="1" applyFill="1" applyBorder="1" applyAlignment="1">
      <alignment horizontal="center" vertical="center" wrapText="1"/>
    </xf>
    <xf numFmtId="0" fontId="11" fillId="12" borderId="61" xfId="0" applyFont="1" applyFill="1" applyBorder="1" applyAlignment="1">
      <alignment horizontal="center" vertical="center" wrapText="1"/>
    </xf>
    <xf numFmtId="0" fontId="11" fillId="12" borderId="62" xfId="0" quotePrefix="1" applyFont="1" applyFill="1" applyBorder="1" applyAlignment="1">
      <alignment horizontal="center" vertical="center" wrapText="1"/>
    </xf>
    <xf numFmtId="0" fontId="25" fillId="12" borderId="61" xfId="0" applyFont="1" applyFill="1" applyBorder="1" applyAlignment="1">
      <alignment horizontal="center" vertical="center" wrapText="1"/>
    </xf>
    <xf numFmtId="0" fontId="25" fillId="12" borderId="62" xfId="0" applyFont="1" applyFill="1" applyBorder="1" applyAlignment="1">
      <alignment horizontal="center" vertical="center" wrapText="1"/>
    </xf>
    <xf numFmtId="164" fontId="11" fillId="3" borderId="63" xfId="0" applyNumberFormat="1" applyFont="1" applyFill="1" applyBorder="1" applyAlignment="1">
      <alignment horizontal="center"/>
    </xf>
    <xf numFmtId="164" fontId="11" fillId="3" borderId="64" xfId="0" applyNumberFormat="1" applyFont="1" applyFill="1" applyBorder="1" applyAlignment="1">
      <alignment horizontal="center"/>
    </xf>
    <xf numFmtId="164" fontId="11" fillId="6" borderId="63" xfId="0" applyNumberFormat="1" applyFont="1" applyFill="1" applyBorder="1" applyAlignment="1">
      <alignment horizontal="center"/>
    </xf>
    <xf numFmtId="164" fontId="11" fillId="6" borderId="64" xfId="0" applyNumberFormat="1" applyFont="1" applyFill="1" applyBorder="1" applyAlignment="1">
      <alignment horizontal="center"/>
    </xf>
    <xf numFmtId="164" fontId="11" fillId="0" borderId="63" xfId="0" applyNumberFormat="1" applyFont="1" applyBorder="1" applyAlignment="1">
      <alignment horizontal="center"/>
    </xf>
    <xf numFmtId="164" fontId="11" fillId="0" borderId="64" xfId="0" applyNumberFormat="1" applyFont="1" applyBorder="1" applyAlignment="1">
      <alignment horizontal="center"/>
    </xf>
    <xf numFmtId="164" fontId="11" fillId="6" borderId="65" xfId="0" applyNumberFormat="1" applyFont="1" applyFill="1" applyBorder="1" applyAlignment="1">
      <alignment horizontal="center"/>
    </xf>
    <xf numFmtId="164" fontId="11" fillId="6" borderId="66" xfId="0" applyNumberFormat="1" applyFont="1" applyFill="1" applyBorder="1" applyAlignment="1">
      <alignment horizontal="center"/>
    </xf>
    <xf numFmtId="0" fontId="11" fillId="12" borderId="67" xfId="0" applyFont="1" applyFill="1" applyBorder="1" applyAlignment="1">
      <alignment horizontal="center" vertical="center" wrapText="1"/>
    </xf>
    <xf numFmtId="0" fontId="11" fillId="12" borderId="68" xfId="0" quotePrefix="1" applyFont="1" applyFill="1" applyBorder="1" applyAlignment="1">
      <alignment horizontal="center" vertical="center" wrapText="1"/>
    </xf>
    <xf numFmtId="0" fontId="11" fillId="3" borderId="69" xfId="0" applyFont="1" applyFill="1" applyBorder="1" applyAlignment="1">
      <alignment horizontal="center"/>
    </xf>
    <xf numFmtId="0" fontId="11" fillId="6" borderId="69" xfId="0" applyFont="1" applyFill="1" applyBorder="1" applyAlignment="1">
      <alignment horizontal="center"/>
    </xf>
    <xf numFmtId="0" fontId="11" fillId="0" borderId="69" xfId="0" applyFont="1" applyBorder="1" applyAlignment="1">
      <alignment horizontal="center"/>
    </xf>
    <xf numFmtId="0" fontId="11" fillId="6" borderId="70" xfId="0" applyFont="1" applyFill="1" applyBorder="1" applyAlignment="1">
      <alignment horizontal="center"/>
    </xf>
    <xf numFmtId="0" fontId="5" fillId="9" borderId="19" xfId="0" applyFont="1" applyFill="1" applyBorder="1" applyAlignment="1">
      <alignment horizontal="center"/>
    </xf>
    <xf numFmtId="166" fontId="0" fillId="0" borderId="19" xfId="0" applyNumberFormat="1" applyBorder="1" applyAlignment="1">
      <alignment horizontal="center"/>
    </xf>
    <xf numFmtId="166" fontId="0" fillId="0" borderId="20" xfId="0" applyNumberFormat="1" applyBorder="1" applyAlignment="1">
      <alignment horizontal="center"/>
    </xf>
    <xf numFmtId="0" fontId="20" fillId="12" borderId="43" xfId="0" applyFont="1" applyFill="1" applyBorder="1" applyAlignment="1">
      <alignment horizontal="center" vertical="center" wrapText="1"/>
    </xf>
    <xf numFmtId="0" fontId="20" fillId="12" borderId="28" xfId="0" applyFont="1" applyFill="1" applyBorder="1" applyAlignment="1">
      <alignment horizontal="center" vertical="center" wrapText="1"/>
    </xf>
    <xf numFmtId="164" fontId="0" fillId="0" borderId="19" xfId="0" applyNumberFormat="1" applyBorder="1" applyAlignment="1">
      <alignment horizontal="center"/>
    </xf>
    <xf numFmtId="164" fontId="0" fillId="0" borderId="20" xfId="0" applyNumberFormat="1" applyBorder="1" applyAlignment="1">
      <alignment horizontal="center"/>
    </xf>
    <xf numFmtId="0" fontId="0" fillId="9" borderId="19" xfId="0" applyFont="1" applyFill="1" applyBorder="1" applyAlignment="1">
      <alignment horizontal="center"/>
    </xf>
    <xf numFmtId="0" fontId="0" fillId="9" borderId="18" xfId="0" applyFill="1" applyBorder="1" applyAlignment="1">
      <alignment horizontal="center"/>
    </xf>
    <xf numFmtId="0" fontId="0" fillId="9" borderId="19" xfId="0" applyFill="1" applyBorder="1" applyAlignment="1">
      <alignment horizontal="center"/>
    </xf>
    <xf numFmtId="2" fontId="2" fillId="0" borderId="19" xfId="0" applyNumberFormat="1" applyFont="1" applyBorder="1" applyAlignment="1">
      <alignment horizontal="center"/>
    </xf>
    <xf numFmtId="2" fontId="2" fillId="0" borderId="20" xfId="0" applyNumberFormat="1" applyFont="1" applyBorder="1" applyAlignment="1">
      <alignment horizontal="center"/>
    </xf>
    <xf numFmtId="0" fontId="0" fillId="9" borderId="18" xfId="0" applyFont="1" applyFill="1" applyBorder="1" applyAlignment="1">
      <alignment horizontal="center"/>
    </xf>
    <xf numFmtId="0" fontId="0" fillId="12" borderId="33" xfId="0" quotePrefix="1" applyFill="1" applyBorder="1" applyAlignment="1">
      <alignment horizontal="center" vertical="center" wrapText="1"/>
    </xf>
    <xf numFmtId="0" fontId="0" fillId="12" borderId="72" xfId="0" applyFill="1" applyBorder="1" applyAlignment="1">
      <alignment horizontal="center" vertical="center" wrapText="1"/>
    </xf>
    <xf numFmtId="0" fontId="0" fillId="12" borderId="73" xfId="0" quotePrefix="1" applyFill="1" applyBorder="1" applyAlignment="1">
      <alignment horizontal="center" vertical="center" wrapText="1"/>
    </xf>
    <xf numFmtId="0" fontId="0" fillId="12" borderId="62" xfId="0" quotePrefix="1" applyFill="1" applyBorder="1" applyAlignment="1">
      <alignment horizontal="center" vertical="center" wrapText="1"/>
    </xf>
    <xf numFmtId="0" fontId="45" fillId="12" borderId="73" xfId="0" quotePrefix="1" applyFont="1" applyFill="1" applyBorder="1" applyAlignment="1">
      <alignment horizontal="center" vertical="center" wrapText="1"/>
    </xf>
    <xf numFmtId="0" fontId="25" fillId="12" borderId="62" xfId="0" quotePrefix="1" applyFont="1" applyFill="1" applyBorder="1" applyAlignment="1">
      <alignment horizontal="center" vertical="center" wrapText="1"/>
    </xf>
    <xf numFmtId="164" fontId="11" fillId="13" borderId="73" xfId="0" applyNumberFormat="1" applyFont="1" applyFill="1" applyBorder="1" applyAlignment="1">
      <alignment horizontal="center" vertical="center" wrapText="1"/>
    </xf>
    <xf numFmtId="164" fontId="11" fillId="13" borderId="62" xfId="0" applyNumberFormat="1" applyFont="1" applyFill="1" applyBorder="1" applyAlignment="1">
      <alignment horizontal="center" vertical="center" wrapText="1"/>
    </xf>
    <xf numFmtId="164" fontId="11" fillId="8" borderId="73" xfId="0" applyNumberFormat="1" applyFont="1" applyFill="1" applyBorder="1" applyAlignment="1">
      <alignment horizontal="center" vertical="center" wrapText="1"/>
    </xf>
    <xf numFmtId="164" fontId="11" fillId="8" borderId="62" xfId="0" applyNumberFormat="1" applyFont="1" applyFill="1" applyBorder="1" applyAlignment="1">
      <alignment horizontal="center" vertical="center" wrapText="1"/>
    </xf>
    <xf numFmtId="164" fontId="11" fillId="0" borderId="73" xfId="0" applyNumberFormat="1" applyFont="1" applyBorder="1" applyAlignment="1">
      <alignment horizontal="center" vertical="center" wrapText="1"/>
    </xf>
    <xf numFmtId="164" fontId="11" fillId="0" borderId="62" xfId="0" applyNumberFormat="1" applyFont="1" applyBorder="1" applyAlignment="1">
      <alignment horizontal="center" vertical="center" wrapText="1"/>
    </xf>
    <xf numFmtId="164" fontId="11" fillId="8" borderId="74" xfId="0" applyNumberFormat="1" applyFont="1" applyFill="1" applyBorder="1" applyAlignment="1">
      <alignment horizontal="center" vertical="center" wrapText="1"/>
    </xf>
    <xf numFmtId="164" fontId="11" fillId="8" borderId="75" xfId="0" applyNumberFormat="1" applyFont="1" applyFill="1" applyBorder="1" applyAlignment="1">
      <alignment horizontal="center" vertical="center" wrapText="1"/>
    </xf>
    <xf numFmtId="0" fontId="0" fillId="12" borderId="71" xfId="0" quotePrefix="1" applyFill="1" applyBorder="1" applyAlignment="1">
      <alignment horizontal="center" vertical="center" wrapText="1"/>
    </xf>
    <xf numFmtId="165" fontId="0" fillId="0" borderId="19" xfId="0" applyNumberFormat="1" applyBorder="1" applyAlignment="1">
      <alignment horizontal="center"/>
    </xf>
    <xf numFmtId="165" fontId="0" fillId="0" borderId="20" xfId="0" applyNumberFormat="1" applyBorder="1" applyAlignment="1">
      <alignment horizontal="center"/>
    </xf>
    <xf numFmtId="0" fontId="0" fillId="12" borderId="43" xfId="0" applyFill="1" applyBorder="1" applyAlignment="1">
      <alignment horizontal="center" vertical="center" wrapText="1"/>
    </xf>
    <xf numFmtId="0" fontId="7" fillId="12" borderId="28" xfId="0" applyFont="1" applyFill="1" applyBorder="1" applyAlignment="1">
      <alignment horizontal="center" vertical="center" wrapText="1"/>
    </xf>
    <xf numFmtId="0" fontId="46" fillId="12" borderId="28" xfId="0" applyFont="1" applyFill="1" applyBorder="1" applyAlignment="1">
      <alignment horizontal="center" vertical="center" wrapText="1"/>
    </xf>
    <xf numFmtId="0" fontId="46" fillId="12" borderId="40" xfId="0" quotePrefix="1" applyFont="1" applyFill="1" applyBorder="1" applyAlignment="1">
      <alignment horizontal="center" vertical="center" wrapText="1"/>
    </xf>
    <xf numFmtId="0" fontId="46" fillId="12" borderId="33" xfId="0" applyFont="1" applyFill="1" applyBorder="1" applyAlignment="1">
      <alignment horizontal="center" vertical="center" wrapText="1"/>
    </xf>
    <xf numFmtId="168" fontId="19" fillId="0" borderId="0" xfId="0" applyNumberFormat="1" applyFont="1" applyFill="1" applyAlignment="1">
      <alignment horizontal="center"/>
    </xf>
    <xf numFmtId="168" fontId="15" fillId="0" borderId="0" xfId="0" applyNumberFormat="1" applyFont="1" applyFill="1" applyAlignment="1">
      <alignment horizontal="center"/>
    </xf>
    <xf numFmtId="164" fontId="48" fillId="3" borderId="0" xfId="0" applyNumberFormat="1" applyFont="1" applyFill="1" applyAlignment="1">
      <alignment horizontal="center"/>
    </xf>
    <xf numFmtId="164" fontId="48" fillId="6" borderId="0" xfId="0" applyNumberFormat="1" applyFont="1" applyFill="1" applyAlignment="1">
      <alignment horizontal="center"/>
    </xf>
    <xf numFmtId="164" fontId="48" fillId="0" borderId="0" xfId="0" applyNumberFormat="1" applyFont="1" applyAlignment="1">
      <alignment horizontal="center"/>
    </xf>
    <xf numFmtId="0" fontId="47" fillId="12" borderId="34" xfId="0" applyFont="1" applyFill="1" applyBorder="1" applyAlignment="1">
      <alignment horizontal="center" vertical="center" wrapText="1"/>
    </xf>
    <xf numFmtId="0" fontId="47" fillId="12" borderId="34" xfId="0" quotePrefix="1" applyFont="1" applyFill="1" applyBorder="1" applyAlignment="1">
      <alignment horizontal="center" vertical="center" wrapText="1"/>
    </xf>
    <xf numFmtId="0" fontId="0" fillId="0" borderId="4" xfId="0" quotePrefix="1" applyBorder="1" applyAlignment="1">
      <alignment horizontal="left"/>
    </xf>
    <xf numFmtId="0" fontId="7" fillId="2" borderId="5" xfId="0" applyFont="1" applyFill="1" applyBorder="1" applyAlignment="1">
      <alignment horizontal="left"/>
    </xf>
    <xf numFmtId="9" fontId="0" fillId="0" borderId="0" xfId="0" applyNumberFormat="1"/>
    <xf numFmtId="164" fontId="0" fillId="0" borderId="2" xfId="0" applyNumberFormat="1" applyBorder="1" applyAlignment="1">
      <alignment horizontal="center"/>
    </xf>
    <xf numFmtId="0" fontId="0" fillId="14" borderId="11" xfId="0" applyFill="1" applyBorder="1" applyAlignment="1">
      <alignment horizontal="center"/>
    </xf>
    <xf numFmtId="164" fontId="0" fillId="14" borderId="0" xfId="0" applyNumberFormat="1" applyFill="1" applyBorder="1" applyAlignment="1">
      <alignment horizontal="center"/>
    </xf>
    <xf numFmtId="1" fontId="0" fillId="14" borderId="0" xfId="0" applyNumberFormat="1" applyFill="1" applyBorder="1" applyAlignment="1">
      <alignment horizontal="center"/>
    </xf>
    <xf numFmtId="0" fontId="0" fillId="2" borderId="11" xfId="0" applyFill="1" applyBorder="1" applyAlignment="1">
      <alignment horizontal="center"/>
    </xf>
    <xf numFmtId="0" fontId="0" fillId="14" borderId="7" xfId="0" applyFill="1" applyBorder="1" applyAlignment="1">
      <alignment horizontal="center"/>
    </xf>
    <xf numFmtId="0" fontId="0" fillId="2" borderId="7" xfId="0" applyFont="1" applyFill="1" applyBorder="1" applyAlignment="1">
      <alignment horizontal="center"/>
    </xf>
    <xf numFmtId="1" fontId="0" fillId="2" borderId="0" xfId="0" applyNumberFormat="1" applyFont="1" applyFill="1" applyBorder="1" applyAlignment="1">
      <alignment horizontal="center"/>
    </xf>
    <xf numFmtId="164" fontId="0" fillId="2" borderId="10" xfId="0" applyNumberFormat="1" applyFill="1" applyBorder="1" applyAlignment="1">
      <alignment horizontal="center"/>
    </xf>
    <xf numFmtId="0" fontId="0" fillId="2" borderId="9" xfId="0" applyFont="1" applyFill="1" applyBorder="1" applyAlignment="1">
      <alignment horizontal="center"/>
    </xf>
    <xf numFmtId="1" fontId="0" fillId="2" borderId="10" xfId="0" applyNumberFormat="1" applyFont="1" applyFill="1" applyBorder="1" applyAlignment="1">
      <alignment horizontal="center"/>
    </xf>
    <xf numFmtId="164" fontId="11" fillId="0" borderId="0" xfId="0" applyNumberFormat="1" applyFont="1" applyFill="1" applyAlignment="1">
      <alignment horizontal="center"/>
    </xf>
    <xf numFmtId="164" fontId="11" fillId="11" borderId="0" xfId="0" applyNumberFormat="1" applyFont="1" applyFill="1" applyAlignment="1">
      <alignment horizontal="center"/>
    </xf>
    <xf numFmtId="2" fontId="2" fillId="12" borderId="33" xfId="0" applyNumberFormat="1" applyFont="1" applyFill="1" applyBorder="1" applyAlignment="1">
      <alignment horizontal="center" vertical="center" wrapText="1"/>
    </xf>
    <xf numFmtId="166" fontId="0" fillId="0" borderId="0" xfId="0" applyNumberFormat="1" applyAlignment="1">
      <alignment horizontal="center"/>
    </xf>
    <xf numFmtId="164" fontId="11" fillId="15" borderId="0" xfId="0" applyNumberFormat="1" applyFont="1" applyFill="1" applyAlignment="1">
      <alignment horizontal="center"/>
    </xf>
    <xf numFmtId="0" fontId="49" fillId="0" borderId="0" xfId="0" quotePrefix="1" applyFont="1" applyAlignment="1">
      <alignment horizontal="left"/>
    </xf>
    <xf numFmtId="0" fontId="50" fillId="0" borderId="0" xfId="0" applyFont="1"/>
  </cellXfs>
  <cellStyles count="1">
    <cellStyle name="Normal" xfId="0" builtinId="0"/>
  </cellStyles>
  <dxfs count="0"/>
  <tableStyles count="0" defaultTableStyle="TableStyleMedium2" defaultPivotStyle="PivotStyleLight16"/>
  <colors>
    <mruColors>
      <color rgb="FFFFFFCC"/>
      <color rgb="FF008000"/>
      <color rgb="FFFFFF99"/>
      <color rgb="FFBC590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czeta_bkwd_fk_kmod!$R$33:$R$44</c:f>
              <c:numCache>
                <c:formatCode>0</c:formatCode>
                <c:ptCount val="12"/>
                <c:pt idx="0">
                  <c:v>1</c:v>
                </c:pt>
                <c:pt idx="1">
                  <c:v>2</c:v>
                </c:pt>
                <c:pt idx="2">
                  <c:v>3</c:v>
                </c:pt>
                <c:pt idx="3">
                  <c:v>4</c:v>
                </c:pt>
                <c:pt idx="4">
                  <c:v>5</c:v>
                </c:pt>
                <c:pt idx="5">
                  <c:v>10</c:v>
                </c:pt>
                <c:pt idx="6">
                  <c:v>20</c:v>
                </c:pt>
                <c:pt idx="7">
                  <c:v>30</c:v>
                </c:pt>
                <c:pt idx="8">
                  <c:v>40</c:v>
                </c:pt>
                <c:pt idx="11">
                  <c:v>50</c:v>
                </c:pt>
              </c:numCache>
            </c:numRef>
          </c:xVal>
          <c:yVal>
            <c:numRef>
              <c:f>czeta_bkwd_fk_kmod!$U$33:$U$44</c:f>
              <c:numCache>
                <c:formatCode>0.00</c:formatCode>
                <c:ptCount val="12"/>
                <c:pt idx="0">
                  <c:v>0.43598967602062716</c:v>
                </c:pt>
                <c:pt idx="1">
                  <c:v>0.33099216230006323</c:v>
                </c:pt>
                <c:pt idx="2">
                  <c:v>0.2799933699215037</c:v>
                </c:pt>
                <c:pt idx="3">
                  <c:v>0.25449397373222382</c:v>
                </c:pt>
                <c:pt idx="4">
                  <c:v>0.23249449466696284</c:v>
                </c:pt>
                <c:pt idx="5">
                  <c:v>0.16499609298945753</c:v>
                </c:pt>
                <c:pt idx="6">
                  <c:v>0.12199711118008374</c:v>
                </c:pt>
                <c:pt idx="7">
                  <c:v>0.10799744268400854</c:v>
                </c:pt>
                <c:pt idx="8">
                  <c:v>0.10149759659654509</c:v>
                </c:pt>
                <c:pt idx="11">
                  <c:v>0.13019691701349917</c:v>
                </c:pt>
              </c:numCache>
            </c:numRef>
          </c:yVal>
          <c:smooth val="1"/>
        </c:ser>
        <c:dLbls>
          <c:showLegendKey val="0"/>
          <c:showVal val="0"/>
          <c:showCatName val="0"/>
          <c:showSerName val="0"/>
          <c:showPercent val="0"/>
          <c:showBubbleSize val="0"/>
        </c:dLbls>
        <c:axId val="106782720"/>
        <c:axId val="106784256"/>
      </c:scatterChart>
      <c:valAx>
        <c:axId val="106782720"/>
        <c:scaling>
          <c:orientation val="minMax"/>
        </c:scaling>
        <c:delete val="0"/>
        <c:axPos val="b"/>
        <c:numFmt formatCode="0" sourceLinked="1"/>
        <c:majorTickMark val="out"/>
        <c:minorTickMark val="none"/>
        <c:tickLblPos val="nextTo"/>
        <c:crossAx val="106784256"/>
        <c:crosses val="autoZero"/>
        <c:crossBetween val="midCat"/>
      </c:valAx>
      <c:valAx>
        <c:axId val="106784256"/>
        <c:scaling>
          <c:orientation val="minMax"/>
          <c:max val="1.8"/>
          <c:min val="0.2"/>
        </c:scaling>
        <c:delete val="0"/>
        <c:axPos val="l"/>
        <c:majorGridlines/>
        <c:numFmt formatCode="0.00" sourceLinked="1"/>
        <c:majorTickMark val="out"/>
        <c:minorTickMark val="none"/>
        <c:tickLblPos val="nextTo"/>
        <c:crossAx val="106782720"/>
        <c:crosses val="autoZero"/>
        <c:crossBetween val="midCat"/>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rzeta_bkwd_sh_kmod_new!$AC$21:$AC$30</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rzeta_bkwd_sh_kmod_new!$AE$21:$AE$30</c:f>
              <c:numCache>
                <c:formatCode>0.0</c:formatCode>
                <c:ptCount val="10"/>
                <c:pt idx="0">
                  <c:v>37</c:v>
                </c:pt>
                <c:pt idx="1">
                  <c:v>34</c:v>
                </c:pt>
                <c:pt idx="2">
                  <c:v>32</c:v>
                </c:pt>
                <c:pt idx="3">
                  <c:v>30.25</c:v>
                </c:pt>
                <c:pt idx="4">
                  <c:v>28.8</c:v>
                </c:pt>
                <c:pt idx="5">
                  <c:v>26</c:v>
                </c:pt>
                <c:pt idx="6">
                  <c:v>25.65</c:v>
                </c:pt>
                <c:pt idx="7">
                  <c:v>25.633333333333333</c:v>
                </c:pt>
                <c:pt idx="8">
                  <c:v>25.65</c:v>
                </c:pt>
                <c:pt idx="9">
                  <c:v>25.64</c:v>
                </c:pt>
              </c:numCache>
            </c:numRef>
          </c:yVal>
          <c:smooth val="1"/>
        </c:ser>
        <c:dLbls>
          <c:showLegendKey val="0"/>
          <c:showVal val="0"/>
          <c:showCatName val="0"/>
          <c:showSerName val="0"/>
          <c:showPercent val="0"/>
          <c:showBubbleSize val="0"/>
        </c:dLbls>
        <c:axId val="134564864"/>
        <c:axId val="134570752"/>
      </c:scatterChart>
      <c:valAx>
        <c:axId val="134564864"/>
        <c:scaling>
          <c:orientation val="minMax"/>
        </c:scaling>
        <c:delete val="0"/>
        <c:axPos val="b"/>
        <c:numFmt formatCode="General" sourceLinked="1"/>
        <c:majorTickMark val="out"/>
        <c:minorTickMark val="none"/>
        <c:tickLblPos val="nextTo"/>
        <c:crossAx val="134570752"/>
        <c:crosses val="autoZero"/>
        <c:crossBetween val="midCat"/>
      </c:valAx>
      <c:valAx>
        <c:axId val="134570752"/>
        <c:scaling>
          <c:orientation val="minMax"/>
          <c:min val="20"/>
        </c:scaling>
        <c:delete val="0"/>
        <c:axPos val="l"/>
        <c:majorGridlines/>
        <c:numFmt formatCode="0.0" sourceLinked="1"/>
        <c:majorTickMark val="out"/>
        <c:minorTickMark val="none"/>
        <c:tickLblPos val="nextTo"/>
        <c:crossAx val="1345648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rzeta_bkwd_sh_kmod_new!$C$72:$C$81</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rzeta_bkwd_sh_kmod_new!$D$72:$D$81</c:f>
              <c:numCache>
                <c:formatCode>0.00</c:formatCode>
                <c:ptCount val="10"/>
                <c:pt idx="0">
                  <c:v>0.7</c:v>
                </c:pt>
                <c:pt idx="1">
                  <c:v>0.7</c:v>
                </c:pt>
                <c:pt idx="2">
                  <c:v>0.7</c:v>
                </c:pt>
                <c:pt idx="3">
                  <c:v>0.7</c:v>
                </c:pt>
                <c:pt idx="4">
                  <c:v>0.7</c:v>
                </c:pt>
                <c:pt idx="5">
                  <c:v>0.7</c:v>
                </c:pt>
                <c:pt idx="6">
                  <c:v>0.7</c:v>
                </c:pt>
                <c:pt idx="7">
                  <c:v>0.7</c:v>
                </c:pt>
                <c:pt idx="8">
                  <c:v>0.7</c:v>
                </c:pt>
                <c:pt idx="9">
                  <c:v>0.7</c:v>
                </c:pt>
              </c:numCache>
            </c:numRef>
          </c:yVal>
          <c:smooth val="1"/>
        </c:ser>
        <c:ser>
          <c:idx val="1"/>
          <c:order val="1"/>
          <c:marker>
            <c:symbol val="none"/>
          </c:marker>
          <c:xVal>
            <c:numRef>
              <c:f>rzeta_bkwd_sh_kmod_new!$M$72:$M$81</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rzeta_bkwd_sh_kmod_new!$N$72:$N$81</c:f>
              <c:numCache>
                <c:formatCode>0.00</c:formatCode>
                <c:ptCount val="10"/>
                <c:pt idx="0">
                  <c:v>1.0100559863113618</c:v>
                </c:pt>
                <c:pt idx="1">
                  <c:v>0.94180896020924276</c:v>
                </c:pt>
                <c:pt idx="2">
                  <c:v>0.87356193410712368</c:v>
                </c:pt>
                <c:pt idx="3">
                  <c:v>0.82578901583564035</c:v>
                </c:pt>
                <c:pt idx="4">
                  <c:v>0.78620574069641136</c:v>
                </c:pt>
                <c:pt idx="5">
                  <c:v>0.73706788190288564</c:v>
                </c:pt>
                <c:pt idx="6">
                  <c:v>0.7</c:v>
                </c:pt>
                <c:pt idx="7">
                  <c:v>0.7</c:v>
                </c:pt>
                <c:pt idx="8">
                  <c:v>0.7</c:v>
                </c:pt>
                <c:pt idx="9">
                  <c:v>0.7</c:v>
                </c:pt>
              </c:numCache>
            </c:numRef>
          </c:yVal>
          <c:smooth val="1"/>
        </c:ser>
        <c:ser>
          <c:idx val="2"/>
          <c:order val="2"/>
          <c:marker>
            <c:symbol val="none"/>
          </c:marker>
          <c:xVal>
            <c:numRef>
              <c:f>rzeta_bkwd_sh_kmod_new!$H$72:$H$81</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rzeta_bkwd_sh_kmod_new!$I$72:$I$81</c:f>
              <c:numCache>
                <c:formatCode>0.00</c:formatCode>
                <c:ptCount val="10"/>
                <c:pt idx="0">
                  <c:v>0.8550279931556809</c:v>
                </c:pt>
                <c:pt idx="1">
                  <c:v>0.82090448010462136</c:v>
                </c:pt>
                <c:pt idx="2">
                  <c:v>0.78678096705356182</c:v>
                </c:pt>
                <c:pt idx="3">
                  <c:v>0.76289450791782021</c:v>
                </c:pt>
                <c:pt idx="4">
                  <c:v>0.74310287034820566</c:v>
                </c:pt>
                <c:pt idx="5">
                  <c:v>0.71853394095144285</c:v>
                </c:pt>
                <c:pt idx="6">
                  <c:v>0.7</c:v>
                </c:pt>
                <c:pt idx="7">
                  <c:v>0.7</c:v>
                </c:pt>
                <c:pt idx="8">
                  <c:v>0.7</c:v>
                </c:pt>
                <c:pt idx="9">
                  <c:v>0.7</c:v>
                </c:pt>
              </c:numCache>
            </c:numRef>
          </c:yVal>
          <c:smooth val="1"/>
        </c:ser>
        <c:dLbls>
          <c:showLegendKey val="0"/>
          <c:showVal val="0"/>
          <c:showCatName val="0"/>
          <c:showSerName val="0"/>
          <c:showPercent val="0"/>
          <c:showBubbleSize val="0"/>
        </c:dLbls>
        <c:axId val="134633344"/>
        <c:axId val="134634880"/>
      </c:scatterChart>
      <c:valAx>
        <c:axId val="134633344"/>
        <c:scaling>
          <c:orientation val="minMax"/>
        </c:scaling>
        <c:delete val="0"/>
        <c:axPos val="b"/>
        <c:numFmt formatCode="General" sourceLinked="1"/>
        <c:majorTickMark val="out"/>
        <c:minorTickMark val="none"/>
        <c:tickLblPos val="nextTo"/>
        <c:crossAx val="134634880"/>
        <c:crosses val="autoZero"/>
        <c:crossBetween val="midCat"/>
      </c:valAx>
      <c:valAx>
        <c:axId val="134634880"/>
        <c:scaling>
          <c:orientation val="minMax"/>
        </c:scaling>
        <c:delete val="0"/>
        <c:axPos val="l"/>
        <c:majorGridlines/>
        <c:numFmt formatCode="0.00" sourceLinked="1"/>
        <c:majorTickMark val="out"/>
        <c:minorTickMark val="none"/>
        <c:tickLblPos val="nextTo"/>
        <c:crossAx val="134633344"/>
        <c:crosses val="autoZero"/>
        <c:crossBetween val="midCat"/>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czeta_bkwd_3075s_actual_v1!$B$30:$B$39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czeta_bkwd_3075s_actual_v1!$C$30:$C$39</c:f>
              <c:numCache>
                <c:formatCode>0.00</c:formatCode>
                <c:ptCount val="10"/>
                <c:pt idx="0">
                  <c:v>2</c:v>
                </c:pt>
                <c:pt idx="1">
                  <c:v>4</c:v>
                </c:pt>
                <c:pt idx="2">
                  <c:v>5.8</c:v>
                </c:pt>
                <c:pt idx="3">
                  <c:v>7.51</c:v>
                </c:pt>
                <c:pt idx="4">
                  <c:v>9</c:v>
                </c:pt>
                <c:pt idx="5">
                  <c:v>11.51</c:v>
                </c:pt>
                <c:pt idx="6">
                  <c:v>13</c:v>
                </c:pt>
                <c:pt idx="7">
                  <c:v>13</c:v>
                </c:pt>
                <c:pt idx="8">
                  <c:v>13</c:v>
                </c:pt>
                <c:pt idx="9">
                  <c:v>13</c:v>
                </c:pt>
              </c:numCache>
            </c:numRef>
          </c:yVal>
          <c:smooth val="0"/>
        </c:ser>
        <c:dLbls>
          <c:showLegendKey val="0"/>
          <c:showVal val="0"/>
          <c:showCatName val="0"/>
          <c:showSerName val="0"/>
          <c:showPercent val="0"/>
          <c:showBubbleSize val="0"/>
        </c:dLbls>
        <c:axId val="135955584"/>
        <c:axId val="135957120"/>
      </c:scatterChart>
      <c:valAx>
        <c:axId val="135955584"/>
        <c:scaling>
          <c:orientation val="minMax"/>
        </c:scaling>
        <c:delete val="0"/>
        <c:axPos val="b"/>
        <c:numFmt formatCode="General" sourceLinked="1"/>
        <c:majorTickMark val="out"/>
        <c:minorTickMark val="none"/>
        <c:tickLblPos val="nextTo"/>
        <c:crossAx val="135957120"/>
        <c:crosses val="autoZero"/>
        <c:crossBetween val="midCat"/>
      </c:valAx>
      <c:valAx>
        <c:axId val="135957120"/>
        <c:scaling>
          <c:orientation val="minMax"/>
        </c:scaling>
        <c:delete val="0"/>
        <c:axPos val="l"/>
        <c:majorGridlines/>
        <c:numFmt formatCode="0.00" sourceLinked="1"/>
        <c:majorTickMark val="out"/>
        <c:minorTickMark val="none"/>
        <c:tickLblPos val="nextTo"/>
        <c:crossAx val="135955584"/>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czeta_bkwd_3075s_actual_v1!$B$30:$B$39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czeta_bkwd_3075s_actual_v1!$D$30:$D$39</c:f>
              <c:numCache>
                <c:formatCode>0.00</c:formatCode>
                <c:ptCount val="10"/>
                <c:pt idx="0">
                  <c:v>0.75</c:v>
                </c:pt>
                <c:pt idx="1">
                  <c:v>2</c:v>
                </c:pt>
                <c:pt idx="2">
                  <c:v>3.3</c:v>
                </c:pt>
                <c:pt idx="3">
                  <c:v>4.7</c:v>
                </c:pt>
                <c:pt idx="4">
                  <c:v>5.9</c:v>
                </c:pt>
                <c:pt idx="5">
                  <c:v>10</c:v>
                </c:pt>
                <c:pt idx="6">
                  <c:v>13</c:v>
                </c:pt>
                <c:pt idx="7">
                  <c:v>13</c:v>
                </c:pt>
                <c:pt idx="8">
                  <c:v>13</c:v>
                </c:pt>
                <c:pt idx="9">
                  <c:v>13</c:v>
                </c:pt>
              </c:numCache>
            </c:numRef>
          </c:yVal>
          <c:smooth val="0"/>
        </c:ser>
        <c:dLbls>
          <c:showLegendKey val="0"/>
          <c:showVal val="0"/>
          <c:showCatName val="0"/>
          <c:showSerName val="0"/>
          <c:showPercent val="0"/>
          <c:showBubbleSize val="0"/>
        </c:dLbls>
        <c:axId val="136071040"/>
        <c:axId val="136072576"/>
      </c:scatterChart>
      <c:valAx>
        <c:axId val="136071040"/>
        <c:scaling>
          <c:orientation val="minMax"/>
        </c:scaling>
        <c:delete val="0"/>
        <c:axPos val="b"/>
        <c:numFmt formatCode="General" sourceLinked="1"/>
        <c:majorTickMark val="out"/>
        <c:minorTickMark val="none"/>
        <c:tickLblPos val="nextTo"/>
        <c:crossAx val="136072576"/>
        <c:crosses val="autoZero"/>
        <c:crossBetween val="midCat"/>
      </c:valAx>
      <c:valAx>
        <c:axId val="136072576"/>
        <c:scaling>
          <c:orientation val="minMax"/>
        </c:scaling>
        <c:delete val="0"/>
        <c:axPos val="l"/>
        <c:majorGridlines/>
        <c:numFmt formatCode="0.00" sourceLinked="1"/>
        <c:majorTickMark val="out"/>
        <c:minorTickMark val="none"/>
        <c:tickLblPos val="nextTo"/>
        <c:crossAx val="136071040"/>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rendline>
            <c:trendlineType val="poly"/>
            <c:order val="3"/>
            <c:dispRSqr val="1"/>
            <c:dispEq val="1"/>
            <c:trendlineLbl>
              <c:layout>
                <c:manualLayout>
                  <c:x val="-0.15704152148099121"/>
                  <c:y val="-2.2412153368705577E-2"/>
                </c:manualLayout>
              </c:layout>
              <c:numFmt formatCode="#,##0.00000" sourceLinked="0"/>
              <c:txPr>
                <a:bodyPr/>
                <a:lstStyle/>
                <a:p>
                  <a:pPr>
                    <a:defRPr sz="1050"/>
                  </a:pPr>
                  <a:endParaRPr lang="en-US"/>
                </a:p>
              </c:txPr>
            </c:trendlineLbl>
          </c:trendline>
          <c:xVal>
            <c:numRef>
              <c:f>czeta_bkwd_3075s_actual_v1!$C$82:$C$87</c:f>
              <c:numCache>
                <c:formatCode>General</c:formatCode>
                <c:ptCount val="6"/>
                <c:pt idx="0">
                  <c:v>5</c:v>
                </c:pt>
                <c:pt idx="1">
                  <c:v>10</c:v>
                </c:pt>
                <c:pt idx="2">
                  <c:v>20</c:v>
                </c:pt>
                <c:pt idx="3">
                  <c:v>30</c:v>
                </c:pt>
                <c:pt idx="4">
                  <c:v>40</c:v>
                </c:pt>
                <c:pt idx="5">
                  <c:v>50</c:v>
                </c:pt>
              </c:numCache>
            </c:numRef>
          </c:xVal>
          <c:yVal>
            <c:numRef>
              <c:f>czeta_bkwd_3075s_actual_v1!$D$82:$D$87</c:f>
              <c:numCache>
                <c:formatCode>General</c:formatCode>
                <c:ptCount val="6"/>
                <c:pt idx="0">
                  <c:v>91.1</c:v>
                </c:pt>
                <c:pt idx="1">
                  <c:v>150.69999999999999</c:v>
                </c:pt>
                <c:pt idx="2">
                  <c:v>252.2</c:v>
                </c:pt>
                <c:pt idx="3">
                  <c:v>340.1</c:v>
                </c:pt>
                <c:pt idx="4">
                  <c:v>420.4</c:v>
                </c:pt>
                <c:pt idx="5">
                  <c:v>498</c:v>
                </c:pt>
              </c:numCache>
            </c:numRef>
          </c:yVal>
          <c:smooth val="0"/>
        </c:ser>
        <c:dLbls>
          <c:showLegendKey val="0"/>
          <c:showVal val="0"/>
          <c:showCatName val="0"/>
          <c:showSerName val="0"/>
          <c:showPercent val="0"/>
          <c:showBubbleSize val="0"/>
        </c:dLbls>
        <c:axId val="136080768"/>
        <c:axId val="136094848"/>
      </c:scatterChart>
      <c:valAx>
        <c:axId val="136080768"/>
        <c:scaling>
          <c:orientation val="minMax"/>
        </c:scaling>
        <c:delete val="0"/>
        <c:axPos val="b"/>
        <c:numFmt formatCode="General" sourceLinked="1"/>
        <c:majorTickMark val="out"/>
        <c:minorTickMark val="none"/>
        <c:tickLblPos val="nextTo"/>
        <c:crossAx val="136094848"/>
        <c:crosses val="autoZero"/>
        <c:crossBetween val="midCat"/>
      </c:valAx>
      <c:valAx>
        <c:axId val="136094848"/>
        <c:scaling>
          <c:orientation val="minMax"/>
        </c:scaling>
        <c:delete val="0"/>
        <c:axPos val="l"/>
        <c:majorGridlines/>
        <c:numFmt formatCode="General" sourceLinked="1"/>
        <c:majorTickMark val="out"/>
        <c:minorTickMark val="none"/>
        <c:tickLblPos val="nextTo"/>
        <c:crossAx val="136080768"/>
        <c:crosses val="autoZero"/>
        <c:crossBetween val="midCat"/>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czeta_bkwd_3075s_actual_v1!$C$52:$C$57</c:f>
              <c:numCache>
                <c:formatCode>General</c:formatCode>
                <c:ptCount val="6"/>
                <c:pt idx="0">
                  <c:v>1</c:v>
                </c:pt>
                <c:pt idx="1">
                  <c:v>2</c:v>
                </c:pt>
                <c:pt idx="2">
                  <c:v>3</c:v>
                </c:pt>
                <c:pt idx="3">
                  <c:v>4</c:v>
                </c:pt>
                <c:pt idx="4">
                  <c:v>5</c:v>
                </c:pt>
                <c:pt idx="5">
                  <c:v>10</c:v>
                </c:pt>
              </c:numCache>
            </c:numRef>
          </c:xVal>
          <c:yVal>
            <c:numRef>
              <c:f>czeta_bkwd_3075s_actual_v1!$D$52:$D$57</c:f>
              <c:numCache>
                <c:formatCode>General</c:formatCode>
                <c:ptCount val="6"/>
                <c:pt idx="0">
                  <c:v>22.3</c:v>
                </c:pt>
                <c:pt idx="1">
                  <c:v>44.8</c:v>
                </c:pt>
                <c:pt idx="2">
                  <c:v>62</c:v>
                </c:pt>
                <c:pt idx="3">
                  <c:v>75.5</c:v>
                </c:pt>
                <c:pt idx="4">
                  <c:v>91.1</c:v>
                </c:pt>
                <c:pt idx="5">
                  <c:v>150.69999999999999</c:v>
                </c:pt>
              </c:numCache>
            </c:numRef>
          </c:yVal>
          <c:smooth val="0"/>
        </c:ser>
        <c:dLbls>
          <c:showLegendKey val="0"/>
          <c:showVal val="0"/>
          <c:showCatName val="0"/>
          <c:showSerName val="0"/>
          <c:showPercent val="0"/>
          <c:showBubbleSize val="0"/>
        </c:dLbls>
        <c:axId val="136143232"/>
        <c:axId val="136144768"/>
      </c:scatterChart>
      <c:valAx>
        <c:axId val="136143232"/>
        <c:scaling>
          <c:orientation val="minMax"/>
        </c:scaling>
        <c:delete val="0"/>
        <c:axPos val="b"/>
        <c:numFmt formatCode="General" sourceLinked="1"/>
        <c:majorTickMark val="out"/>
        <c:minorTickMark val="none"/>
        <c:tickLblPos val="nextTo"/>
        <c:crossAx val="136144768"/>
        <c:crosses val="autoZero"/>
        <c:crossBetween val="midCat"/>
      </c:valAx>
      <c:valAx>
        <c:axId val="136144768"/>
        <c:scaling>
          <c:orientation val="minMax"/>
        </c:scaling>
        <c:delete val="0"/>
        <c:axPos val="l"/>
        <c:majorGridlines/>
        <c:numFmt formatCode="General" sourceLinked="1"/>
        <c:majorTickMark val="out"/>
        <c:minorTickMark val="none"/>
        <c:tickLblPos val="nextTo"/>
        <c:crossAx val="136143232"/>
        <c:crosses val="autoZero"/>
        <c:crossBetween val="midCat"/>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czeta_bkwd_3075s_actual_v1!$H$78:$H$87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czeta_bkwd_3075s_actual_v1!$I$78:$I$87</c:f>
              <c:numCache>
                <c:formatCode>0.0</c:formatCode>
                <c:ptCount val="10"/>
                <c:pt idx="0">
                  <c:v>22.718656416004258</c:v>
                </c:pt>
                <c:pt idx="1">
                  <c:v>43.919892099675558</c:v>
                </c:pt>
                <c:pt idx="2">
                  <c:v>61.787877591936258</c:v>
                </c:pt>
                <c:pt idx="3">
                  <c:v>77.003445390753853</c:v>
                </c:pt>
                <c:pt idx="4">
                  <c:v>90.247427994095858</c:v>
                </c:pt>
                <c:pt idx="5">
                  <c:v>150.71920739662417</c:v>
                </c:pt>
                <c:pt idx="6">
                  <c:v>252.13714285714292</c:v>
                </c:pt>
                <c:pt idx="7">
                  <c:v>340.1942857142858</c:v>
                </c:pt>
                <c:pt idx="8">
                  <c:v>420.33714285714279</c:v>
                </c:pt>
                <c:pt idx="9">
                  <c:v>498.01571428571424</c:v>
                </c:pt>
              </c:numCache>
            </c:numRef>
          </c:yVal>
          <c:smooth val="0"/>
        </c:ser>
        <c:dLbls>
          <c:showLegendKey val="0"/>
          <c:showVal val="0"/>
          <c:showCatName val="0"/>
          <c:showSerName val="0"/>
          <c:showPercent val="0"/>
          <c:showBubbleSize val="0"/>
        </c:dLbls>
        <c:axId val="136184960"/>
        <c:axId val="136186496"/>
      </c:scatterChart>
      <c:valAx>
        <c:axId val="136184960"/>
        <c:scaling>
          <c:orientation val="minMax"/>
        </c:scaling>
        <c:delete val="0"/>
        <c:axPos val="b"/>
        <c:numFmt formatCode="General" sourceLinked="1"/>
        <c:majorTickMark val="out"/>
        <c:minorTickMark val="none"/>
        <c:tickLblPos val="nextTo"/>
        <c:crossAx val="136186496"/>
        <c:crosses val="autoZero"/>
        <c:crossBetween val="midCat"/>
      </c:valAx>
      <c:valAx>
        <c:axId val="136186496"/>
        <c:scaling>
          <c:orientation val="minMax"/>
        </c:scaling>
        <c:delete val="0"/>
        <c:axPos val="l"/>
        <c:majorGridlines/>
        <c:numFmt formatCode="0.0" sourceLinked="1"/>
        <c:majorTickMark val="out"/>
        <c:minorTickMark val="none"/>
        <c:tickLblPos val="nextTo"/>
        <c:crossAx val="1361849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czeta_bkwd_3075s_trend_v2!$B$30:$B$39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czeta_bkwd_3075s_trend_v2!$C$30:$C$39</c:f>
              <c:numCache>
                <c:formatCode>0.00</c:formatCode>
                <c:ptCount val="10"/>
                <c:pt idx="0">
                  <c:v>2</c:v>
                </c:pt>
                <c:pt idx="1">
                  <c:v>4</c:v>
                </c:pt>
                <c:pt idx="2">
                  <c:v>5.8</c:v>
                </c:pt>
                <c:pt idx="3">
                  <c:v>7.51</c:v>
                </c:pt>
                <c:pt idx="4">
                  <c:v>9</c:v>
                </c:pt>
                <c:pt idx="5">
                  <c:v>11.51</c:v>
                </c:pt>
                <c:pt idx="6">
                  <c:v>13</c:v>
                </c:pt>
                <c:pt idx="7">
                  <c:v>13</c:v>
                </c:pt>
                <c:pt idx="8">
                  <c:v>13</c:v>
                </c:pt>
                <c:pt idx="9">
                  <c:v>13</c:v>
                </c:pt>
              </c:numCache>
            </c:numRef>
          </c:yVal>
          <c:smooth val="0"/>
        </c:ser>
        <c:dLbls>
          <c:showLegendKey val="0"/>
          <c:showVal val="0"/>
          <c:showCatName val="0"/>
          <c:showSerName val="0"/>
          <c:showPercent val="0"/>
          <c:showBubbleSize val="0"/>
        </c:dLbls>
        <c:axId val="106799488"/>
        <c:axId val="106801024"/>
      </c:scatterChart>
      <c:valAx>
        <c:axId val="106799488"/>
        <c:scaling>
          <c:orientation val="minMax"/>
        </c:scaling>
        <c:delete val="0"/>
        <c:axPos val="b"/>
        <c:numFmt formatCode="General" sourceLinked="1"/>
        <c:majorTickMark val="out"/>
        <c:minorTickMark val="none"/>
        <c:tickLblPos val="nextTo"/>
        <c:crossAx val="106801024"/>
        <c:crosses val="autoZero"/>
        <c:crossBetween val="midCat"/>
      </c:valAx>
      <c:valAx>
        <c:axId val="106801024"/>
        <c:scaling>
          <c:orientation val="minMax"/>
        </c:scaling>
        <c:delete val="0"/>
        <c:axPos val="l"/>
        <c:majorGridlines/>
        <c:numFmt formatCode="0.00" sourceLinked="1"/>
        <c:majorTickMark val="out"/>
        <c:minorTickMark val="none"/>
        <c:tickLblPos val="nextTo"/>
        <c:crossAx val="106799488"/>
        <c:crosses val="autoZero"/>
        <c:crossBetween val="midCat"/>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czeta_bkwd_3075s_trend_v2!$B$30:$B$39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czeta_bkwd_3075s_trend_v2!$D$30:$D$39</c:f>
              <c:numCache>
                <c:formatCode>0.00</c:formatCode>
                <c:ptCount val="10"/>
                <c:pt idx="0">
                  <c:v>0.75</c:v>
                </c:pt>
                <c:pt idx="1">
                  <c:v>2</c:v>
                </c:pt>
                <c:pt idx="2">
                  <c:v>3.3</c:v>
                </c:pt>
                <c:pt idx="3">
                  <c:v>4.7</c:v>
                </c:pt>
                <c:pt idx="4">
                  <c:v>5.9</c:v>
                </c:pt>
                <c:pt idx="5">
                  <c:v>10</c:v>
                </c:pt>
                <c:pt idx="6">
                  <c:v>13</c:v>
                </c:pt>
                <c:pt idx="7">
                  <c:v>13</c:v>
                </c:pt>
                <c:pt idx="8">
                  <c:v>13</c:v>
                </c:pt>
                <c:pt idx="9">
                  <c:v>13</c:v>
                </c:pt>
              </c:numCache>
            </c:numRef>
          </c:yVal>
          <c:smooth val="0"/>
        </c:ser>
        <c:dLbls>
          <c:showLegendKey val="0"/>
          <c:showVal val="0"/>
          <c:showCatName val="0"/>
          <c:showSerName val="0"/>
          <c:showPercent val="0"/>
          <c:showBubbleSize val="0"/>
        </c:dLbls>
        <c:axId val="107254912"/>
        <c:axId val="107256448"/>
      </c:scatterChart>
      <c:valAx>
        <c:axId val="107254912"/>
        <c:scaling>
          <c:orientation val="minMax"/>
        </c:scaling>
        <c:delete val="0"/>
        <c:axPos val="b"/>
        <c:numFmt formatCode="General" sourceLinked="1"/>
        <c:majorTickMark val="out"/>
        <c:minorTickMark val="none"/>
        <c:tickLblPos val="nextTo"/>
        <c:crossAx val="107256448"/>
        <c:crosses val="autoZero"/>
        <c:crossBetween val="midCat"/>
      </c:valAx>
      <c:valAx>
        <c:axId val="107256448"/>
        <c:scaling>
          <c:orientation val="minMax"/>
        </c:scaling>
        <c:delete val="0"/>
        <c:axPos val="l"/>
        <c:majorGridlines/>
        <c:numFmt formatCode="0.00" sourceLinked="1"/>
        <c:majorTickMark val="out"/>
        <c:minorTickMark val="none"/>
        <c:tickLblPos val="nextTo"/>
        <c:crossAx val="107254912"/>
        <c:crosses val="autoZero"/>
        <c:crossBetween val="midCat"/>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rendline>
            <c:trendlineType val="poly"/>
            <c:order val="3"/>
            <c:dispRSqr val="1"/>
            <c:dispEq val="1"/>
            <c:trendlineLbl>
              <c:layout>
                <c:manualLayout>
                  <c:x val="-0.17693056393685153"/>
                  <c:y val="-1.1591728173718363E-2"/>
                </c:manualLayout>
              </c:layout>
              <c:numFmt formatCode="#,##0.00000" sourceLinked="0"/>
              <c:txPr>
                <a:bodyPr/>
                <a:lstStyle/>
                <a:p>
                  <a:pPr>
                    <a:defRPr sz="1100"/>
                  </a:pPr>
                  <a:endParaRPr lang="en-US"/>
                </a:p>
              </c:txPr>
            </c:trendlineLbl>
          </c:trendline>
          <c:xVal>
            <c:numRef>
              <c:f>czeta_bkwd_3075s_trend_v2!$C$83:$C$87</c:f>
              <c:numCache>
                <c:formatCode>General</c:formatCode>
                <c:ptCount val="5"/>
                <c:pt idx="0">
                  <c:v>10</c:v>
                </c:pt>
                <c:pt idx="1">
                  <c:v>20</c:v>
                </c:pt>
                <c:pt idx="2">
                  <c:v>30</c:v>
                </c:pt>
                <c:pt idx="3">
                  <c:v>40</c:v>
                </c:pt>
                <c:pt idx="4">
                  <c:v>50</c:v>
                </c:pt>
              </c:numCache>
            </c:numRef>
          </c:xVal>
          <c:yVal>
            <c:numRef>
              <c:f>czeta_bkwd_3075s_trend_v2!$D$83:$D$87</c:f>
              <c:numCache>
                <c:formatCode>General</c:formatCode>
                <c:ptCount val="5"/>
                <c:pt idx="0">
                  <c:v>150.69999999999999</c:v>
                </c:pt>
                <c:pt idx="1">
                  <c:v>252.2</c:v>
                </c:pt>
                <c:pt idx="2">
                  <c:v>340.1</c:v>
                </c:pt>
                <c:pt idx="3">
                  <c:v>420.4</c:v>
                </c:pt>
                <c:pt idx="4">
                  <c:v>498</c:v>
                </c:pt>
              </c:numCache>
            </c:numRef>
          </c:yVal>
          <c:smooth val="0"/>
        </c:ser>
        <c:dLbls>
          <c:showLegendKey val="0"/>
          <c:showVal val="0"/>
          <c:showCatName val="0"/>
          <c:showSerName val="0"/>
          <c:showPercent val="0"/>
          <c:showBubbleSize val="0"/>
        </c:dLbls>
        <c:axId val="107166336"/>
        <c:axId val="107172224"/>
      </c:scatterChart>
      <c:valAx>
        <c:axId val="107166336"/>
        <c:scaling>
          <c:orientation val="minMax"/>
        </c:scaling>
        <c:delete val="0"/>
        <c:axPos val="b"/>
        <c:numFmt formatCode="General" sourceLinked="1"/>
        <c:majorTickMark val="out"/>
        <c:minorTickMark val="none"/>
        <c:tickLblPos val="nextTo"/>
        <c:crossAx val="107172224"/>
        <c:crosses val="autoZero"/>
        <c:crossBetween val="midCat"/>
      </c:valAx>
      <c:valAx>
        <c:axId val="107172224"/>
        <c:scaling>
          <c:orientation val="minMax"/>
        </c:scaling>
        <c:delete val="0"/>
        <c:axPos val="l"/>
        <c:majorGridlines/>
        <c:numFmt formatCode="General" sourceLinked="1"/>
        <c:majorTickMark val="out"/>
        <c:minorTickMark val="none"/>
        <c:tickLblPos val="nextTo"/>
        <c:crossAx val="10716633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rzeta_bkwd_sh_kmod_orig!$O$12:$O$21</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rzeta_bkwd_sh_kmod_orig!$R$12:$R$21</c:f>
              <c:numCache>
                <c:formatCode>0.00</c:formatCode>
                <c:ptCount val="10"/>
                <c:pt idx="0">
                  <c:v>1.0100559863113618</c:v>
                </c:pt>
                <c:pt idx="1">
                  <c:v>0.94180896020924276</c:v>
                </c:pt>
                <c:pt idx="2">
                  <c:v>0.87356193410712368</c:v>
                </c:pt>
                <c:pt idx="3">
                  <c:v>0.82578901583564035</c:v>
                </c:pt>
                <c:pt idx="4">
                  <c:v>0.78620574069641136</c:v>
                </c:pt>
                <c:pt idx="5">
                  <c:v>0.73706788190288564</c:v>
                </c:pt>
                <c:pt idx="6">
                  <c:v>0.70021448780774131</c:v>
                </c:pt>
                <c:pt idx="7">
                  <c:v>0.6997595076337273</c:v>
                </c:pt>
                <c:pt idx="8">
                  <c:v>0.70021448780774131</c:v>
                </c:pt>
                <c:pt idx="9">
                  <c:v>0.69994149970333286</c:v>
                </c:pt>
              </c:numCache>
            </c:numRef>
          </c:yVal>
          <c:smooth val="1"/>
        </c:ser>
        <c:dLbls>
          <c:showLegendKey val="0"/>
          <c:showVal val="0"/>
          <c:showCatName val="0"/>
          <c:showSerName val="0"/>
          <c:showPercent val="0"/>
          <c:showBubbleSize val="0"/>
        </c:dLbls>
        <c:axId val="107269504"/>
        <c:axId val="107369600"/>
      </c:scatterChart>
      <c:valAx>
        <c:axId val="107269504"/>
        <c:scaling>
          <c:orientation val="minMax"/>
        </c:scaling>
        <c:delete val="0"/>
        <c:axPos val="b"/>
        <c:numFmt formatCode="General" sourceLinked="1"/>
        <c:majorTickMark val="out"/>
        <c:minorTickMark val="none"/>
        <c:tickLblPos val="nextTo"/>
        <c:crossAx val="107369600"/>
        <c:crosses val="autoZero"/>
        <c:crossBetween val="midCat"/>
      </c:valAx>
      <c:valAx>
        <c:axId val="107369600"/>
        <c:scaling>
          <c:orientation val="minMax"/>
          <c:max val="1.1000000000000001"/>
          <c:min val="0.60000000000000009"/>
        </c:scaling>
        <c:delete val="0"/>
        <c:axPos val="l"/>
        <c:majorGridlines/>
        <c:numFmt formatCode="0.00" sourceLinked="1"/>
        <c:majorTickMark val="out"/>
        <c:minorTickMark val="none"/>
        <c:tickLblPos val="nextTo"/>
        <c:crossAx val="107269504"/>
        <c:crosses val="autoZero"/>
        <c:crossBetween val="midCat"/>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czeta_bkwd_3075s_trend_v2!$C$52:$C$57</c:f>
              <c:numCache>
                <c:formatCode>General</c:formatCode>
                <c:ptCount val="6"/>
                <c:pt idx="0">
                  <c:v>1</c:v>
                </c:pt>
                <c:pt idx="1">
                  <c:v>2</c:v>
                </c:pt>
                <c:pt idx="2">
                  <c:v>3</c:v>
                </c:pt>
                <c:pt idx="3">
                  <c:v>4</c:v>
                </c:pt>
                <c:pt idx="4">
                  <c:v>5</c:v>
                </c:pt>
                <c:pt idx="5">
                  <c:v>10</c:v>
                </c:pt>
              </c:numCache>
            </c:numRef>
          </c:xVal>
          <c:yVal>
            <c:numRef>
              <c:f>czeta_bkwd_3075s_trend_v2!$D$52:$D$57</c:f>
              <c:numCache>
                <c:formatCode>General</c:formatCode>
                <c:ptCount val="6"/>
                <c:pt idx="0">
                  <c:v>22.3</c:v>
                </c:pt>
                <c:pt idx="1">
                  <c:v>44.8</c:v>
                </c:pt>
                <c:pt idx="2">
                  <c:v>61.5</c:v>
                </c:pt>
                <c:pt idx="3">
                  <c:v>77.5</c:v>
                </c:pt>
                <c:pt idx="4">
                  <c:v>91.1</c:v>
                </c:pt>
                <c:pt idx="5">
                  <c:v>150.69999999999999</c:v>
                </c:pt>
              </c:numCache>
            </c:numRef>
          </c:yVal>
          <c:smooth val="0"/>
        </c:ser>
        <c:dLbls>
          <c:showLegendKey val="0"/>
          <c:showVal val="0"/>
          <c:showCatName val="0"/>
          <c:showSerName val="0"/>
          <c:showPercent val="0"/>
          <c:showBubbleSize val="0"/>
        </c:dLbls>
        <c:axId val="107191680"/>
        <c:axId val="107197568"/>
      </c:scatterChart>
      <c:valAx>
        <c:axId val="107191680"/>
        <c:scaling>
          <c:orientation val="minMax"/>
        </c:scaling>
        <c:delete val="0"/>
        <c:axPos val="b"/>
        <c:numFmt formatCode="General" sourceLinked="1"/>
        <c:majorTickMark val="out"/>
        <c:minorTickMark val="none"/>
        <c:tickLblPos val="nextTo"/>
        <c:crossAx val="107197568"/>
        <c:crosses val="autoZero"/>
        <c:crossBetween val="midCat"/>
      </c:valAx>
      <c:valAx>
        <c:axId val="107197568"/>
        <c:scaling>
          <c:orientation val="minMax"/>
        </c:scaling>
        <c:delete val="0"/>
        <c:axPos val="l"/>
        <c:majorGridlines/>
        <c:numFmt formatCode="General" sourceLinked="1"/>
        <c:majorTickMark val="out"/>
        <c:minorTickMark val="none"/>
        <c:tickLblPos val="nextTo"/>
        <c:crossAx val="107191680"/>
        <c:crosses val="autoZero"/>
        <c:crossBetween val="midCat"/>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czeta_bkwd_3075s_trend_v2!$H$78:$H$87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czeta_bkwd_3075s_trend_v2!$I$78:$I$87</c:f>
              <c:numCache>
                <c:formatCode>0.0</c:formatCode>
                <c:ptCount val="10"/>
                <c:pt idx="0">
                  <c:v>22.561072215074457</c:v>
                </c:pt>
                <c:pt idx="1">
                  <c:v>44.027816103748464</c:v>
                </c:pt>
                <c:pt idx="2">
                  <c:v>62.133501985144932</c:v>
                </c:pt>
                <c:pt idx="3">
                  <c:v>77.544130995887613</c:v>
                </c:pt>
                <c:pt idx="4">
                  <c:v>90.925704272600271</c:v>
                </c:pt>
                <c:pt idx="5">
                  <c:v>150.71174435662925</c:v>
                </c:pt>
                <c:pt idx="6">
                  <c:v>252.13714285714292</c:v>
                </c:pt>
                <c:pt idx="7">
                  <c:v>340.1942857142858</c:v>
                </c:pt>
                <c:pt idx="8">
                  <c:v>420.33714285714279</c:v>
                </c:pt>
                <c:pt idx="9">
                  <c:v>498.01571428571424</c:v>
                </c:pt>
              </c:numCache>
            </c:numRef>
          </c:yVal>
          <c:smooth val="0"/>
        </c:ser>
        <c:dLbls>
          <c:showLegendKey val="0"/>
          <c:showVal val="0"/>
          <c:showCatName val="0"/>
          <c:showSerName val="0"/>
          <c:showPercent val="0"/>
          <c:showBubbleSize val="0"/>
        </c:dLbls>
        <c:axId val="146686336"/>
        <c:axId val="146687872"/>
      </c:scatterChart>
      <c:valAx>
        <c:axId val="146686336"/>
        <c:scaling>
          <c:orientation val="minMax"/>
        </c:scaling>
        <c:delete val="0"/>
        <c:axPos val="b"/>
        <c:numFmt formatCode="General" sourceLinked="1"/>
        <c:majorTickMark val="out"/>
        <c:minorTickMark val="none"/>
        <c:tickLblPos val="nextTo"/>
        <c:crossAx val="146687872"/>
        <c:crosses val="autoZero"/>
        <c:crossBetween val="midCat"/>
      </c:valAx>
      <c:valAx>
        <c:axId val="146687872"/>
        <c:scaling>
          <c:orientation val="minMax"/>
        </c:scaling>
        <c:delete val="0"/>
        <c:axPos val="l"/>
        <c:majorGridlines/>
        <c:numFmt formatCode="0.0" sourceLinked="1"/>
        <c:majorTickMark val="out"/>
        <c:minorTickMark val="none"/>
        <c:tickLblPos val="nextTo"/>
        <c:crossAx val="1466863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czeta_bkwd_3075s_trend_v3!$B$30:$B$39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czeta_bkwd_3075s_trend_v3!$C$30:$C$39</c:f>
              <c:numCache>
                <c:formatCode>0.00</c:formatCode>
                <c:ptCount val="10"/>
                <c:pt idx="0">
                  <c:v>2</c:v>
                </c:pt>
                <c:pt idx="1">
                  <c:v>4</c:v>
                </c:pt>
                <c:pt idx="2">
                  <c:v>5.8</c:v>
                </c:pt>
                <c:pt idx="3">
                  <c:v>7.51</c:v>
                </c:pt>
                <c:pt idx="4">
                  <c:v>9</c:v>
                </c:pt>
                <c:pt idx="5">
                  <c:v>11.51</c:v>
                </c:pt>
                <c:pt idx="6">
                  <c:v>13</c:v>
                </c:pt>
                <c:pt idx="7">
                  <c:v>13</c:v>
                </c:pt>
                <c:pt idx="8">
                  <c:v>13</c:v>
                </c:pt>
                <c:pt idx="9">
                  <c:v>13</c:v>
                </c:pt>
              </c:numCache>
            </c:numRef>
          </c:yVal>
          <c:smooth val="0"/>
        </c:ser>
        <c:dLbls>
          <c:showLegendKey val="0"/>
          <c:showVal val="0"/>
          <c:showCatName val="0"/>
          <c:showSerName val="0"/>
          <c:showPercent val="0"/>
          <c:showBubbleSize val="0"/>
        </c:dLbls>
        <c:axId val="100455936"/>
        <c:axId val="100457472"/>
      </c:scatterChart>
      <c:valAx>
        <c:axId val="100455936"/>
        <c:scaling>
          <c:orientation val="minMax"/>
        </c:scaling>
        <c:delete val="0"/>
        <c:axPos val="b"/>
        <c:numFmt formatCode="General" sourceLinked="1"/>
        <c:majorTickMark val="out"/>
        <c:minorTickMark val="none"/>
        <c:tickLblPos val="nextTo"/>
        <c:crossAx val="100457472"/>
        <c:crosses val="autoZero"/>
        <c:crossBetween val="midCat"/>
      </c:valAx>
      <c:valAx>
        <c:axId val="100457472"/>
        <c:scaling>
          <c:orientation val="minMax"/>
        </c:scaling>
        <c:delete val="0"/>
        <c:axPos val="l"/>
        <c:majorGridlines/>
        <c:numFmt formatCode="0.00" sourceLinked="1"/>
        <c:majorTickMark val="out"/>
        <c:minorTickMark val="none"/>
        <c:tickLblPos val="nextTo"/>
        <c:crossAx val="100455936"/>
        <c:crosses val="autoZero"/>
        <c:crossBetween val="midCat"/>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czeta_bkwd_3075s_trend_v3!$B$30:$B$39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czeta_bkwd_3075s_trend_v3!$D$30:$D$39</c:f>
              <c:numCache>
                <c:formatCode>0.00</c:formatCode>
                <c:ptCount val="10"/>
                <c:pt idx="0">
                  <c:v>0.75</c:v>
                </c:pt>
                <c:pt idx="1">
                  <c:v>2</c:v>
                </c:pt>
                <c:pt idx="2">
                  <c:v>3.3</c:v>
                </c:pt>
                <c:pt idx="3">
                  <c:v>4.7</c:v>
                </c:pt>
                <c:pt idx="4">
                  <c:v>5.9</c:v>
                </c:pt>
                <c:pt idx="5">
                  <c:v>10</c:v>
                </c:pt>
                <c:pt idx="6">
                  <c:v>13</c:v>
                </c:pt>
                <c:pt idx="7">
                  <c:v>13</c:v>
                </c:pt>
                <c:pt idx="8">
                  <c:v>13</c:v>
                </c:pt>
                <c:pt idx="9">
                  <c:v>13</c:v>
                </c:pt>
              </c:numCache>
            </c:numRef>
          </c:yVal>
          <c:smooth val="0"/>
        </c:ser>
        <c:dLbls>
          <c:showLegendKey val="0"/>
          <c:showVal val="0"/>
          <c:showCatName val="0"/>
          <c:showSerName val="0"/>
          <c:showPercent val="0"/>
          <c:showBubbleSize val="0"/>
        </c:dLbls>
        <c:axId val="100342016"/>
        <c:axId val="100356096"/>
      </c:scatterChart>
      <c:valAx>
        <c:axId val="100342016"/>
        <c:scaling>
          <c:orientation val="minMax"/>
        </c:scaling>
        <c:delete val="0"/>
        <c:axPos val="b"/>
        <c:numFmt formatCode="General" sourceLinked="1"/>
        <c:majorTickMark val="out"/>
        <c:minorTickMark val="none"/>
        <c:tickLblPos val="nextTo"/>
        <c:crossAx val="100356096"/>
        <c:crosses val="autoZero"/>
        <c:crossBetween val="midCat"/>
      </c:valAx>
      <c:valAx>
        <c:axId val="100356096"/>
        <c:scaling>
          <c:orientation val="minMax"/>
        </c:scaling>
        <c:delete val="0"/>
        <c:axPos val="l"/>
        <c:majorGridlines/>
        <c:numFmt formatCode="0.00" sourceLinked="1"/>
        <c:majorTickMark val="out"/>
        <c:minorTickMark val="none"/>
        <c:tickLblPos val="nextTo"/>
        <c:crossAx val="100342016"/>
        <c:crosses val="autoZero"/>
        <c:crossBetween val="midCat"/>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rendline>
            <c:trendlineType val="poly"/>
            <c:order val="3"/>
            <c:dispRSqr val="1"/>
            <c:dispEq val="1"/>
            <c:trendlineLbl>
              <c:layout>
                <c:manualLayout>
                  <c:x val="-0.16819235567514909"/>
                  <c:y val="-3.9199520918347733E-2"/>
                </c:manualLayout>
              </c:layout>
              <c:numFmt formatCode="#,##0.00000" sourceLinked="0"/>
              <c:txPr>
                <a:bodyPr/>
                <a:lstStyle/>
                <a:p>
                  <a:pPr>
                    <a:defRPr sz="1100"/>
                  </a:pPr>
                  <a:endParaRPr lang="en-US"/>
                </a:p>
              </c:txPr>
            </c:trendlineLbl>
          </c:trendline>
          <c:xVal>
            <c:numRef>
              <c:f>czeta_bkwd_3075s_trend_v3!$C$82:$C$87</c:f>
              <c:numCache>
                <c:formatCode>General</c:formatCode>
                <c:ptCount val="6"/>
                <c:pt idx="0">
                  <c:v>5</c:v>
                </c:pt>
                <c:pt idx="1">
                  <c:v>10</c:v>
                </c:pt>
                <c:pt idx="2">
                  <c:v>20</c:v>
                </c:pt>
                <c:pt idx="3">
                  <c:v>30</c:v>
                </c:pt>
                <c:pt idx="4">
                  <c:v>40</c:v>
                </c:pt>
                <c:pt idx="5">
                  <c:v>50</c:v>
                </c:pt>
              </c:numCache>
            </c:numRef>
          </c:xVal>
          <c:yVal>
            <c:numRef>
              <c:f>czeta_bkwd_3075s_trend_v3!$D$82:$D$87</c:f>
              <c:numCache>
                <c:formatCode>General</c:formatCode>
                <c:ptCount val="6"/>
                <c:pt idx="0">
                  <c:v>91.1</c:v>
                </c:pt>
                <c:pt idx="1">
                  <c:v>150.69999999999999</c:v>
                </c:pt>
                <c:pt idx="2">
                  <c:v>252.2</c:v>
                </c:pt>
                <c:pt idx="3">
                  <c:v>340.1</c:v>
                </c:pt>
                <c:pt idx="4">
                  <c:v>420.4</c:v>
                </c:pt>
                <c:pt idx="5">
                  <c:v>498</c:v>
                </c:pt>
              </c:numCache>
            </c:numRef>
          </c:yVal>
          <c:smooth val="0"/>
        </c:ser>
        <c:dLbls>
          <c:showLegendKey val="0"/>
          <c:showVal val="0"/>
          <c:showCatName val="0"/>
          <c:showSerName val="0"/>
          <c:showPercent val="0"/>
          <c:showBubbleSize val="0"/>
        </c:dLbls>
        <c:axId val="100376576"/>
        <c:axId val="100378112"/>
      </c:scatterChart>
      <c:valAx>
        <c:axId val="100376576"/>
        <c:scaling>
          <c:orientation val="minMax"/>
        </c:scaling>
        <c:delete val="0"/>
        <c:axPos val="b"/>
        <c:numFmt formatCode="General" sourceLinked="1"/>
        <c:majorTickMark val="out"/>
        <c:minorTickMark val="none"/>
        <c:tickLblPos val="nextTo"/>
        <c:crossAx val="100378112"/>
        <c:crosses val="autoZero"/>
        <c:crossBetween val="midCat"/>
      </c:valAx>
      <c:valAx>
        <c:axId val="100378112"/>
        <c:scaling>
          <c:orientation val="minMax"/>
        </c:scaling>
        <c:delete val="0"/>
        <c:axPos val="l"/>
        <c:majorGridlines/>
        <c:numFmt formatCode="General" sourceLinked="1"/>
        <c:majorTickMark val="out"/>
        <c:minorTickMark val="none"/>
        <c:tickLblPos val="nextTo"/>
        <c:crossAx val="100376576"/>
        <c:crosses val="autoZero"/>
        <c:crossBetween val="midCat"/>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czeta_bkwd_3075s_trend_v3!$C$52:$C$57</c:f>
              <c:numCache>
                <c:formatCode>General</c:formatCode>
                <c:ptCount val="6"/>
                <c:pt idx="0">
                  <c:v>1</c:v>
                </c:pt>
                <c:pt idx="1">
                  <c:v>2</c:v>
                </c:pt>
                <c:pt idx="2">
                  <c:v>3</c:v>
                </c:pt>
                <c:pt idx="3">
                  <c:v>4</c:v>
                </c:pt>
                <c:pt idx="4">
                  <c:v>5</c:v>
                </c:pt>
                <c:pt idx="5">
                  <c:v>10</c:v>
                </c:pt>
              </c:numCache>
            </c:numRef>
          </c:xVal>
          <c:yVal>
            <c:numRef>
              <c:f>czeta_bkwd_3075s_trend_v3!$D$52:$D$57</c:f>
              <c:numCache>
                <c:formatCode>General</c:formatCode>
                <c:ptCount val="6"/>
                <c:pt idx="0">
                  <c:v>22.3</c:v>
                </c:pt>
                <c:pt idx="1">
                  <c:v>44.8</c:v>
                </c:pt>
                <c:pt idx="2">
                  <c:v>62</c:v>
                </c:pt>
                <c:pt idx="3">
                  <c:v>77.5</c:v>
                </c:pt>
                <c:pt idx="4">
                  <c:v>91.1</c:v>
                </c:pt>
                <c:pt idx="5">
                  <c:v>150.69999999999999</c:v>
                </c:pt>
              </c:numCache>
            </c:numRef>
          </c:yVal>
          <c:smooth val="0"/>
        </c:ser>
        <c:dLbls>
          <c:showLegendKey val="0"/>
          <c:showVal val="0"/>
          <c:showCatName val="0"/>
          <c:showSerName val="0"/>
          <c:showPercent val="0"/>
          <c:showBubbleSize val="0"/>
        </c:dLbls>
        <c:axId val="100467456"/>
        <c:axId val="100468992"/>
      </c:scatterChart>
      <c:valAx>
        <c:axId val="100467456"/>
        <c:scaling>
          <c:orientation val="minMax"/>
        </c:scaling>
        <c:delete val="0"/>
        <c:axPos val="b"/>
        <c:numFmt formatCode="General" sourceLinked="1"/>
        <c:majorTickMark val="out"/>
        <c:minorTickMark val="none"/>
        <c:tickLblPos val="nextTo"/>
        <c:crossAx val="100468992"/>
        <c:crosses val="autoZero"/>
        <c:crossBetween val="midCat"/>
      </c:valAx>
      <c:valAx>
        <c:axId val="100468992"/>
        <c:scaling>
          <c:orientation val="minMax"/>
        </c:scaling>
        <c:delete val="0"/>
        <c:axPos val="l"/>
        <c:majorGridlines/>
        <c:numFmt formatCode="General" sourceLinked="1"/>
        <c:majorTickMark val="out"/>
        <c:minorTickMark val="none"/>
        <c:tickLblPos val="nextTo"/>
        <c:crossAx val="100467456"/>
        <c:crosses val="autoZero"/>
        <c:crossBetween val="midCat"/>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czeta_bkwd_3075s_trend_v3!$H$78:$H$87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czeta_bkwd_3075s_trend_v3!$I$78:$I$87</c:f>
              <c:numCache>
                <c:formatCode>0.0</c:formatCode>
                <c:ptCount val="10"/>
                <c:pt idx="0">
                  <c:v>22.508728323243179</c:v>
                </c:pt>
                <c:pt idx="1">
                  <c:v>44.221444696150471</c:v>
                </c:pt>
                <c:pt idx="2">
                  <c:v>62.373428262465353</c:v>
                </c:pt>
                <c:pt idx="3">
                  <c:v>77.690518663519896</c:v>
                </c:pt>
                <c:pt idx="4">
                  <c:v>90.898555540646157</c:v>
                </c:pt>
                <c:pt idx="5">
                  <c:v>150.71151939984463</c:v>
                </c:pt>
                <c:pt idx="6">
                  <c:v>252.13714285714292</c:v>
                </c:pt>
                <c:pt idx="7">
                  <c:v>340.1942857142858</c:v>
                </c:pt>
                <c:pt idx="8">
                  <c:v>420.33714285714279</c:v>
                </c:pt>
                <c:pt idx="9">
                  <c:v>498.01571428571424</c:v>
                </c:pt>
              </c:numCache>
            </c:numRef>
          </c:yVal>
          <c:smooth val="0"/>
        </c:ser>
        <c:dLbls>
          <c:showLegendKey val="0"/>
          <c:showVal val="0"/>
          <c:showCatName val="0"/>
          <c:showSerName val="0"/>
          <c:showPercent val="0"/>
          <c:showBubbleSize val="0"/>
        </c:dLbls>
        <c:axId val="100505088"/>
        <c:axId val="100506624"/>
      </c:scatterChart>
      <c:valAx>
        <c:axId val="100505088"/>
        <c:scaling>
          <c:orientation val="minMax"/>
        </c:scaling>
        <c:delete val="0"/>
        <c:axPos val="b"/>
        <c:numFmt formatCode="General" sourceLinked="1"/>
        <c:majorTickMark val="out"/>
        <c:minorTickMark val="none"/>
        <c:tickLblPos val="nextTo"/>
        <c:crossAx val="100506624"/>
        <c:crosses val="autoZero"/>
        <c:crossBetween val="midCat"/>
      </c:valAx>
      <c:valAx>
        <c:axId val="100506624"/>
        <c:scaling>
          <c:orientation val="minMax"/>
        </c:scaling>
        <c:delete val="0"/>
        <c:axPos val="l"/>
        <c:majorGridlines/>
        <c:numFmt formatCode="0.0" sourceLinked="1"/>
        <c:majorTickMark val="out"/>
        <c:minorTickMark val="none"/>
        <c:tickLblPos val="nextTo"/>
        <c:crossAx val="1005050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5875"/>
          </c:spPr>
          <c:marker>
            <c:symbol val="diamond"/>
            <c:size val="2"/>
          </c:marker>
          <c:xVal>
            <c:numRef>
              <c:f>czeta_bkwd_3075s_trend_v3!$W$149:$W$158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czeta_bkwd_3075s_trend_v3!$X$149:$X$158</c:f>
              <c:numCache>
                <c:formatCode>0.0000</c:formatCode>
                <c:ptCount val="10"/>
                <c:pt idx="0">
                  <c:v>1.2719377964304703</c:v>
                </c:pt>
                <c:pt idx="1">
                  <c:v>0.96145357598157333</c:v>
                </c:pt>
                <c:pt idx="2">
                  <c:v>0.82946548223307215</c:v>
                </c:pt>
                <c:pt idx="3">
                  <c:v>0.74932421258594284</c:v>
                </c:pt>
                <c:pt idx="4">
                  <c:v>0.69127712745711423</c:v>
                </c:pt>
                <c:pt idx="5">
                  <c:v>0.53698545571268352</c:v>
                </c:pt>
                <c:pt idx="6">
                  <c:v>0.43470787984188836</c:v>
                </c:pt>
                <c:pt idx="7">
                  <c:v>0.38179437755434958</c:v>
                </c:pt>
                <c:pt idx="8">
                  <c:v>0.34849284928886071</c:v>
                </c:pt>
                <c:pt idx="9">
                  <c:v>0.32816631833683368</c:v>
                </c:pt>
              </c:numCache>
            </c:numRef>
          </c:yVal>
          <c:smooth val="0"/>
        </c:ser>
        <c:ser>
          <c:idx val="1"/>
          <c:order val="1"/>
          <c:spPr>
            <a:ln w="15875"/>
          </c:spPr>
          <c:marker>
            <c:symbol val="square"/>
            <c:size val="2"/>
          </c:marker>
          <c:xVal>
            <c:numRef>
              <c:f>czeta_bkwd_3075s_trend_v3!$Y$149:$Y$158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czeta_bkwd_3075s_trend_v3!$Z$149:$Z$158</c:f>
              <c:numCache>
                <c:formatCode>0.0000</c:formatCode>
                <c:ptCount val="10"/>
                <c:pt idx="0">
                  <c:v>1.214204604920285</c:v>
                </c:pt>
                <c:pt idx="1">
                  <c:v>0.94178558278660662</c:v>
                </c:pt>
                <c:pt idx="2">
                  <c:v>0.83143438654578949</c:v>
                </c:pt>
                <c:pt idx="3">
                  <c:v>0.76534004310976567</c:v>
                </c:pt>
                <c:pt idx="4">
                  <c:v>0.71786624837291457</c:v>
                </c:pt>
                <c:pt idx="5">
                  <c:v>0.57439876697917092</c:v>
                </c:pt>
                <c:pt idx="6">
                  <c:v>0.47089010691917027</c:v>
                </c:pt>
                <c:pt idx="7">
                  <c:v>0.41902719697489649</c:v>
                </c:pt>
                <c:pt idx="8">
                  <c:v>0.38382582895724304</c:v>
                </c:pt>
                <c:pt idx="9">
                  <c:v>0.35861669533023494</c:v>
                </c:pt>
              </c:numCache>
            </c:numRef>
          </c:yVal>
          <c:smooth val="0"/>
        </c:ser>
        <c:ser>
          <c:idx val="2"/>
          <c:order val="2"/>
          <c:spPr>
            <a:ln w="15875"/>
          </c:spPr>
          <c:marker>
            <c:symbol val="triangle"/>
            <c:size val="2"/>
          </c:marker>
          <c:xVal>
            <c:numRef>
              <c:f>czeta_bkwd_3075s_trend_v3!$AA$149:$AA$158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czeta_bkwd_3075s_trend_v3!$AB$149:$AB$158</c:f>
              <c:numCache>
                <c:formatCode>0.0000</c:formatCode>
                <c:ptCount val="10"/>
                <c:pt idx="0">
                  <c:v>1.0520690888441584</c:v>
                </c:pt>
                <c:pt idx="1">
                  <c:v>0.81696163592350124</c:v>
                </c:pt>
                <c:pt idx="2">
                  <c:v>0.71089158053897417</c:v>
                </c:pt>
                <c:pt idx="3">
                  <c:v>0.64386512626185421</c:v>
                </c:pt>
                <c:pt idx="4">
                  <c:v>0.59470835295325186</c:v>
                </c:pt>
                <c:pt idx="5">
                  <c:v>0.47969906728214473</c:v>
                </c:pt>
                <c:pt idx="6">
                  <c:v>0.39728546236880097</c:v>
                </c:pt>
                <c:pt idx="7">
                  <c:v>0.35234672795609262</c:v>
                </c:pt>
                <c:pt idx="8">
                  <c:v>0.32362286363689469</c:v>
                </c:pt>
                <c:pt idx="9">
                  <c:v>0.3056214303270221</c:v>
                </c:pt>
              </c:numCache>
            </c:numRef>
          </c:yVal>
          <c:smooth val="0"/>
        </c:ser>
        <c:dLbls>
          <c:showLegendKey val="0"/>
          <c:showVal val="0"/>
          <c:showCatName val="0"/>
          <c:showSerName val="0"/>
          <c:showPercent val="0"/>
          <c:showBubbleSize val="0"/>
        </c:dLbls>
        <c:axId val="147014016"/>
        <c:axId val="147015552"/>
      </c:scatterChart>
      <c:valAx>
        <c:axId val="147014016"/>
        <c:scaling>
          <c:orientation val="minMax"/>
        </c:scaling>
        <c:delete val="0"/>
        <c:axPos val="b"/>
        <c:numFmt formatCode="General" sourceLinked="1"/>
        <c:majorTickMark val="out"/>
        <c:minorTickMark val="none"/>
        <c:tickLblPos val="nextTo"/>
        <c:crossAx val="147015552"/>
        <c:crosses val="autoZero"/>
        <c:crossBetween val="midCat"/>
      </c:valAx>
      <c:valAx>
        <c:axId val="147015552"/>
        <c:scaling>
          <c:orientation val="minMax"/>
        </c:scaling>
        <c:delete val="0"/>
        <c:axPos val="l"/>
        <c:majorGridlines/>
        <c:numFmt formatCode="0.0000" sourceLinked="1"/>
        <c:majorTickMark val="out"/>
        <c:minorTickMark val="none"/>
        <c:tickLblPos val="nextTo"/>
        <c:crossAx val="1470140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czeta_bkwd_3171s_trend_v5!$B$30:$B$39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czeta_bkwd_3171s_trend_v5!$C$30:$C$39</c:f>
              <c:numCache>
                <c:formatCode>0.00</c:formatCode>
                <c:ptCount val="10"/>
                <c:pt idx="0">
                  <c:v>2</c:v>
                </c:pt>
                <c:pt idx="1">
                  <c:v>4</c:v>
                </c:pt>
                <c:pt idx="2">
                  <c:v>5.8</c:v>
                </c:pt>
                <c:pt idx="3">
                  <c:v>7.51</c:v>
                </c:pt>
                <c:pt idx="4">
                  <c:v>9</c:v>
                </c:pt>
                <c:pt idx="5">
                  <c:v>11.51</c:v>
                </c:pt>
                <c:pt idx="6">
                  <c:v>13</c:v>
                </c:pt>
                <c:pt idx="7">
                  <c:v>13</c:v>
                </c:pt>
                <c:pt idx="8">
                  <c:v>13</c:v>
                </c:pt>
                <c:pt idx="9">
                  <c:v>13</c:v>
                </c:pt>
              </c:numCache>
            </c:numRef>
          </c:yVal>
          <c:smooth val="0"/>
        </c:ser>
        <c:dLbls>
          <c:showLegendKey val="0"/>
          <c:showVal val="0"/>
          <c:showCatName val="0"/>
          <c:showSerName val="0"/>
          <c:showPercent val="0"/>
          <c:showBubbleSize val="0"/>
        </c:dLbls>
        <c:axId val="146521472"/>
        <c:axId val="146539648"/>
      </c:scatterChart>
      <c:valAx>
        <c:axId val="146521472"/>
        <c:scaling>
          <c:orientation val="minMax"/>
        </c:scaling>
        <c:delete val="0"/>
        <c:axPos val="b"/>
        <c:numFmt formatCode="General" sourceLinked="1"/>
        <c:majorTickMark val="out"/>
        <c:minorTickMark val="none"/>
        <c:tickLblPos val="nextTo"/>
        <c:crossAx val="146539648"/>
        <c:crosses val="autoZero"/>
        <c:crossBetween val="midCat"/>
      </c:valAx>
      <c:valAx>
        <c:axId val="146539648"/>
        <c:scaling>
          <c:orientation val="minMax"/>
        </c:scaling>
        <c:delete val="0"/>
        <c:axPos val="l"/>
        <c:majorGridlines/>
        <c:numFmt formatCode="0.00" sourceLinked="1"/>
        <c:majorTickMark val="out"/>
        <c:minorTickMark val="none"/>
        <c:tickLblPos val="nextTo"/>
        <c:crossAx val="146521472"/>
        <c:crosses val="autoZero"/>
        <c:crossBetween val="midCat"/>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czeta_bkwd_3171s_trend_v5!$B$30:$B$39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czeta_bkwd_3171s_trend_v5!$D$30:$D$39</c:f>
              <c:numCache>
                <c:formatCode>0.00</c:formatCode>
                <c:ptCount val="10"/>
                <c:pt idx="0">
                  <c:v>0.75</c:v>
                </c:pt>
                <c:pt idx="1">
                  <c:v>2</c:v>
                </c:pt>
                <c:pt idx="2">
                  <c:v>3.3</c:v>
                </c:pt>
                <c:pt idx="3">
                  <c:v>4.7</c:v>
                </c:pt>
                <c:pt idx="4">
                  <c:v>5.9</c:v>
                </c:pt>
                <c:pt idx="5">
                  <c:v>10</c:v>
                </c:pt>
                <c:pt idx="6">
                  <c:v>13</c:v>
                </c:pt>
                <c:pt idx="7">
                  <c:v>13</c:v>
                </c:pt>
                <c:pt idx="8">
                  <c:v>13</c:v>
                </c:pt>
                <c:pt idx="9">
                  <c:v>13</c:v>
                </c:pt>
              </c:numCache>
            </c:numRef>
          </c:yVal>
          <c:smooth val="0"/>
        </c:ser>
        <c:dLbls>
          <c:showLegendKey val="0"/>
          <c:showVal val="0"/>
          <c:showCatName val="0"/>
          <c:showSerName val="0"/>
          <c:showPercent val="0"/>
          <c:showBubbleSize val="0"/>
        </c:dLbls>
        <c:axId val="146567552"/>
        <c:axId val="146569088"/>
      </c:scatterChart>
      <c:valAx>
        <c:axId val="146567552"/>
        <c:scaling>
          <c:orientation val="minMax"/>
        </c:scaling>
        <c:delete val="0"/>
        <c:axPos val="b"/>
        <c:numFmt formatCode="General" sourceLinked="1"/>
        <c:majorTickMark val="out"/>
        <c:minorTickMark val="none"/>
        <c:tickLblPos val="nextTo"/>
        <c:crossAx val="146569088"/>
        <c:crosses val="autoZero"/>
        <c:crossBetween val="midCat"/>
      </c:valAx>
      <c:valAx>
        <c:axId val="146569088"/>
        <c:scaling>
          <c:orientation val="minMax"/>
        </c:scaling>
        <c:delete val="0"/>
        <c:axPos val="l"/>
        <c:majorGridlines/>
        <c:numFmt formatCode="0.00" sourceLinked="1"/>
        <c:majorTickMark val="out"/>
        <c:minorTickMark val="none"/>
        <c:tickLblPos val="nextTo"/>
        <c:crossAx val="14656755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rzeta_bkwd_sh_kmod_orig!$AA$6:$AA$15</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rzeta_bkwd_sh_kmod_orig!$AB$6:$AB$15</c:f>
              <c:numCache>
                <c:formatCode>0</c:formatCode>
                <c:ptCount val="10"/>
                <c:pt idx="0">
                  <c:v>36.5</c:v>
                </c:pt>
                <c:pt idx="1">
                  <c:v>64</c:v>
                </c:pt>
                <c:pt idx="2">
                  <c:v>92.5</c:v>
                </c:pt>
                <c:pt idx="3">
                  <c:v>119.5</c:v>
                </c:pt>
                <c:pt idx="4">
                  <c:v>145.5</c:v>
                </c:pt>
                <c:pt idx="5">
                  <c:v>269.5</c:v>
                </c:pt>
                <c:pt idx="6">
                  <c:v>532</c:v>
                </c:pt>
                <c:pt idx="7">
                  <c:v>852</c:v>
                </c:pt>
                <c:pt idx="8">
                  <c:v>1166</c:v>
                </c:pt>
                <c:pt idx="9">
                  <c:v>1467</c:v>
                </c:pt>
              </c:numCache>
            </c:numRef>
          </c:yVal>
          <c:smooth val="1"/>
        </c:ser>
        <c:dLbls>
          <c:showLegendKey val="0"/>
          <c:showVal val="0"/>
          <c:showCatName val="0"/>
          <c:showSerName val="0"/>
          <c:showPercent val="0"/>
          <c:showBubbleSize val="0"/>
        </c:dLbls>
        <c:axId val="107393408"/>
        <c:axId val="107394944"/>
      </c:scatterChart>
      <c:valAx>
        <c:axId val="107393408"/>
        <c:scaling>
          <c:orientation val="minMax"/>
        </c:scaling>
        <c:delete val="0"/>
        <c:axPos val="b"/>
        <c:numFmt formatCode="General" sourceLinked="1"/>
        <c:majorTickMark val="out"/>
        <c:minorTickMark val="none"/>
        <c:tickLblPos val="nextTo"/>
        <c:crossAx val="107394944"/>
        <c:crosses val="autoZero"/>
        <c:crossBetween val="midCat"/>
      </c:valAx>
      <c:valAx>
        <c:axId val="107394944"/>
        <c:scaling>
          <c:orientation val="minMax"/>
        </c:scaling>
        <c:delete val="0"/>
        <c:axPos val="l"/>
        <c:majorGridlines/>
        <c:numFmt formatCode="0" sourceLinked="1"/>
        <c:majorTickMark val="out"/>
        <c:minorTickMark val="none"/>
        <c:tickLblPos val="nextTo"/>
        <c:crossAx val="107393408"/>
        <c:crosses val="autoZero"/>
        <c:crossBetween val="midCat"/>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rendline>
            <c:trendlineType val="poly"/>
            <c:order val="3"/>
            <c:dispRSqr val="1"/>
            <c:dispEq val="1"/>
            <c:trendlineLbl>
              <c:layout>
                <c:manualLayout>
                  <c:x val="-0.16819235567514909"/>
                  <c:y val="-3.9199520918347733E-2"/>
                </c:manualLayout>
              </c:layout>
              <c:numFmt formatCode="#,##0.00000" sourceLinked="0"/>
              <c:txPr>
                <a:bodyPr/>
                <a:lstStyle/>
                <a:p>
                  <a:pPr>
                    <a:defRPr sz="1100"/>
                  </a:pPr>
                  <a:endParaRPr lang="en-US"/>
                </a:p>
              </c:txPr>
            </c:trendlineLbl>
          </c:trendline>
          <c:xVal>
            <c:numRef>
              <c:f>czeta_bkwd_3171s_trend_v5!$C$83:$C$87</c:f>
              <c:numCache>
                <c:formatCode>General</c:formatCode>
                <c:ptCount val="5"/>
                <c:pt idx="0">
                  <c:v>10</c:v>
                </c:pt>
                <c:pt idx="1">
                  <c:v>20</c:v>
                </c:pt>
                <c:pt idx="2">
                  <c:v>30</c:v>
                </c:pt>
                <c:pt idx="3">
                  <c:v>40</c:v>
                </c:pt>
                <c:pt idx="4">
                  <c:v>50</c:v>
                </c:pt>
              </c:numCache>
            </c:numRef>
          </c:xVal>
          <c:yVal>
            <c:numRef>
              <c:f>czeta_bkwd_3171s_trend_v5!$D$83:$D$87</c:f>
              <c:numCache>
                <c:formatCode>General</c:formatCode>
                <c:ptCount val="5"/>
                <c:pt idx="0">
                  <c:v>169.8</c:v>
                </c:pt>
                <c:pt idx="1">
                  <c:v>276.8</c:v>
                </c:pt>
                <c:pt idx="2">
                  <c:v>372.2</c:v>
                </c:pt>
                <c:pt idx="3">
                  <c:v>462</c:v>
                </c:pt>
                <c:pt idx="4">
                  <c:v>538.29999999999995</c:v>
                </c:pt>
              </c:numCache>
            </c:numRef>
          </c:yVal>
          <c:smooth val="0"/>
        </c:ser>
        <c:dLbls>
          <c:showLegendKey val="0"/>
          <c:showVal val="0"/>
          <c:showCatName val="0"/>
          <c:showSerName val="0"/>
          <c:showPercent val="0"/>
          <c:showBubbleSize val="0"/>
        </c:dLbls>
        <c:axId val="146589568"/>
        <c:axId val="146591104"/>
      </c:scatterChart>
      <c:valAx>
        <c:axId val="146589568"/>
        <c:scaling>
          <c:orientation val="minMax"/>
        </c:scaling>
        <c:delete val="0"/>
        <c:axPos val="b"/>
        <c:numFmt formatCode="General" sourceLinked="1"/>
        <c:majorTickMark val="out"/>
        <c:minorTickMark val="none"/>
        <c:tickLblPos val="nextTo"/>
        <c:crossAx val="146591104"/>
        <c:crosses val="autoZero"/>
        <c:crossBetween val="midCat"/>
      </c:valAx>
      <c:valAx>
        <c:axId val="146591104"/>
        <c:scaling>
          <c:orientation val="minMax"/>
        </c:scaling>
        <c:delete val="0"/>
        <c:axPos val="l"/>
        <c:majorGridlines/>
        <c:numFmt formatCode="General" sourceLinked="1"/>
        <c:majorTickMark val="out"/>
        <c:minorTickMark val="none"/>
        <c:tickLblPos val="nextTo"/>
        <c:crossAx val="146589568"/>
        <c:crosses val="autoZero"/>
        <c:crossBetween val="midCat"/>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czeta_bkwd_3171s_trend_v5!$C$52:$C$57</c:f>
              <c:numCache>
                <c:formatCode>General</c:formatCode>
                <c:ptCount val="6"/>
                <c:pt idx="0">
                  <c:v>1</c:v>
                </c:pt>
                <c:pt idx="1">
                  <c:v>2</c:v>
                </c:pt>
                <c:pt idx="2">
                  <c:v>3</c:v>
                </c:pt>
                <c:pt idx="3">
                  <c:v>4</c:v>
                </c:pt>
                <c:pt idx="4">
                  <c:v>5</c:v>
                </c:pt>
                <c:pt idx="5">
                  <c:v>10</c:v>
                </c:pt>
              </c:numCache>
            </c:numRef>
          </c:xVal>
          <c:yVal>
            <c:numRef>
              <c:f>czeta_bkwd_3171s_trend_v5!$D$52:$D$57</c:f>
              <c:numCache>
                <c:formatCode>General</c:formatCode>
                <c:ptCount val="6"/>
                <c:pt idx="0">
                  <c:v>27.5</c:v>
                </c:pt>
                <c:pt idx="1">
                  <c:v>50.9</c:v>
                </c:pt>
                <c:pt idx="2">
                  <c:v>70.2</c:v>
                </c:pt>
                <c:pt idx="3">
                  <c:v>88.2</c:v>
                </c:pt>
                <c:pt idx="4">
                  <c:v>104.6</c:v>
                </c:pt>
                <c:pt idx="5">
                  <c:v>169.8</c:v>
                </c:pt>
              </c:numCache>
            </c:numRef>
          </c:yVal>
          <c:smooth val="0"/>
        </c:ser>
        <c:dLbls>
          <c:showLegendKey val="0"/>
          <c:showVal val="0"/>
          <c:showCatName val="0"/>
          <c:showSerName val="0"/>
          <c:showPercent val="0"/>
          <c:showBubbleSize val="0"/>
        </c:dLbls>
        <c:axId val="147085952"/>
        <c:axId val="147091840"/>
      </c:scatterChart>
      <c:valAx>
        <c:axId val="147085952"/>
        <c:scaling>
          <c:orientation val="minMax"/>
        </c:scaling>
        <c:delete val="0"/>
        <c:axPos val="b"/>
        <c:numFmt formatCode="General" sourceLinked="1"/>
        <c:majorTickMark val="out"/>
        <c:minorTickMark val="none"/>
        <c:tickLblPos val="nextTo"/>
        <c:crossAx val="147091840"/>
        <c:crosses val="autoZero"/>
        <c:crossBetween val="midCat"/>
      </c:valAx>
      <c:valAx>
        <c:axId val="147091840"/>
        <c:scaling>
          <c:orientation val="minMax"/>
        </c:scaling>
        <c:delete val="0"/>
        <c:axPos val="l"/>
        <c:majorGridlines/>
        <c:numFmt formatCode="General" sourceLinked="1"/>
        <c:majorTickMark val="out"/>
        <c:minorTickMark val="none"/>
        <c:tickLblPos val="nextTo"/>
        <c:crossAx val="147085952"/>
        <c:crosses val="autoZero"/>
        <c:crossBetween val="midCat"/>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czeta_bkwd_3171s_trend_v5!$H$78:$H$87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czeta_bkwd_3171s_trend_v5!$I$78:$I$87</c:f>
              <c:numCache>
                <c:formatCode>0.0</c:formatCode>
                <c:ptCount val="10"/>
                <c:pt idx="0">
                  <c:v>27.683116795983914</c:v>
                </c:pt>
                <c:pt idx="1">
                  <c:v>50.397977362243559</c:v>
                </c:pt>
                <c:pt idx="2">
                  <c:v>70.508605189003163</c:v>
                </c:pt>
                <c:pt idx="3">
                  <c:v>88.389311000781419</c:v>
                </c:pt>
                <c:pt idx="4">
                  <c:v>104.41440552209707</c:v>
                </c:pt>
                <c:pt idx="5">
                  <c:v>169.90257777923114</c:v>
                </c:pt>
                <c:pt idx="6">
                  <c:v>276.0057142857143</c:v>
                </c:pt>
                <c:pt idx="7">
                  <c:v>373.39142857142855</c:v>
                </c:pt>
                <c:pt idx="8">
                  <c:v>461.20571428571418</c:v>
                </c:pt>
                <c:pt idx="9">
                  <c:v>538.49857142857138</c:v>
                </c:pt>
              </c:numCache>
            </c:numRef>
          </c:yVal>
          <c:smooth val="0"/>
        </c:ser>
        <c:dLbls>
          <c:showLegendKey val="0"/>
          <c:showVal val="0"/>
          <c:showCatName val="0"/>
          <c:showSerName val="0"/>
          <c:showPercent val="0"/>
          <c:showBubbleSize val="0"/>
        </c:dLbls>
        <c:axId val="147103104"/>
        <c:axId val="147108992"/>
      </c:scatterChart>
      <c:valAx>
        <c:axId val="147103104"/>
        <c:scaling>
          <c:orientation val="minMax"/>
        </c:scaling>
        <c:delete val="0"/>
        <c:axPos val="b"/>
        <c:numFmt formatCode="General" sourceLinked="1"/>
        <c:majorTickMark val="out"/>
        <c:minorTickMark val="none"/>
        <c:tickLblPos val="nextTo"/>
        <c:crossAx val="147108992"/>
        <c:crosses val="autoZero"/>
        <c:crossBetween val="midCat"/>
      </c:valAx>
      <c:valAx>
        <c:axId val="147108992"/>
        <c:scaling>
          <c:orientation val="minMax"/>
        </c:scaling>
        <c:delete val="0"/>
        <c:axPos val="l"/>
        <c:majorGridlines/>
        <c:numFmt formatCode="0.0" sourceLinked="1"/>
        <c:majorTickMark val="out"/>
        <c:minorTickMark val="none"/>
        <c:tickLblPos val="nextTo"/>
        <c:crossAx val="1471031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5875"/>
          </c:spPr>
          <c:marker>
            <c:symbol val="diamond"/>
            <c:size val="2"/>
          </c:marker>
          <c:xVal>
            <c:numRef>
              <c:f>czeta_bkwd_3171s_trend_v5!$W$149:$W$158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czeta_bkwd_3171s_trend_v5!$X$149:$X$158</c:f>
              <c:numCache>
                <c:formatCode>0.0000</c:formatCode>
                <c:ptCount val="10"/>
                <c:pt idx="0">
                  <c:v>1.2719377964304703</c:v>
                </c:pt>
                <c:pt idx="1">
                  <c:v>0.96145357598157333</c:v>
                </c:pt>
                <c:pt idx="2">
                  <c:v>0.82946548223307215</c:v>
                </c:pt>
                <c:pt idx="3">
                  <c:v>0.74932421258594284</c:v>
                </c:pt>
                <c:pt idx="4">
                  <c:v>0.69127712745711423</c:v>
                </c:pt>
                <c:pt idx="5">
                  <c:v>0.53698545571268352</c:v>
                </c:pt>
                <c:pt idx="6">
                  <c:v>0.43470787984188836</c:v>
                </c:pt>
                <c:pt idx="7">
                  <c:v>0.38179437755434958</c:v>
                </c:pt>
                <c:pt idx="8">
                  <c:v>0.34849284928886071</c:v>
                </c:pt>
                <c:pt idx="9">
                  <c:v>0.32816631833683368</c:v>
                </c:pt>
              </c:numCache>
            </c:numRef>
          </c:yVal>
          <c:smooth val="0"/>
        </c:ser>
        <c:ser>
          <c:idx val="1"/>
          <c:order val="1"/>
          <c:spPr>
            <a:ln w="15875"/>
          </c:spPr>
          <c:marker>
            <c:symbol val="square"/>
            <c:size val="2"/>
          </c:marker>
          <c:xVal>
            <c:numRef>
              <c:f>czeta_bkwd_3171s_trend_v5!$Y$149:$Y$158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czeta_bkwd_3171s_trend_v5!$Z$149:$Z$158</c:f>
              <c:numCache>
                <c:formatCode>0.0000</c:formatCode>
                <c:ptCount val="10"/>
                <c:pt idx="0">
                  <c:v>1.214204604920285</c:v>
                </c:pt>
                <c:pt idx="1">
                  <c:v>0.94178558278660662</c:v>
                </c:pt>
                <c:pt idx="2">
                  <c:v>0.83143438654578949</c:v>
                </c:pt>
                <c:pt idx="3">
                  <c:v>0.76534004310976567</c:v>
                </c:pt>
                <c:pt idx="4">
                  <c:v>0.71786624837291457</c:v>
                </c:pt>
                <c:pt idx="5">
                  <c:v>0.57439876697917092</c:v>
                </c:pt>
                <c:pt idx="6">
                  <c:v>0.47089010691917027</c:v>
                </c:pt>
                <c:pt idx="7">
                  <c:v>0.41902719697489649</c:v>
                </c:pt>
                <c:pt idx="8">
                  <c:v>0.38382582895724304</c:v>
                </c:pt>
                <c:pt idx="9">
                  <c:v>0.35861669533023494</c:v>
                </c:pt>
              </c:numCache>
            </c:numRef>
          </c:yVal>
          <c:smooth val="0"/>
        </c:ser>
        <c:ser>
          <c:idx val="2"/>
          <c:order val="2"/>
          <c:spPr>
            <a:ln w="15875"/>
          </c:spPr>
          <c:marker>
            <c:symbol val="triangle"/>
            <c:size val="2"/>
          </c:marker>
          <c:xVal>
            <c:numRef>
              <c:f>czeta_bkwd_3171s_trend_v5!$AA$149:$AA$158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czeta_bkwd_3171s_trend_v5!$AB$149:$AB$158</c:f>
              <c:numCache>
                <c:formatCode>0.0000</c:formatCode>
                <c:ptCount val="10"/>
                <c:pt idx="0">
                  <c:v>1.0520690888441584</c:v>
                </c:pt>
                <c:pt idx="1">
                  <c:v>0.81696163592350124</c:v>
                </c:pt>
                <c:pt idx="2">
                  <c:v>0.71089158053897417</c:v>
                </c:pt>
                <c:pt idx="3">
                  <c:v>0.64386512626185421</c:v>
                </c:pt>
                <c:pt idx="4">
                  <c:v>0.59470835295325186</c:v>
                </c:pt>
                <c:pt idx="5">
                  <c:v>0.47969906728214473</c:v>
                </c:pt>
                <c:pt idx="6">
                  <c:v>0.39728546236880097</c:v>
                </c:pt>
                <c:pt idx="7">
                  <c:v>0.35234672795609262</c:v>
                </c:pt>
                <c:pt idx="8">
                  <c:v>0.32362286363689469</c:v>
                </c:pt>
                <c:pt idx="9">
                  <c:v>0.3056214303270221</c:v>
                </c:pt>
              </c:numCache>
            </c:numRef>
          </c:yVal>
          <c:smooth val="0"/>
        </c:ser>
        <c:dLbls>
          <c:showLegendKey val="0"/>
          <c:showVal val="0"/>
          <c:showCatName val="0"/>
          <c:showSerName val="0"/>
          <c:showPercent val="0"/>
          <c:showBubbleSize val="0"/>
        </c:dLbls>
        <c:axId val="147138816"/>
        <c:axId val="147148800"/>
      </c:scatterChart>
      <c:valAx>
        <c:axId val="147138816"/>
        <c:scaling>
          <c:orientation val="minMax"/>
        </c:scaling>
        <c:delete val="0"/>
        <c:axPos val="b"/>
        <c:numFmt formatCode="General" sourceLinked="1"/>
        <c:majorTickMark val="out"/>
        <c:minorTickMark val="none"/>
        <c:tickLblPos val="nextTo"/>
        <c:crossAx val="147148800"/>
        <c:crosses val="autoZero"/>
        <c:crossBetween val="midCat"/>
      </c:valAx>
      <c:valAx>
        <c:axId val="147148800"/>
        <c:scaling>
          <c:orientation val="minMax"/>
        </c:scaling>
        <c:delete val="0"/>
        <c:axPos val="l"/>
        <c:majorGridlines/>
        <c:numFmt formatCode="0.0000" sourceLinked="1"/>
        <c:majorTickMark val="out"/>
        <c:minorTickMark val="none"/>
        <c:tickLblPos val="nextTo"/>
        <c:crossAx val="1471388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czeta_bkwd_3304s_trend_v6!$B$30:$B$39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czeta_bkwd_3304s_trend_v6!$C$30:$C$39</c:f>
              <c:numCache>
                <c:formatCode>0.00</c:formatCode>
                <c:ptCount val="10"/>
                <c:pt idx="0">
                  <c:v>2</c:v>
                </c:pt>
                <c:pt idx="1">
                  <c:v>4</c:v>
                </c:pt>
                <c:pt idx="2">
                  <c:v>5.8</c:v>
                </c:pt>
                <c:pt idx="3">
                  <c:v>7.51</c:v>
                </c:pt>
                <c:pt idx="4">
                  <c:v>9</c:v>
                </c:pt>
                <c:pt idx="5">
                  <c:v>11.51</c:v>
                </c:pt>
                <c:pt idx="6">
                  <c:v>13</c:v>
                </c:pt>
                <c:pt idx="7">
                  <c:v>13</c:v>
                </c:pt>
                <c:pt idx="8">
                  <c:v>13</c:v>
                </c:pt>
                <c:pt idx="9">
                  <c:v>13</c:v>
                </c:pt>
              </c:numCache>
            </c:numRef>
          </c:yVal>
          <c:smooth val="0"/>
        </c:ser>
        <c:dLbls>
          <c:showLegendKey val="0"/>
          <c:showVal val="0"/>
          <c:showCatName val="0"/>
          <c:showSerName val="0"/>
          <c:showPercent val="0"/>
          <c:showBubbleSize val="0"/>
        </c:dLbls>
        <c:axId val="147301888"/>
        <c:axId val="147303424"/>
      </c:scatterChart>
      <c:valAx>
        <c:axId val="147301888"/>
        <c:scaling>
          <c:orientation val="minMax"/>
        </c:scaling>
        <c:delete val="0"/>
        <c:axPos val="b"/>
        <c:numFmt formatCode="General" sourceLinked="1"/>
        <c:majorTickMark val="out"/>
        <c:minorTickMark val="none"/>
        <c:tickLblPos val="nextTo"/>
        <c:crossAx val="147303424"/>
        <c:crosses val="autoZero"/>
        <c:crossBetween val="midCat"/>
      </c:valAx>
      <c:valAx>
        <c:axId val="147303424"/>
        <c:scaling>
          <c:orientation val="minMax"/>
        </c:scaling>
        <c:delete val="0"/>
        <c:axPos val="l"/>
        <c:majorGridlines/>
        <c:numFmt formatCode="0.00" sourceLinked="1"/>
        <c:majorTickMark val="out"/>
        <c:minorTickMark val="none"/>
        <c:tickLblPos val="nextTo"/>
        <c:crossAx val="147301888"/>
        <c:crosses val="autoZero"/>
        <c:crossBetween val="midCat"/>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czeta_bkwd_3304s_trend_v6!$B$30:$B$39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czeta_bkwd_3304s_trend_v6!$D$30:$D$39</c:f>
              <c:numCache>
                <c:formatCode>0.00</c:formatCode>
                <c:ptCount val="10"/>
                <c:pt idx="0">
                  <c:v>0.75</c:v>
                </c:pt>
                <c:pt idx="1">
                  <c:v>2</c:v>
                </c:pt>
                <c:pt idx="2">
                  <c:v>3.3</c:v>
                </c:pt>
                <c:pt idx="3">
                  <c:v>4.7</c:v>
                </c:pt>
                <c:pt idx="4">
                  <c:v>5.9</c:v>
                </c:pt>
                <c:pt idx="5">
                  <c:v>10</c:v>
                </c:pt>
                <c:pt idx="6">
                  <c:v>13</c:v>
                </c:pt>
                <c:pt idx="7">
                  <c:v>13</c:v>
                </c:pt>
                <c:pt idx="8">
                  <c:v>13</c:v>
                </c:pt>
                <c:pt idx="9">
                  <c:v>13</c:v>
                </c:pt>
              </c:numCache>
            </c:numRef>
          </c:yVal>
          <c:smooth val="0"/>
        </c:ser>
        <c:dLbls>
          <c:showLegendKey val="0"/>
          <c:showVal val="0"/>
          <c:showCatName val="0"/>
          <c:showSerName val="0"/>
          <c:showPercent val="0"/>
          <c:showBubbleSize val="0"/>
        </c:dLbls>
        <c:axId val="147314944"/>
        <c:axId val="147316736"/>
      </c:scatterChart>
      <c:valAx>
        <c:axId val="147314944"/>
        <c:scaling>
          <c:orientation val="minMax"/>
        </c:scaling>
        <c:delete val="0"/>
        <c:axPos val="b"/>
        <c:numFmt formatCode="General" sourceLinked="1"/>
        <c:majorTickMark val="out"/>
        <c:minorTickMark val="none"/>
        <c:tickLblPos val="nextTo"/>
        <c:crossAx val="147316736"/>
        <c:crosses val="autoZero"/>
        <c:crossBetween val="midCat"/>
      </c:valAx>
      <c:valAx>
        <c:axId val="147316736"/>
        <c:scaling>
          <c:orientation val="minMax"/>
        </c:scaling>
        <c:delete val="0"/>
        <c:axPos val="l"/>
        <c:majorGridlines/>
        <c:numFmt formatCode="0.00" sourceLinked="1"/>
        <c:majorTickMark val="out"/>
        <c:minorTickMark val="none"/>
        <c:tickLblPos val="nextTo"/>
        <c:crossAx val="147314944"/>
        <c:crosses val="autoZero"/>
        <c:crossBetween val="midCat"/>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rendline>
            <c:trendlineType val="poly"/>
            <c:order val="3"/>
            <c:dispRSqr val="1"/>
            <c:dispEq val="1"/>
            <c:trendlineLbl>
              <c:layout>
                <c:manualLayout>
                  <c:x val="-0.16819235567514909"/>
                  <c:y val="-3.9199520918347733E-2"/>
                </c:manualLayout>
              </c:layout>
              <c:numFmt formatCode="#,##0.00000" sourceLinked="0"/>
              <c:txPr>
                <a:bodyPr/>
                <a:lstStyle/>
                <a:p>
                  <a:pPr>
                    <a:defRPr sz="1100"/>
                  </a:pPr>
                  <a:endParaRPr lang="en-US"/>
                </a:p>
              </c:txPr>
            </c:trendlineLbl>
          </c:trendline>
          <c:xVal>
            <c:numRef>
              <c:f>czeta_bkwd_3304s_trend_v6!$C$83:$C$87</c:f>
              <c:numCache>
                <c:formatCode>General</c:formatCode>
                <c:ptCount val="5"/>
                <c:pt idx="0">
                  <c:v>10</c:v>
                </c:pt>
                <c:pt idx="1">
                  <c:v>20</c:v>
                </c:pt>
                <c:pt idx="2">
                  <c:v>30</c:v>
                </c:pt>
                <c:pt idx="3">
                  <c:v>40</c:v>
                </c:pt>
                <c:pt idx="4">
                  <c:v>50</c:v>
                </c:pt>
              </c:numCache>
            </c:numRef>
          </c:xVal>
          <c:yVal>
            <c:numRef>
              <c:f>czeta_bkwd_3304s_trend_v6!$D$83:$D$87</c:f>
              <c:numCache>
                <c:formatCode>General</c:formatCode>
                <c:ptCount val="5"/>
                <c:pt idx="0">
                  <c:v>182</c:v>
                </c:pt>
                <c:pt idx="1">
                  <c:v>301.5</c:v>
                </c:pt>
                <c:pt idx="2">
                  <c:v>415.9</c:v>
                </c:pt>
                <c:pt idx="3">
                  <c:v>521.1</c:v>
                </c:pt>
                <c:pt idx="4">
                  <c:v>618.79999999999995</c:v>
                </c:pt>
              </c:numCache>
            </c:numRef>
          </c:yVal>
          <c:smooth val="0"/>
        </c:ser>
        <c:dLbls>
          <c:showLegendKey val="0"/>
          <c:showVal val="0"/>
          <c:showCatName val="0"/>
          <c:showSerName val="0"/>
          <c:showPercent val="0"/>
          <c:showBubbleSize val="0"/>
        </c:dLbls>
        <c:axId val="147202048"/>
        <c:axId val="147203584"/>
      </c:scatterChart>
      <c:valAx>
        <c:axId val="147202048"/>
        <c:scaling>
          <c:orientation val="minMax"/>
        </c:scaling>
        <c:delete val="0"/>
        <c:axPos val="b"/>
        <c:numFmt formatCode="General" sourceLinked="1"/>
        <c:majorTickMark val="out"/>
        <c:minorTickMark val="none"/>
        <c:tickLblPos val="nextTo"/>
        <c:crossAx val="147203584"/>
        <c:crosses val="autoZero"/>
        <c:crossBetween val="midCat"/>
      </c:valAx>
      <c:valAx>
        <c:axId val="147203584"/>
        <c:scaling>
          <c:orientation val="minMax"/>
        </c:scaling>
        <c:delete val="0"/>
        <c:axPos val="l"/>
        <c:majorGridlines/>
        <c:numFmt formatCode="General" sourceLinked="1"/>
        <c:majorTickMark val="out"/>
        <c:minorTickMark val="none"/>
        <c:tickLblPos val="nextTo"/>
        <c:crossAx val="147202048"/>
        <c:crosses val="autoZero"/>
        <c:crossBetween val="midCat"/>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czeta_bkwd_3304s_trend_v6!$C$52:$C$57</c:f>
              <c:numCache>
                <c:formatCode>General</c:formatCode>
                <c:ptCount val="6"/>
                <c:pt idx="0">
                  <c:v>1</c:v>
                </c:pt>
                <c:pt idx="1">
                  <c:v>2</c:v>
                </c:pt>
                <c:pt idx="2">
                  <c:v>3</c:v>
                </c:pt>
                <c:pt idx="3">
                  <c:v>4</c:v>
                </c:pt>
                <c:pt idx="4">
                  <c:v>5</c:v>
                </c:pt>
                <c:pt idx="5">
                  <c:v>10</c:v>
                </c:pt>
              </c:numCache>
            </c:numRef>
          </c:xVal>
          <c:yVal>
            <c:numRef>
              <c:f>czeta_bkwd_3304s_trend_v6!$D$52:$D$57</c:f>
              <c:numCache>
                <c:formatCode>General</c:formatCode>
                <c:ptCount val="6"/>
                <c:pt idx="0">
                  <c:v>29.7</c:v>
                </c:pt>
                <c:pt idx="1">
                  <c:v>57.5</c:v>
                </c:pt>
                <c:pt idx="2">
                  <c:v>79.5</c:v>
                </c:pt>
                <c:pt idx="3">
                  <c:v>98</c:v>
                </c:pt>
                <c:pt idx="4">
                  <c:v>113.4</c:v>
                </c:pt>
                <c:pt idx="5">
                  <c:v>182</c:v>
                </c:pt>
              </c:numCache>
            </c:numRef>
          </c:yVal>
          <c:smooth val="0"/>
        </c:ser>
        <c:dLbls>
          <c:showLegendKey val="0"/>
          <c:showVal val="0"/>
          <c:showCatName val="0"/>
          <c:showSerName val="0"/>
          <c:showPercent val="0"/>
          <c:showBubbleSize val="0"/>
        </c:dLbls>
        <c:axId val="147247872"/>
        <c:axId val="147249408"/>
      </c:scatterChart>
      <c:valAx>
        <c:axId val="147247872"/>
        <c:scaling>
          <c:orientation val="minMax"/>
        </c:scaling>
        <c:delete val="0"/>
        <c:axPos val="b"/>
        <c:numFmt formatCode="General" sourceLinked="1"/>
        <c:majorTickMark val="out"/>
        <c:minorTickMark val="none"/>
        <c:tickLblPos val="nextTo"/>
        <c:crossAx val="147249408"/>
        <c:crosses val="autoZero"/>
        <c:crossBetween val="midCat"/>
      </c:valAx>
      <c:valAx>
        <c:axId val="147249408"/>
        <c:scaling>
          <c:orientation val="minMax"/>
        </c:scaling>
        <c:delete val="0"/>
        <c:axPos val="l"/>
        <c:majorGridlines/>
        <c:numFmt formatCode="General" sourceLinked="1"/>
        <c:majorTickMark val="out"/>
        <c:minorTickMark val="none"/>
        <c:tickLblPos val="nextTo"/>
        <c:crossAx val="147247872"/>
        <c:crosses val="autoZero"/>
        <c:crossBetween val="midCat"/>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czeta_bkwd_3304s_trend_v6!$H$78:$H$87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czeta_bkwd_3304s_trend_v6!$I$78:$I$87</c:f>
              <c:numCache>
                <c:formatCode>0.0</c:formatCode>
                <c:ptCount val="10"/>
                <c:pt idx="0">
                  <c:v>29.773636248825888</c:v>
                </c:pt>
                <c:pt idx="1">
                  <c:v>57.282628994956212</c:v>
                </c:pt>
                <c:pt idx="2">
                  <c:v>79.677220954921793</c:v>
                </c:pt>
                <c:pt idx="3">
                  <c:v>98.014150965735524</c:v>
                </c:pt>
                <c:pt idx="4">
                  <c:v>113.35015786441029</c:v>
                </c:pt>
                <c:pt idx="5">
                  <c:v>181.95967391414661</c:v>
                </c:pt>
                <c:pt idx="6">
                  <c:v>301.8314285714286</c:v>
                </c:pt>
                <c:pt idx="7">
                  <c:v>415.40285714285716</c:v>
                </c:pt>
                <c:pt idx="8">
                  <c:v>521.43142857142857</c:v>
                </c:pt>
                <c:pt idx="9">
                  <c:v>618.71714285714279</c:v>
                </c:pt>
              </c:numCache>
            </c:numRef>
          </c:yVal>
          <c:smooth val="0"/>
        </c:ser>
        <c:dLbls>
          <c:showLegendKey val="0"/>
          <c:showVal val="0"/>
          <c:showCatName val="0"/>
          <c:showSerName val="0"/>
          <c:showPercent val="0"/>
          <c:showBubbleSize val="0"/>
        </c:dLbls>
        <c:axId val="147326464"/>
        <c:axId val="147328000"/>
      </c:scatterChart>
      <c:valAx>
        <c:axId val="147326464"/>
        <c:scaling>
          <c:orientation val="minMax"/>
        </c:scaling>
        <c:delete val="0"/>
        <c:axPos val="b"/>
        <c:numFmt formatCode="General" sourceLinked="1"/>
        <c:majorTickMark val="out"/>
        <c:minorTickMark val="none"/>
        <c:tickLblPos val="nextTo"/>
        <c:crossAx val="147328000"/>
        <c:crosses val="autoZero"/>
        <c:crossBetween val="midCat"/>
      </c:valAx>
      <c:valAx>
        <c:axId val="147328000"/>
        <c:scaling>
          <c:orientation val="minMax"/>
        </c:scaling>
        <c:delete val="0"/>
        <c:axPos val="l"/>
        <c:majorGridlines/>
        <c:numFmt formatCode="0.0" sourceLinked="1"/>
        <c:majorTickMark val="out"/>
        <c:minorTickMark val="none"/>
        <c:tickLblPos val="nextTo"/>
        <c:crossAx val="1473264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5875"/>
          </c:spPr>
          <c:marker>
            <c:symbol val="diamond"/>
            <c:size val="2"/>
          </c:marker>
          <c:xVal>
            <c:numRef>
              <c:f>czeta_bkwd_3304s_trend_v6!$W$149:$W$158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czeta_bkwd_3304s_trend_v6!$X$149:$X$158</c:f>
              <c:numCache>
                <c:formatCode>0.0000</c:formatCode>
                <c:ptCount val="10"/>
                <c:pt idx="0">
                  <c:v>1.2719377964304703</c:v>
                </c:pt>
                <c:pt idx="1">
                  <c:v>0.96145357598157333</c:v>
                </c:pt>
                <c:pt idx="2">
                  <c:v>0.82946548223307215</c:v>
                </c:pt>
                <c:pt idx="3">
                  <c:v>0.74932421258594284</c:v>
                </c:pt>
                <c:pt idx="4">
                  <c:v>0.69127712745711423</c:v>
                </c:pt>
                <c:pt idx="5">
                  <c:v>0.53698545571268352</c:v>
                </c:pt>
                <c:pt idx="6">
                  <c:v>0.43470787984188836</c:v>
                </c:pt>
                <c:pt idx="7">
                  <c:v>0.38179437755434958</c:v>
                </c:pt>
                <c:pt idx="8">
                  <c:v>0.34849284928886071</c:v>
                </c:pt>
                <c:pt idx="9">
                  <c:v>0.32816631833683368</c:v>
                </c:pt>
              </c:numCache>
            </c:numRef>
          </c:yVal>
          <c:smooth val="0"/>
        </c:ser>
        <c:ser>
          <c:idx val="1"/>
          <c:order val="1"/>
          <c:spPr>
            <a:ln w="15875"/>
          </c:spPr>
          <c:marker>
            <c:symbol val="square"/>
            <c:size val="2"/>
          </c:marker>
          <c:xVal>
            <c:numRef>
              <c:f>czeta_bkwd_3304s_trend_v6!$Y$149:$Y$158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czeta_bkwd_3304s_trend_v6!$Z$149:$Z$158</c:f>
              <c:numCache>
                <c:formatCode>0.0000</c:formatCode>
                <c:ptCount val="10"/>
                <c:pt idx="0">
                  <c:v>1.214204604920285</c:v>
                </c:pt>
                <c:pt idx="1">
                  <c:v>0.94178558278660662</c:v>
                </c:pt>
                <c:pt idx="2">
                  <c:v>0.83143438654578949</c:v>
                </c:pt>
                <c:pt idx="3">
                  <c:v>0.76534004310976567</c:v>
                </c:pt>
                <c:pt idx="4">
                  <c:v>0.71786624837291457</c:v>
                </c:pt>
                <c:pt idx="5">
                  <c:v>0.57439876697917092</c:v>
                </c:pt>
                <c:pt idx="6">
                  <c:v>0.47089010691917027</c:v>
                </c:pt>
                <c:pt idx="7">
                  <c:v>0.41902719697489649</c:v>
                </c:pt>
                <c:pt idx="8">
                  <c:v>0.38382582895724304</c:v>
                </c:pt>
                <c:pt idx="9">
                  <c:v>0.35861669533023494</c:v>
                </c:pt>
              </c:numCache>
            </c:numRef>
          </c:yVal>
          <c:smooth val="0"/>
        </c:ser>
        <c:ser>
          <c:idx val="2"/>
          <c:order val="2"/>
          <c:spPr>
            <a:ln w="15875"/>
          </c:spPr>
          <c:marker>
            <c:symbol val="triangle"/>
            <c:size val="2"/>
          </c:marker>
          <c:xVal>
            <c:numRef>
              <c:f>czeta_bkwd_3304s_trend_v6!$AA$149:$AA$158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czeta_bkwd_3304s_trend_v6!$AB$149:$AB$158</c:f>
              <c:numCache>
                <c:formatCode>0.0000</c:formatCode>
                <c:ptCount val="10"/>
                <c:pt idx="0">
                  <c:v>1.0520690888441584</c:v>
                </c:pt>
                <c:pt idx="1">
                  <c:v>0.81696163592350124</c:v>
                </c:pt>
                <c:pt idx="2">
                  <c:v>0.71089158053897417</c:v>
                </c:pt>
                <c:pt idx="3">
                  <c:v>0.64386512626185421</c:v>
                </c:pt>
                <c:pt idx="4">
                  <c:v>0.59470835295325186</c:v>
                </c:pt>
                <c:pt idx="5">
                  <c:v>0.47969906728214473</c:v>
                </c:pt>
                <c:pt idx="6">
                  <c:v>0.39728546236880097</c:v>
                </c:pt>
                <c:pt idx="7">
                  <c:v>0.35234672795609262</c:v>
                </c:pt>
                <c:pt idx="8">
                  <c:v>0.32362286363689469</c:v>
                </c:pt>
                <c:pt idx="9">
                  <c:v>0.3056214303270221</c:v>
                </c:pt>
              </c:numCache>
            </c:numRef>
          </c:yVal>
          <c:smooth val="0"/>
        </c:ser>
        <c:dLbls>
          <c:showLegendKey val="0"/>
          <c:showVal val="0"/>
          <c:showCatName val="0"/>
          <c:showSerName val="0"/>
          <c:showPercent val="0"/>
          <c:showBubbleSize val="0"/>
        </c:dLbls>
        <c:axId val="147374464"/>
        <c:axId val="147376000"/>
      </c:scatterChart>
      <c:valAx>
        <c:axId val="147374464"/>
        <c:scaling>
          <c:orientation val="minMax"/>
        </c:scaling>
        <c:delete val="0"/>
        <c:axPos val="b"/>
        <c:numFmt formatCode="General" sourceLinked="1"/>
        <c:majorTickMark val="out"/>
        <c:minorTickMark val="none"/>
        <c:tickLblPos val="nextTo"/>
        <c:crossAx val="147376000"/>
        <c:crosses val="autoZero"/>
        <c:crossBetween val="midCat"/>
      </c:valAx>
      <c:valAx>
        <c:axId val="147376000"/>
        <c:scaling>
          <c:orientation val="minMax"/>
        </c:scaling>
        <c:delete val="0"/>
        <c:axPos val="l"/>
        <c:majorGridlines/>
        <c:numFmt formatCode="0.0000" sourceLinked="1"/>
        <c:majorTickMark val="out"/>
        <c:minorTickMark val="none"/>
        <c:tickLblPos val="nextTo"/>
        <c:crossAx val="1473744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rzeta_bkwd_sh_kmod_orig!$AA$6:$AA$15</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rzeta_bkwd_sh_kmod_orig!$AC$6:$AC$15</c:f>
              <c:numCache>
                <c:formatCode>0.0</c:formatCode>
                <c:ptCount val="10"/>
                <c:pt idx="0">
                  <c:v>36.5</c:v>
                </c:pt>
                <c:pt idx="1">
                  <c:v>32</c:v>
                </c:pt>
                <c:pt idx="2">
                  <c:v>30.833333333333332</c:v>
                </c:pt>
                <c:pt idx="3">
                  <c:v>29.875</c:v>
                </c:pt>
                <c:pt idx="4">
                  <c:v>29.1</c:v>
                </c:pt>
                <c:pt idx="5">
                  <c:v>26.95</c:v>
                </c:pt>
                <c:pt idx="6">
                  <c:v>26.6</c:v>
                </c:pt>
                <c:pt idx="7">
                  <c:v>28.4</c:v>
                </c:pt>
                <c:pt idx="8">
                  <c:v>29.15</c:v>
                </c:pt>
                <c:pt idx="9">
                  <c:v>29.34</c:v>
                </c:pt>
              </c:numCache>
            </c:numRef>
          </c:yVal>
          <c:smooth val="1"/>
        </c:ser>
        <c:dLbls>
          <c:showLegendKey val="0"/>
          <c:showVal val="0"/>
          <c:showCatName val="0"/>
          <c:showSerName val="0"/>
          <c:showPercent val="0"/>
          <c:showBubbleSize val="0"/>
        </c:dLbls>
        <c:axId val="133891584"/>
        <c:axId val="133893120"/>
      </c:scatterChart>
      <c:valAx>
        <c:axId val="133891584"/>
        <c:scaling>
          <c:orientation val="minMax"/>
        </c:scaling>
        <c:delete val="0"/>
        <c:axPos val="b"/>
        <c:numFmt formatCode="General" sourceLinked="1"/>
        <c:majorTickMark val="out"/>
        <c:minorTickMark val="none"/>
        <c:tickLblPos val="nextTo"/>
        <c:crossAx val="133893120"/>
        <c:crosses val="autoZero"/>
        <c:crossBetween val="midCat"/>
      </c:valAx>
      <c:valAx>
        <c:axId val="133893120"/>
        <c:scaling>
          <c:orientation val="minMax"/>
          <c:min val="20"/>
        </c:scaling>
        <c:delete val="0"/>
        <c:axPos val="l"/>
        <c:majorGridlines/>
        <c:numFmt formatCode="0.0" sourceLinked="1"/>
        <c:majorTickMark val="out"/>
        <c:minorTickMark val="none"/>
        <c:tickLblPos val="nextTo"/>
        <c:crossAx val="133891584"/>
        <c:crosses val="autoZero"/>
        <c:crossBetween val="midCat"/>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czeta_bkwd_3304s_createcurve_01!$B$30:$B$39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czeta_bkwd_3304s_createcurve_01!$C$30:$C$39</c:f>
              <c:numCache>
                <c:formatCode>0.00</c:formatCode>
                <c:ptCount val="10"/>
                <c:pt idx="0">
                  <c:v>2</c:v>
                </c:pt>
                <c:pt idx="1">
                  <c:v>4</c:v>
                </c:pt>
                <c:pt idx="2">
                  <c:v>5.8</c:v>
                </c:pt>
                <c:pt idx="3">
                  <c:v>7.51</c:v>
                </c:pt>
                <c:pt idx="4">
                  <c:v>9</c:v>
                </c:pt>
                <c:pt idx="5">
                  <c:v>11.51</c:v>
                </c:pt>
                <c:pt idx="6">
                  <c:v>13</c:v>
                </c:pt>
                <c:pt idx="7">
                  <c:v>13</c:v>
                </c:pt>
                <c:pt idx="8">
                  <c:v>13</c:v>
                </c:pt>
                <c:pt idx="9">
                  <c:v>13</c:v>
                </c:pt>
              </c:numCache>
            </c:numRef>
          </c:yVal>
          <c:smooth val="0"/>
        </c:ser>
        <c:dLbls>
          <c:showLegendKey val="0"/>
          <c:showVal val="0"/>
          <c:showCatName val="0"/>
          <c:showSerName val="0"/>
          <c:showPercent val="0"/>
          <c:showBubbleSize val="0"/>
        </c:dLbls>
        <c:axId val="146766848"/>
        <c:axId val="146772736"/>
      </c:scatterChart>
      <c:valAx>
        <c:axId val="146766848"/>
        <c:scaling>
          <c:orientation val="minMax"/>
        </c:scaling>
        <c:delete val="0"/>
        <c:axPos val="b"/>
        <c:numFmt formatCode="General" sourceLinked="1"/>
        <c:majorTickMark val="out"/>
        <c:minorTickMark val="none"/>
        <c:tickLblPos val="nextTo"/>
        <c:crossAx val="146772736"/>
        <c:crosses val="autoZero"/>
        <c:crossBetween val="midCat"/>
      </c:valAx>
      <c:valAx>
        <c:axId val="146772736"/>
        <c:scaling>
          <c:orientation val="minMax"/>
        </c:scaling>
        <c:delete val="0"/>
        <c:axPos val="l"/>
        <c:majorGridlines/>
        <c:numFmt formatCode="0.00" sourceLinked="1"/>
        <c:majorTickMark val="out"/>
        <c:minorTickMark val="none"/>
        <c:tickLblPos val="nextTo"/>
        <c:crossAx val="146766848"/>
        <c:crosses val="autoZero"/>
        <c:crossBetween val="midCat"/>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czeta_bkwd_3304s_createcurve_01!$B$30:$B$39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czeta_bkwd_3304s_createcurve_01!$D$30:$D$39</c:f>
              <c:numCache>
                <c:formatCode>0.00</c:formatCode>
                <c:ptCount val="10"/>
                <c:pt idx="0">
                  <c:v>0.75</c:v>
                </c:pt>
                <c:pt idx="1">
                  <c:v>2</c:v>
                </c:pt>
                <c:pt idx="2">
                  <c:v>3.3</c:v>
                </c:pt>
                <c:pt idx="3">
                  <c:v>4.7</c:v>
                </c:pt>
                <c:pt idx="4">
                  <c:v>5.9</c:v>
                </c:pt>
                <c:pt idx="5">
                  <c:v>10</c:v>
                </c:pt>
                <c:pt idx="6">
                  <c:v>13</c:v>
                </c:pt>
                <c:pt idx="7">
                  <c:v>13</c:v>
                </c:pt>
                <c:pt idx="8">
                  <c:v>13</c:v>
                </c:pt>
                <c:pt idx="9">
                  <c:v>13</c:v>
                </c:pt>
              </c:numCache>
            </c:numRef>
          </c:yVal>
          <c:smooth val="0"/>
        </c:ser>
        <c:dLbls>
          <c:showLegendKey val="0"/>
          <c:showVal val="0"/>
          <c:showCatName val="0"/>
          <c:showSerName val="0"/>
          <c:showPercent val="0"/>
          <c:showBubbleSize val="0"/>
        </c:dLbls>
        <c:axId val="147849216"/>
        <c:axId val="147850752"/>
      </c:scatterChart>
      <c:valAx>
        <c:axId val="147849216"/>
        <c:scaling>
          <c:orientation val="minMax"/>
        </c:scaling>
        <c:delete val="0"/>
        <c:axPos val="b"/>
        <c:numFmt formatCode="General" sourceLinked="1"/>
        <c:majorTickMark val="out"/>
        <c:minorTickMark val="none"/>
        <c:tickLblPos val="nextTo"/>
        <c:crossAx val="147850752"/>
        <c:crosses val="autoZero"/>
        <c:crossBetween val="midCat"/>
      </c:valAx>
      <c:valAx>
        <c:axId val="147850752"/>
        <c:scaling>
          <c:orientation val="minMax"/>
        </c:scaling>
        <c:delete val="0"/>
        <c:axPos val="l"/>
        <c:majorGridlines/>
        <c:numFmt formatCode="0.00" sourceLinked="1"/>
        <c:majorTickMark val="out"/>
        <c:minorTickMark val="none"/>
        <c:tickLblPos val="nextTo"/>
        <c:crossAx val="147849216"/>
        <c:crosses val="autoZero"/>
        <c:crossBetween val="midCat"/>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rendline>
            <c:trendlineType val="poly"/>
            <c:order val="4"/>
            <c:dispRSqr val="1"/>
            <c:dispEq val="1"/>
            <c:trendlineLbl>
              <c:layout>
                <c:manualLayout>
                  <c:x val="-0.16819235567514909"/>
                  <c:y val="-3.9199520918347733E-2"/>
                </c:manualLayout>
              </c:layout>
              <c:numFmt formatCode="#,##0.00000" sourceLinked="0"/>
              <c:txPr>
                <a:bodyPr/>
                <a:lstStyle/>
                <a:p>
                  <a:pPr>
                    <a:defRPr sz="1100"/>
                  </a:pPr>
                  <a:endParaRPr lang="en-US"/>
                </a:p>
              </c:txPr>
            </c:trendlineLbl>
          </c:trendline>
          <c:xVal>
            <c:numRef>
              <c:f>czeta_bkwd_3304s_createcurve_01!$C$83:$C$87</c:f>
              <c:numCache>
                <c:formatCode>General</c:formatCode>
                <c:ptCount val="5"/>
                <c:pt idx="0">
                  <c:v>10</c:v>
                </c:pt>
                <c:pt idx="1">
                  <c:v>20</c:v>
                </c:pt>
                <c:pt idx="2">
                  <c:v>30</c:v>
                </c:pt>
                <c:pt idx="3">
                  <c:v>40</c:v>
                </c:pt>
                <c:pt idx="4">
                  <c:v>50</c:v>
                </c:pt>
              </c:numCache>
            </c:numRef>
          </c:xVal>
          <c:yVal>
            <c:numRef>
              <c:f>czeta_bkwd_3304s_createcurve_01!$D$83:$D$87</c:f>
              <c:numCache>
                <c:formatCode>General</c:formatCode>
                <c:ptCount val="5"/>
                <c:pt idx="0">
                  <c:v>182</c:v>
                </c:pt>
                <c:pt idx="1">
                  <c:v>301.5</c:v>
                </c:pt>
                <c:pt idx="2">
                  <c:v>415.9</c:v>
                </c:pt>
                <c:pt idx="3">
                  <c:v>521.1</c:v>
                </c:pt>
                <c:pt idx="4">
                  <c:v>618.79999999999995</c:v>
                </c:pt>
              </c:numCache>
            </c:numRef>
          </c:yVal>
          <c:smooth val="0"/>
        </c:ser>
        <c:dLbls>
          <c:showLegendKey val="0"/>
          <c:showVal val="0"/>
          <c:showCatName val="0"/>
          <c:showSerName val="0"/>
          <c:showPercent val="0"/>
          <c:showBubbleSize val="0"/>
        </c:dLbls>
        <c:axId val="147875328"/>
        <c:axId val="147876864"/>
      </c:scatterChart>
      <c:valAx>
        <c:axId val="147875328"/>
        <c:scaling>
          <c:orientation val="minMax"/>
        </c:scaling>
        <c:delete val="0"/>
        <c:axPos val="b"/>
        <c:numFmt formatCode="General" sourceLinked="1"/>
        <c:majorTickMark val="out"/>
        <c:minorTickMark val="none"/>
        <c:tickLblPos val="nextTo"/>
        <c:crossAx val="147876864"/>
        <c:crosses val="autoZero"/>
        <c:crossBetween val="midCat"/>
      </c:valAx>
      <c:valAx>
        <c:axId val="147876864"/>
        <c:scaling>
          <c:orientation val="minMax"/>
        </c:scaling>
        <c:delete val="0"/>
        <c:axPos val="l"/>
        <c:majorGridlines/>
        <c:numFmt formatCode="General" sourceLinked="1"/>
        <c:majorTickMark val="out"/>
        <c:minorTickMark val="none"/>
        <c:tickLblPos val="nextTo"/>
        <c:crossAx val="147875328"/>
        <c:crosses val="autoZero"/>
        <c:crossBetween val="midCat"/>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czeta_bkwd_3304s_createcurve_01!$C$52:$C$57</c:f>
              <c:numCache>
                <c:formatCode>General</c:formatCode>
                <c:ptCount val="6"/>
                <c:pt idx="0">
                  <c:v>1</c:v>
                </c:pt>
                <c:pt idx="1">
                  <c:v>2</c:v>
                </c:pt>
                <c:pt idx="2">
                  <c:v>3</c:v>
                </c:pt>
                <c:pt idx="3">
                  <c:v>4</c:v>
                </c:pt>
                <c:pt idx="4">
                  <c:v>5</c:v>
                </c:pt>
                <c:pt idx="5">
                  <c:v>10</c:v>
                </c:pt>
              </c:numCache>
            </c:numRef>
          </c:xVal>
          <c:yVal>
            <c:numRef>
              <c:f>czeta_bkwd_3304s_createcurve_01!$D$52:$D$57</c:f>
              <c:numCache>
                <c:formatCode>General</c:formatCode>
                <c:ptCount val="6"/>
                <c:pt idx="0">
                  <c:v>29.7</c:v>
                </c:pt>
                <c:pt idx="1">
                  <c:v>57.5</c:v>
                </c:pt>
                <c:pt idx="2">
                  <c:v>79.5</c:v>
                </c:pt>
                <c:pt idx="3">
                  <c:v>98</c:v>
                </c:pt>
                <c:pt idx="4">
                  <c:v>113.4</c:v>
                </c:pt>
                <c:pt idx="5">
                  <c:v>182</c:v>
                </c:pt>
              </c:numCache>
            </c:numRef>
          </c:yVal>
          <c:smooth val="0"/>
        </c:ser>
        <c:dLbls>
          <c:showLegendKey val="0"/>
          <c:showVal val="0"/>
          <c:showCatName val="0"/>
          <c:showSerName val="0"/>
          <c:showPercent val="0"/>
          <c:showBubbleSize val="0"/>
        </c:dLbls>
        <c:axId val="147904768"/>
        <c:axId val="147906560"/>
      </c:scatterChart>
      <c:valAx>
        <c:axId val="147904768"/>
        <c:scaling>
          <c:orientation val="minMax"/>
        </c:scaling>
        <c:delete val="0"/>
        <c:axPos val="b"/>
        <c:numFmt formatCode="General" sourceLinked="1"/>
        <c:majorTickMark val="out"/>
        <c:minorTickMark val="none"/>
        <c:tickLblPos val="nextTo"/>
        <c:crossAx val="147906560"/>
        <c:crosses val="autoZero"/>
        <c:crossBetween val="midCat"/>
      </c:valAx>
      <c:valAx>
        <c:axId val="147906560"/>
        <c:scaling>
          <c:orientation val="minMax"/>
        </c:scaling>
        <c:delete val="0"/>
        <c:axPos val="l"/>
        <c:majorGridlines/>
        <c:numFmt formatCode="General" sourceLinked="1"/>
        <c:majorTickMark val="out"/>
        <c:minorTickMark val="none"/>
        <c:tickLblPos val="nextTo"/>
        <c:crossAx val="147904768"/>
        <c:crosses val="autoZero"/>
        <c:crossBetween val="midCat"/>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czeta_bkwd_3304s_createcurve_01!$H$78:$H$87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czeta_bkwd_3304s_createcurve_01!$I$78:$I$87</c:f>
              <c:numCache>
                <c:formatCode>0.0</c:formatCode>
                <c:ptCount val="10"/>
                <c:pt idx="0">
                  <c:v>29.773636248825888</c:v>
                </c:pt>
                <c:pt idx="1">
                  <c:v>57.282628994956212</c:v>
                </c:pt>
                <c:pt idx="2">
                  <c:v>79.677220954921793</c:v>
                </c:pt>
                <c:pt idx="3">
                  <c:v>98.014150965735524</c:v>
                </c:pt>
                <c:pt idx="4">
                  <c:v>113.35015786441029</c:v>
                </c:pt>
                <c:pt idx="5">
                  <c:v>181.95967391414661</c:v>
                </c:pt>
                <c:pt idx="6">
                  <c:v>301.8314285714286</c:v>
                </c:pt>
                <c:pt idx="7">
                  <c:v>415.40285714285716</c:v>
                </c:pt>
                <c:pt idx="8">
                  <c:v>521.43142857142857</c:v>
                </c:pt>
                <c:pt idx="9">
                  <c:v>618.71714285714279</c:v>
                </c:pt>
              </c:numCache>
            </c:numRef>
          </c:yVal>
          <c:smooth val="0"/>
        </c:ser>
        <c:dLbls>
          <c:showLegendKey val="0"/>
          <c:showVal val="0"/>
          <c:showCatName val="0"/>
          <c:showSerName val="0"/>
          <c:showPercent val="0"/>
          <c:showBubbleSize val="0"/>
        </c:dLbls>
        <c:axId val="147913728"/>
        <c:axId val="146944768"/>
      </c:scatterChart>
      <c:valAx>
        <c:axId val="147913728"/>
        <c:scaling>
          <c:orientation val="minMax"/>
        </c:scaling>
        <c:delete val="0"/>
        <c:axPos val="b"/>
        <c:numFmt formatCode="General" sourceLinked="1"/>
        <c:majorTickMark val="out"/>
        <c:minorTickMark val="none"/>
        <c:tickLblPos val="nextTo"/>
        <c:crossAx val="146944768"/>
        <c:crosses val="autoZero"/>
        <c:crossBetween val="midCat"/>
      </c:valAx>
      <c:valAx>
        <c:axId val="146944768"/>
        <c:scaling>
          <c:orientation val="minMax"/>
        </c:scaling>
        <c:delete val="0"/>
        <c:axPos val="l"/>
        <c:majorGridlines/>
        <c:numFmt formatCode="0.0" sourceLinked="1"/>
        <c:majorTickMark val="out"/>
        <c:minorTickMark val="none"/>
        <c:tickLblPos val="nextTo"/>
        <c:crossAx val="1479137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280183727034116E-2"/>
          <c:y val="6.9919072615923006E-2"/>
          <c:w val="0.84819203849518809"/>
          <c:h val="0.8326195683872849"/>
        </c:manualLayout>
      </c:layout>
      <c:scatterChart>
        <c:scatterStyle val="smoothMarker"/>
        <c:varyColors val="0"/>
        <c:ser>
          <c:idx val="0"/>
          <c:order val="0"/>
          <c:spPr>
            <a:ln w="15875"/>
          </c:spPr>
          <c:marker>
            <c:symbol val="circle"/>
            <c:size val="2"/>
          </c:marker>
          <c:xVal>
            <c:numRef>
              <c:f>czeta_bkwd_3304s_createcurve_01!$U$93:$U$142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czeta_bkwd_3304s_createcurve_01!$V$93:$V$142</c:f>
              <c:numCache>
                <c:formatCode>0.0</c:formatCode>
                <c:ptCount val="50"/>
                <c:pt idx="0">
                  <c:v>29.727142857142866</c:v>
                </c:pt>
                <c:pt idx="1">
                  <c:v>57.391428571428534</c:v>
                </c:pt>
                <c:pt idx="2">
                  <c:v>79.662857142857121</c:v>
                </c:pt>
                <c:pt idx="3">
                  <c:v>97.891428571428577</c:v>
                </c:pt>
                <c:pt idx="4">
                  <c:v>113.42714285714285</c:v>
                </c:pt>
                <c:pt idx="5">
                  <c:v>130.0321142857143</c:v>
                </c:pt>
                <c:pt idx="6">
                  <c:v>144.88540000000006</c:v>
                </c:pt>
                <c:pt idx="7">
                  <c:v>157.2787428571429</c:v>
                </c:pt>
                <c:pt idx="8">
                  <c:v>169.62305714285719</c:v>
                </c:pt>
                <c:pt idx="9">
                  <c:v>181.91714285714289</c:v>
                </c:pt>
                <c:pt idx="10">
                  <c:v>194.15980000000002</c:v>
                </c:pt>
                <c:pt idx="11">
                  <c:v>206.34982857142859</c:v>
                </c:pt>
                <c:pt idx="12">
                  <c:v>218.48602857142862</c:v>
                </c:pt>
                <c:pt idx="13">
                  <c:v>230.56720000000001</c:v>
                </c:pt>
                <c:pt idx="14">
                  <c:v>242.5921428571429</c:v>
                </c:pt>
                <c:pt idx="15">
                  <c:v>254.55965714285719</c:v>
                </c:pt>
                <c:pt idx="16">
                  <c:v>266.46854285714289</c:v>
                </c:pt>
                <c:pt idx="17">
                  <c:v>278.31760000000003</c:v>
                </c:pt>
                <c:pt idx="18">
                  <c:v>290.10562857142861</c:v>
                </c:pt>
                <c:pt idx="19">
                  <c:v>301.8314285714286</c:v>
                </c:pt>
                <c:pt idx="20">
                  <c:v>313.49380000000002</c:v>
                </c:pt>
                <c:pt idx="21">
                  <c:v>325.09154285714288</c:v>
                </c:pt>
                <c:pt idx="22">
                  <c:v>336.62345714285715</c:v>
                </c:pt>
                <c:pt idx="23">
                  <c:v>348.08834285714283</c:v>
                </c:pt>
                <c:pt idx="24">
                  <c:v>359.48500000000001</c:v>
                </c:pt>
                <c:pt idx="25">
                  <c:v>370.81222857142859</c:v>
                </c:pt>
                <c:pt idx="26">
                  <c:v>382.06882857142853</c:v>
                </c:pt>
                <c:pt idx="27">
                  <c:v>393.25360000000001</c:v>
                </c:pt>
                <c:pt idx="28">
                  <c:v>404.36534285714288</c:v>
                </c:pt>
                <c:pt idx="29">
                  <c:v>415.40285714285716</c:v>
                </c:pt>
                <c:pt idx="30">
                  <c:v>426.36494285714281</c:v>
                </c:pt>
                <c:pt idx="31">
                  <c:v>437.25040000000001</c:v>
                </c:pt>
                <c:pt idx="32">
                  <c:v>448.05802857142857</c:v>
                </c:pt>
                <c:pt idx="33">
                  <c:v>458.78662857142854</c:v>
                </c:pt>
                <c:pt idx="34">
                  <c:v>469.435</c:v>
                </c:pt>
                <c:pt idx="35">
                  <c:v>480.00194285714286</c:v>
                </c:pt>
                <c:pt idx="36">
                  <c:v>490.48625714285714</c:v>
                </c:pt>
                <c:pt idx="37">
                  <c:v>500.88674285714279</c:v>
                </c:pt>
                <c:pt idx="38">
                  <c:v>511.2022</c:v>
                </c:pt>
                <c:pt idx="39">
                  <c:v>521.43142857142857</c:v>
                </c:pt>
                <c:pt idx="40">
                  <c:v>531.57322857142856</c:v>
                </c:pt>
                <c:pt idx="41">
                  <c:v>541.62639999999999</c:v>
                </c:pt>
                <c:pt idx="42">
                  <c:v>551.58974285714282</c:v>
                </c:pt>
                <c:pt idx="43">
                  <c:v>561.46205714285713</c:v>
                </c:pt>
                <c:pt idx="44">
                  <c:v>571.24214285714288</c:v>
                </c:pt>
                <c:pt idx="45">
                  <c:v>580.92880000000002</c:v>
                </c:pt>
                <c:pt idx="46">
                  <c:v>590.52082857142852</c:v>
                </c:pt>
                <c:pt idx="47">
                  <c:v>600.01702857142857</c:v>
                </c:pt>
                <c:pt idx="48">
                  <c:v>609.4162</c:v>
                </c:pt>
                <c:pt idx="49">
                  <c:v>618.71714285714279</c:v>
                </c:pt>
              </c:numCache>
            </c:numRef>
          </c:yVal>
          <c:smooth val="1"/>
        </c:ser>
        <c:ser>
          <c:idx val="1"/>
          <c:order val="1"/>
          <c:spPr>
            <a:ln w="15875"/>
          </c:spPr>
          <c:marker>
            <c:symbol val="circle"/>
            <c:size val="2"/>
          </c:marker>
          <c:xVal>
            <c:numRef>
              <c:f>czeta_bkwd_3304s_createcurve_01!$U$93:$U$142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czeta_bkwd_3304s_createcurve_01!$AA$93:$AA$142</c:f>
              <c:numCache>
                <c:formatCode>0.0</c:formatCode>
                <c:ptCount val="50"/>
                <c:pt idx="0">
                  <c:v>29.608234285714293</c:v>
                </c:pt>
                <c:pt idx="1">
                  <c:v>56.932297142857102</c:v>
                </c:pt>
                <c:pt idx="2">
                  <c:v>78.706902857142836</c:v>
                </c:pt>
                <c:pt idx="3">
                  <c:v>96.325165714285717</c:v>
                </c:pt>
                <c:pt idx="4">
                  <c:v>111.15859999999999</c:v>
                </c:pt>
                <c:pt idx="5">
                  <c:v>126.91134354285715</c:v>
                </c:pt>
                <c:pt idx="6">
                  <c:v>140.82860880000007</c:v>
                </c:pt>
                <c:pt idx="7">
                  <c:v>152.24582308571433</c:v>
                </c:pt>
                <c:pt idx="8">
                  <c:v>163.51662708571433</c:v>
                </c:pt>
                <c:pt idx="9">
                  <c:v>174.64045714285717</c:v>
                </c:pt>
                <c:pt idx="10">
                  <c:v>185.61676880000002</c:v>
                </c:pt>
                <c:pt idx="11">
                  <c:v>196.4450368</c:v>
                </c:pt>
                <c:pt idx="12">
                  <c:v>207.12475508571433</c:v>
                </c:pt>
                <c:pt idx="13">
                  <c:v>217.65543679999999</c:v>
                </c:pt>
                <c:pt idx="14">
                  <c:v>228.03661428571431</c:v>
                </c:pt>
                <c:pt idx="15">
                  <c:v>238.26783908571431</c:v>
                </c:pt>
                <c:pt idx="16">
                  <c:v>248.34868194285716</c:v>
                </c:pt>
                <c:pt idx="17">
                  <c:v>258.2787328</c:v>
                </c:pt>
                <c:pt idx="18">
                  <c:v>268.05760080000005</c:v>
                </c:pt>
                <c:pt idx="19">
                  <c:v>277.68491428571434</c:v>
                </c:pt>
                <c:pt idx="20">
                  <c:v>287.16032080000002</c:v>
                </c:pt>
                <c:pt idx="21">
                  <c:v>296.48348708571433</c:v>
                </c:pt>
                <c:pt idx="22">
                  <c:v>305.65409908571428</c:v>
                </c:pt>
                <c:pt idx="23">
                  <c:v>314.67186194285711</c:v>
                </c:pt>
                <c:pt idx="24">
                  <c:v>323.53650000000005</c:v>
                </c:pt>
                <c:pt idx="25">
                  <c:v>332.24775680000005</c:v>
                </c:pt>
                <c:pt idx="26">
                  <c:v>340.80539508571422</c:v>
                </c:pt>
                <c:pt idx="27">
                  <c:v>349.20919680000003</c:v>
                </c:pt>
                <c:pt idx="28">
                  <c:v>357.45896308571429</c:v>
                </c:pt>
                <c:pt idx="29">
                  <c:v>365.55451428571428</c:v>
                </c:pt>
                <c:pt idx="30">
                  <c:v>373.4956899428571</c:v>
                </c:pt>
                <c:pt idx="31">
                  <c:v>381.28234880000002</c:v>
                </c:pt>
                <c:pt idx="32">
                  <c:v>388.91436879999998</c:v>
                </c:pt>
                <c:pt idx="33">
                  <c:v>396.39164708571423</c:v>
                </c:pt>
                <c:pt idx="34">
                  <c:v>403.71409999999997</c:v>
                </c:pt>
                <c:pt idx="35">
                  <c:v>410.88166308571431</c:v>
                </c:pt>
                <c:pt idx="36">
                  <c:v>417.89429108571426</c:v>
                </c:pt>
                <c:pt idx="37">
                  <c:v>424.75195794285708</c:v>
                </c:pt>
                <c:pt idx="38">
                  <c:v>431.45465680000001</c:v>
                </c:pt>
                <c:pt idx="39">
                  <c:v>438.00239999999997</c:v>
                </c:pt>
                <c:pt idx="40">
                  <c:v>444.39521908571425</c:v>
                </c:pt>
                <c:pt idx="41">
                  <c:v>450.63316479999997</c:v>
                </c:pt>
                <c:pt idx="42">
                  <c:v>456.71630708571422</c:v>
                </c:pt>
                <c:pt idx="43">
                  <c:v>462.64473508571433</c:v>
                </c:pt>
                <c:pt idx="44">
                  <c:v>468.4185571428572</c:v>
                </c:pt>
                <c:pt idx="45">
                  <c:v>474.03790080000005</c:v>
                </c:pt>
                <c:pt idx="46">
                  <c:v>479.50291279999999</c:v>
                </c:pt>
                <c:pt idx="47">
                  <c:v>484.81375908571431</c:v>
                </c:pt>
                <c:pt idx="48">
                  <c:v>489.97062480000005</c:v>
                </c:pt>
                <c:pt idx="49">
                  <c:v>494.97371428571427</c:v>
                </c:pt>
              </c:numCache>
            </c:numRef>
          </c:yVal>
          <c:smooth val="1"/>
        </c:ser>
        <c:dLbls>
          <c:showLegendKey val="0"/>
          <c:showVal val="0"/>
          <c:showCatName val="0"/>
          <c:showSerName val="0"/>
          <c:showPercent val="0"/>
          <c:showBubbleSize val="0"/>
        </c:dLbls>
        <c:axId val="148243584"/>
        <c:axId val="148245120"/>
      </c:scatterChart>
      <c:valAx>
        <c:axId val="148243584"/>
        <c:scaling>
          <c:orientation val="minMax"/>
        </c:scaling>
        <c:delete val="0"/>
        <c:axPos val="b"/>
        <c:numFmt formatCode="General" sourceLinked="1"/>
        <c:majorTickMark val="out"/>
        <c:minorTickMark val="none"/>
        <c:tickLblPos val="nextTo"/>
        <c:crossAx val="148245120"/>
        <c:crosses val="autoZero"/>
        <c:crossBetween val="midCat"/>
      </c:valAx>
      <c:valAx>
        <c:axId val="148245120"/>
        <c:scaling>
          <c:orientation val="minMax"/>
        </c:scaling>
        <c:delete val="0"/>
        <c:axPos val="l"/>
        <c:majorGridlines/>
        <c:numFmt formatCode="0.0" sourceLinked="1"/>
        <c:majorTickMark val="out"/>
        <c:minorTickMark val="none"/>
        <c:tickLblPos val="nextTo"/>
        <c:crossAx val="148243584"/>
        <c:crosses val="autoZero"/>
        <c:crossBetween val="midCat"/>
      </c:valAx>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czeta_bkwd_3075s_trend_v5!$B$30:$B$39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czeta_bkwd_3075s_trend_v5!$C$30:$C$39</c:f>
              <c:numCache>
                <c:formatCode>0.00</c:formatCode>
                <c:ptCount val="10"/>
                <c:pt idx="0">
                  <c:v>2</c:v>
                </c:pt>
                <c:pt idx="1">
                  <c:v>4</c:v>
                </c:pt>
                <c:pt idx="2">
                  <c:v>5.8</c:v>
                </c:pt>
                <c:pt idx="3">
                  <c:v>7.51</c:v>
                </c:pt>
                <c:pt idx="4">
                  <c:v>9</c:v>
                </c:pt>
                <c:pt idx="5">
                  <c:v>11.51</c:v>
                </c:pt>
                <c:pt idx="6">
                  <c:v>13</c:v>
                </c:pt>
                <c:pt idx="7">
                  <c:v>13</c:v>
                </c:pt>
                <c:pt idx="8">
                  <c:v>13</c:v>
                </c:pt>
                <c:pt idx="9">
                  <c:v>13</c:v>
                </c:pt>
              </c:numCache>
            </c:numRef>
          </c:yVal>
          <c:smooth val="0"/>
        </c:ser>
        <c:dLbls>
          <c:showLegendKey val="0"/>
          <c:showVal val="0"/>
          <c:showCatName val="0"/>
          <c:showSerName val="0"/>
          <c:showPercent val="0"/>
          <c:showBubbleSize val="0"/>
        </c:dLbls>
        <c:axId val="148361600"/>
        <c:axId val="148363136"/>
      </c:scatterChart>
      <c:valAx>
        <c:axId val="148361600"/>
        <c:scaling>
          <c:orientation val="minMax"/>
        </c:scaling>
        <c:delete val="0"/>
        <c:axPos val="b"/>
        <c:numFmt formatCode="General" sourceLinked="1"/>
        <c:majorTickMark val="out"/>
        <c:minorTickMark val="none"/>
        <c:tickLblPos val="nextTo"/>
        <c:crossAx val="148363136"/>
        <c:crosses val="autoZero"/>
        <c:crossBetween val="midCat"/>
      </c:valAx>
      <c:valAx>
        <c:axId val="148363136"/>
        <c:scaling>
          <c:orientation val="minMax"/>
        </c:scaling>
        <c:delete val="0"/>
        <c:axPos val="l"/>
        <c:majorGridlines/>
        <c:numFmt formatCode="0.00" sourceLinked="1"/>
        <c:majorTickMark val="out"/>
        <c:minorTickMark val="none"/>
        <c:tickLblPos val="nextTo"/>
        <c:crossAx val="148361600"/>
        <c:crosses val="autoZero"/>
        <c:crossBetween val="midCat"/>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czeta_bkwd_3075s_trend_v5!$B$30:$B$39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czeta_bkwd_3075s_trend_v5!$D$30:$D$39</c:f>
              <c:numCache>
                <c:formatCode>0.00</c:formatCode>
                <c:ptCount val="10"/>
                <c:pt idx="0">
                  <c:v>0.75</c:v>
                </c:pt>
                <c:pt idx="1">
                  <c:v>2</c:v>
                </c:pt>
                <c:pt idx="2">
                  <c:v>3.3</c:v>
                </c:pt>
                <c:pt idx="3">
                  <c:v>4.7</c:v>
                </c:pt>
                <c:pt idx="4">
                  <c:v>5.9</c:v>
                </c:pt>
                <c:pt idx="5">
                  <c:v>10</c:v>
                </c:pt>
                <c:pt idx="6">
                  <c:v>13</c:v>
                </c:pt>
                <c:pt idx="7">
                  <c:v>13</c:v>
                </c:pt>
                <c:pt idx="8">
                  <c:v>13</c:v>
                </c:pt>
                <c:pt idx="9">
                  <c:v>13</c:v>
                </c:pt>
              </c:numCache>
            </c:numRef>
          </c:yVal>
          <c:smooth val="0"/>
        </c:ser>
        <c:dLbls>
          <c:showLegendKey val="0"/>
          <c:showVal val="0"/>
          <c:showCatName val="0"/>
          <c:showSerName val="0"/>
          <c:showPercent val="0"/>
          <c:showBubbleSize val="0"/>
        </c:dLbls>
        <c:axId val="148391040"/>
        <c:axId val="148392576"/>
      </c:scatterChart>
      <c:valAx>
        <c:axId val="148391040"/>
        <c:scaling>
          <c:orientation val="minMax"/>
        </c:scaling>
        <c:delete val="0"/>
        <c:axPos val="b"/>
        <c:numFmt formatCode="General" sourceLinked="1"/>
        <c:majorTickMark val="out"/>
        <c:minorTickMark val="none"/>
        <c:tickLblPos val="nextTo"/>
        <c:crossAx val="148392576"/>
        <c:crosses val="autoZero"/>
        <c:crossBetween val="midCat"/>
      </c:valAx>
      <c:valAx>
        <c:axId val="148392576"/>
        <c:scaling>
          <c:orientation val="minMax"/>
        </c:scaling>
        <c:delete val="0"/>
        <c:axPos val="l"/>
        <c:majorGridlines/>
        <c:numFmt formatCode="0.00" sourceLinked="1"/>
        <c:majorTickMark val="out"/>
        <c:minorTickMark val="none"/>
        <c:tickLblPos val="nextTo"/>
        <c:crossAx val="148391040"/>
        <c:crosses val="autoZero"/>
        <c:crossBetween val="midCat"/>
      </c:valAx>
    </c:plotArea>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rendline>
            <c:trendlineType val="poly"/>
            <c:order val="3"/>
            <c:dispRSqr val="1"/>
            <c:dispEq val="1"/>
            <c:trendlineLbl>
              <c:layout>
                <c:manualLayout>
                  <c:x val="-0.16819235567514909"/>
                  <c:y val="-3.9199520918347733E-2"/>
                </c:manualLayout>
              </c:layout>
              <c:numFmt formatCode="#,##0.00000" sourceLinked="0"/>
              <c:txPr>
                <a:bodyPr/>
                <a:lstStyle/>
                <a:p>
                  <a:pPr>
                    <a:defRPr sz="1100"/>
                  </a:pPr>
                  <a:endParaRPr lang="en-US"/>
                </a:p>
              </c:txPr>
            </c:trendlineLbl>
          </c:trendline>
          <c:xVal>
            <c:numRef>
              <c:f>czeta_bkwd_3075s_trend_v5!$C$83:$C$87</c:f>
              <c:numCache>
                <c:formatCode>General</c:formatCode>
                <c:ptCount val="5"/>
                <c:pt idx="0">
                  <c:v>10</c:v>
                </c:pt>
                <c:pt idx="1">
                  <c:v>20</c:v>
                </c:pt>
                <c:pt idx="2">
                  <c:v>30</c:v>
                </c:pt>
                <c:pt idx="3">
                  <c:v>40</c:v>
                </c:pt>
                <c:pt idx="4">
                  <c:v>50</c:v>
                </c:pt>
              </c:numCache>
            </c:numRef>
          </c:xVal>
          <c:yVal>
            <c:numRef>
              <c:f>czeta_bkwd_3075s_trend_v5!$D$83:$D$87</c:f>
              <c:numCache>
                <c:formatCode>General</c:formatCode>
                <c:ptCount val="5"/>
                <c:pt idx="0">
                  <c:v>150.69999999999999</c:v>
                </c:pt>
                <c:pt idx="1">
                  <c:v>252.2</c:v>
                </c:pt>
                <c:pt idx="2">
                  <c:v>340.1</c:v>
                </c:pt>
                <c:pt idx="3">
                  <c:v>420.4</c:v>
                </c:pt>
                <c:pt idx="4">
                  <c:v>498</c:v>
                </c:pt>
              </c:numCache>
            </c:numRef>
          </c:yVal>
          <c:smooth val="0"/>
        </c:ser>
        <c:dLbls>
          <c:showLegendKey val="0"/>
          <c:showVal val="0"/>
          <c:showCatName val="0"/>
          <c:showSerName val="0"/>
          <c:showPercent val="0"/>
          <c:showBubbleSize val="0"/>
        </c:dLbls>
        <c:axId val="148408960"/>
        <c:axId val="148431232"/>
      </c:scatterChart>
      <c:valAx>
        <c:axId val="148408960"/>
        <c:scaling>
          <c:orientation val="minMax"/>
        </c:scaling>
        <c:delete val="0"/>
        <c:axPos val="b"/>
        <c:numFmt formatCode="General" sourceLinked="1"/>
        <c:majorTickMark val="out"/>
        <c:minorTickMark val="none"/>
        <c:tickLblPos val="nextTo"/>
        <c:crossAx val="148431232"/>
        <c:crosses val="autoZero"/>
        <c:crossBetween val="midCat"/>
      </c:valAx>
      <c:valAx>
        <c:axId val="148431232"/>
        <c:scaling>
          <c:orientation val="minMax"/>
        </c:scaling>
        <c:delete val="0"/>
        <c:axPos val="l"/>
        <c:majorGridlines/>
        <c:numFmt formatCode="General" sourceLinked="1"/>
        <c:majorTickMark val="out"/>
        <c:minorTickMark val="none"/>
        <c:tickLblPos val="nextTo"/>
        <c:crossAx val="148408960"/>
        <c:crosses val="autoZero"/>
        <c:crossBetween val="midCat"/>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czeta_bkwd_3075s_trend_v5!$C$52:$C$57</c:f>
              <c:numCache>
                <c:formatCode>General</c:formatCode>
                <c:ptCount val="6"/>
                <c:pt idx="0">
                  <c:v>1</c:v>
                </c:pt>
                <c:pt idx="1">
                  <c:v>2</c:v>
                </c:pt>
                <c:pt idx="2">
                  <c:v>3</c:v>
                </c:pt>
                <c:pt idx="3">
                  <c:v>4</c:v>
                </c:pt>
                <c:pt idx="4">
                  <c:v>5</c:v>
                </c:pt>
                <c:pt idx="5">
                  <c:v>10</c:v>
                </c:pt>
              </c:numCache>
            </c:numRef>
          </c:xVal>
          <c:yVal>
            <c:numRef>
              <c:f>czeta_bkwd_3075s_trend_v5!$D$52:$D$57</c:f>
              <c:numCache>
                <c:formatCode>General</c:formatCode>
                <c:ptCount val="6"/>
                <c:pt idx="0">
                  <c:v>22.3</c:v>
                </c:pt>
                <c:pt idx="1">
                  <c:v>44.8</c:v>
                </c:pt>
                <c:pt idx="2">
                  <c:v>62</c:v>
                </c:pt>
                <c:pt idx="3">
                  <c:v>77.5</c:v>
                </c:pt>
                <c:pt idx="4">
                  <c:v>91.1</c:v>
                </c:pt>
                <c:pt idx="5">
                  <c:v>150.69999999999999</c:v>
                </c:pt>
              </c:numCache>
            </c:numRef>
          </c:yVal>
          <c:smooth val="0"/>
        </c:ser>
        <c:dLbls>
          <c:showLegendKey val="0"/>
          <c:showVal val="0"/>
          <c:showCatName val="0"/>
          <c:showSerName val="0"/>
          <c:showPercent val="0"/>
          <c:showBubbleSize val="0"/>
        </c:dLbls>
        <c:axId val="148508032"/>
        <c:axId val="148518016"/>
      </c:scatterChart>
      <c:valAx>
        <c:axId val="148508032"/>
        <c:scaling>
          <c:orientation val="minMax"/>
        </c:scaling>
        <c:delete val="0"/>
        <c:axPos val="b"/>
        <c:numFmt formatCode="General" sourceLinked="1"/>
        <c:majorTickMark val="out"/>
        <c:minorTickMark val="none"/>
        <c:tickLblPos val="nextTo"/>
        <c:crossAx val="148518016"/>
        <c:crosses val="autoZero"/>
        <c:crossBetween val="midCat"/>
      </c:valAx>
      <c:valAx>
        <c:axId val="148518016"/>
        <c:scaling>
          <c:orientation val="minMax"/>
        </c:scaling>
        <c:delete val="0"/>
        <c:axPos val="l"/>
        <c:majorGridlines/>
        <c:numFmt formatCode="General" sourceLinked="1"/>
        <c:majorTickMark val="out"/>
        <c:minorTickMark val="none"/>
        <c:tickLblPos val="nextTo"/>
        <c:crossAx val="148508032"/>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rzeta_bkwd_sh_kmod_orig!$AA$19:$AA$28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rzeta_bkwd_sh_kmod_orig!$AC$19:$AC$28</c:f>
              <c:numCache>
                <c:formatCode>0.0</c:formatCode>
                <c:ptCount val="10"/>
                <c:pt idx="0">
                  <c:v>37</c:v>
                </c:pt>
                <c:pt idx="1">
                  <c:v>34</c:v>
                </c:pt>
                <c:pt idx="2">
                  <c:v>32</c:v>
                </c:pt>
                <c:pt idx="3">
                  <c:v>30.25</c:v>
                </c:pt>
                <c:pt idx="4">
                  <c:v>28.8</c:v>
                </c:pt>
                <c:pt idx="5">
                  <c:v>26</c:v>
                </c:pt>
                <c:pt idx="6">
                  <c:v>25.65</c:v>
                </c:pt>
                <c:pt idx="7">
                  <c:v>25.633333333333333</c:v>
                </c:pt>
                <c:pt idx="8">
                  <c:v>25.65</c:v>
                </c:pt>
                <c:pt idx="9">
                  <c:v>25.64</c:v>
                </c:pt>
              </c:numCache>
            </c:numRef>
          </c:yVal>
          <c:smooth val="1"/>
        </c:ser>
        <c:dLbls>
          <c:showLegendKey val="0"/>
          <c:showVal val="0"/>
          <c:showCatName val="0"/>
          <c:showSerName val="0"/>
          <c:showPercent val="0"/>
          <c:showBubbleSize val="0"/>
        </c:dLbls>
        <c:axId val="133912832"/>
        <c:axId val="133914624"/>
      </c:scatterChart>
      <c:valAx>
        <c:axId val="133912832"/>
        <c:scaling>
          <c:orientation val="minMax"/>
        </c:scaling>
        <c:delete val="0"/>
        <c:axPos val="b"/>
        <c:numFmt formatCode="General" sourceLinked="1"/>
        <c:majorTickMark val="out"/>
        <c:minorTickMark val="none"/>
        <c:tickLblPos val="nextTo"/>
        <c:crossAx val="133914624"/>
        <c:crosses val="autoZero"/>
        <c:crossBetween val="midCat"/>
      </c:valAx>
      <c:valAx>
        <c:axId val="133914624"/>
        <c:scaling>
          <c:orientation val="minMax"/>
          <c:min val="20"/>
        </c:scaling>
        <c:delete val="0"/>
        <c:axPos val="l"/>
        <c:majorGridlines/>
        <c:numFmt formatCode="0.0" sourceLinked="1"/>
        <c:majorTickMark val="out"/>
        <c:minorTickMark val="none"/>
        <c:tickLblPos val="nextTo"/>
        <c:crossAx val="1339128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czeta_bkwd_3075s_trend_v5!$H$78:$H$87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czeta_bkwd_3075s_trend_v5!$I$78:$I$87</c:f>
              <c:numCache>
                <c:formatCode>0.0</c:formatCode>
                <c:ptCount val="10"/>
                <c:pt idx="0">
                  <c:v>22.508728323243179</c:v>
                </c:pt>
                <c:pt idx="1">
                  <c:v>44.221444696150471</c:v>
                </c:pt>
                <c:pt idx="2">
                  <c:v>62.373428262465353</c:v>
                </c:pt>
                <c:pt idx="3">
                  <c:v>77.690518663519896</c:v>
                </c:pt>
                <c:pt idx="4">
                  <c:v>90.898555540646157</c:v>
                </c:pt>
                <c:pt idx="5">
                  <c:v>150.71151939984463</c:v>
                </c:pt>
                <c:pt idx="6">
                  <c:v>252.13714285714292</c:v>
                </c:pt>
                <c:pt idx="7">
                  <c:v>340.1942857142858</c:v>
                </c:pt>
                <c:pt idx="8">
                  <c:v>420.33714285714279</c:v>
                </c:pt>
                <c:pt idx="9">
                  <c:v>498.01571428571424</c:v>
                </c:pt>
              </c:numCache>
            </c:numRef>
          </c:yVal>
          <c:smooth val="0"/>
        </c:ser>
        <c:dLbls>
          <c:showLegendKey val="0"/>
          <c:showVal val="0"/>
          <c:showCatName val="0"/>
          <c:showSerName val="0"/>
          <c:showPercent val="0"/>
          <c:showBubbleSize val="0"/>
        </c:dLbls>
        <c:axId val="148545920"/>
        <c:axId val="148547456"/>
      </c:scatterChart>
      <c:valAx>
        <c:axId val="148545920"/>
        <c:scaling>
          <c:orientation val="minMax"/>
        </c:scaling>
        <c:delete val="0"/>
        <c:axPos val="b"/>
        <c:numFmt formatCode="General" sourceLinked="1"/>
        <c:majorTickMark val="out"/>
        <c:minorTickMark val="none"/>
        <c:tickLblPos val="nextTo"/>
        <c:crossAx val="148547456"/>
        <c:crosses val="autoZero"/>
        <c:crossBetween val="midCat"/>
      </c:valAx>
      <c:valAx>
        <c:axId val="148547456"/>
        <c:scaling>
          <c:orientation val="minMax"/>
        </c:scaling>
        <c:delete val="0"/>
        <c:axPos val="l"/>
        <c:majorGridlines/>
        <c:numFmt formatCode="0.0" sourceLinked="1"/>
        <c:majorTickMark val="out"/>
        <c:minorTickMark val="none"/>
        <c:tickLblPos val="nextTo"/>
        <c:crossAx val="148545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5875"/>
          </c:spPr>
          <c:marker>
            <c:symbol val="diamond"/>
            <c:size val="2"/>
          </c:marker>
          <c:xVal>
            <c:numRef>
              <c:f>czeta_bkwd_3075s_trend_v5!$W$149:$W$158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czeta_bkwd_3075s_trend_v5!$X$149:$X$158</c:f>
              <c:numCache>
                <c:formatCode>0.0000</c:formatCode>
                <c:ptCount val="10"/>
                <c:pt idx="0">
                  <c:v>1.2719377964304703</c:v>
                </c:pt>
                <c:pt idx="1">
                  <c:v>0.96145357598157333</c:v>
                </c:pt>
                <c:pt idx="2">
                  <c:v>0.82946548223307215</c:v>
                </c:pt>
                <c:pt idx="3">
                  <c:v>0.74932421258594284</c:v>
                </c:pt>
                <c:pt idx="4">
                  <c:v>0.69127712745711423</c:v>
                </c:pt>
                <c:pt idx="5">
                  <c:v>0.53698545571268352</c:v>
                </c:pt>
                <c:pt idx="6">
                  <c:v>0.43470787984188836</c:v>
                </c:pt>
                <c:pt idx="7">
                  <c:v>0.38179437755434958</c:v>
                </c:pt>
                <c:pt idx="8">
                  <c:v>0.34849284928886071</c:v>
                </c:pt>
                <c:pt idx="9">
                  <c:v>0.32816631833683368</c:v>
                </c:pt>
              </c:numCache>
            </c:numRef>
          </c:yVal>
          <c:smooth val="0"/>
        </c:ser>
        <c:ser>
          <c:idx val="1"/>
          <c:order val="1"/>
          <c:spPr>
            <a:ln w="15875"/>
          </c:spPr>
          <c:marker>
            <c:symbol val="square"/>
            <c:size val="2"/>
          </c:marker>
          <c:xVal>
            <c:numRef>
              <c:f>czeta_bkwd_3075s_trend_v5!$Y$149:$Y$158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czeta_bkwd_3075s_trend_v5!$Z$149:$Z$158</c:f>
              <c:numCache>
                <c:formatCode>0.0000</c:formatCode>
                <c:ptCount val="10"/>
                <c:pt idx="0">
                  <c:v>1.214204604920285</c:v>
                </c:pt>
                <c:pt idx="1">
                  <c:v>0.94178558278660662</c:v>
                </c:pt>
                <c:pt idx="2">
                  <c:v>0.83143438654578949</c:v>
                </c:pt>
                <c:pt idx="3">
                  <c:v>0.76534004310976567</c:v>
                </c:pt>
                <c:pt idx="4">
                  <c:v>0.71786624837291457</c:v>
                </c:pt>
                <c:pt idx="5">
                  <c:v>0.57439876697917092</c:v>
                </c:pt>
                <c:pt idx="6">
                  <c:v>0.47089010691917027</c:v>
                </c:pt>
                <c:pt idx="7">
                  <c:v>0.41902719697489649</c:v>
                </c:pt>
                <c:pt idx="8">
                  <c:v>0.38382582895724304</c:v>
                </c:pt>
                <c:pt idx="9">
                  <c:v>0.35861669533023494</c:v>
                </c:pt>
              </c:numCache>
            </c:numRef>
          </c:yVal>
          <c:smooth val="0"/>
        </c:ser>
        <c:ser>
          <c:idx val="2"/>
          <c:order val="2"/>
          <c:spPr>
            <a:ln w="15875"/>
          </c:spPr>
          <c:marker>
            <c:symbol val="triangle"/>
            <c:size val="2"/>
          </c:marker>
          <c:xVal>
            <c:numRef>
              <c:f>czeta_bkwd_3075s_trend_v5!$AA$149:$AA$158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czeta_bkwd_3075s_trend_v5!$AB$149:$AB$158</c:f>
              <c:numCache>
                <c:formatCode>0.0000</c:formatCode>
                <c:ptCount val="10"/>
                <c:pt idx="0">
                  <c:v>1.0520690888441584</c:v>
                </c:pt>
                <c:pt idx="1">
                  <c:v>0.81696163592350124</c:v>
                </c:pt>
                <c:pt idx="2">
                  <c:v>0.71089158053897417</c:v>
                </c:pt>
                <c:pt idx="3">
                  <c:v>0.64386512626185421</c:v>
                </c:pt>
                <c:pt idx="4">
                  <c:v>0.59470835295325186</c:v>
                </c:pt>
                <c:pt idx="5">
                  <c:v>0.47969906728214473</c:v>
                </c:pt>
                <c:pt idx="6">
                  <c:v>0.39728546236880097</c:v>
                </c:pt>
                <c:pt idx="7">
                  <c:v>0.35234672795609262</c:v>
                </c:pt>
                <c:pt idx="8">
                  <c:v>0.32362286363689469</c:v>
                </c:pt>
                <c:pt idx="9">
                  <c:v>0.3056214303270221</c:v>
                </c:pt>
              </c:numCache>
            </c:numRef>
          </c:yVal>
          <c:smooth val="0"/>
        </c:ser>
        <c:dLbls>
          <c:showLegendKey val="0"/>
          <c:showVal val="0"/>
          <c:showCatName val="0"/>
          <c:showSerName val="0"/>
          <c:showPercent val="0"/>
          <c:showBubbleSize val="0"/>
        </c:dLbls>
        <c:axId val="148593664"/>
        <c:axId val="148595456"/>
      </c:scatterChart>
      <c:valAx>
        <c:axId val="148593664"/>
        <c:scaling>
          <c:orientation val="minMax"/>
        </c:scaling>
        <c:delete val="0"/>
        <c:axPos val="b"/>
        <c:numFmt formatCode="General" sourceLinked="1"/>
        <c:majorTickMark val="out"/>
        <c:minorTickMark val="none"/>
        <c:tickLblPos val="nextTo"/>
        <c:crossAx val="148595456"/>
        <c:crosses val="autoZero"/>
        <c:crossBetween val="midCat"/>
      </c:valAx>
      <c:valAx>
        <c:axId val="148595456"/>
        <c:scaling>
          <c:orientation val="minMax"/>
        </c:scaling>
        <c:delete val="0"/>
        <c:axPos val="l"/>
        <c:majorGridlines/>
        <c:numFmt formatCode="0.0000" sourceLinked="1"/>
        <c:majorTickMark val="out"/>
        <c:minorTickMark val="none"/>
        <c:tickLblPos val="nextTo"/>
        <c:crossAx val="1485936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rzeta_bkwd_sh_kmod_orig!$C$70:$C$79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rzeta_bkwd_sh_kmod_orig!$D$70:$D$79</c:f>
              <c:numCache>
                <c:formatCode>0.00</c:formatCode>
                <c:ptCount val="10"/>
                <c:pt idx="0">
                  <c:v>0.7</c:v>
                </c:pt>
                <c:pt idx="1">
                  <c:v>0.7</c:v>
                </c:pt>
                <c:pt idx="2">
                  <c:v>0.7</c:v>
                </c:pt>
                <c:pt idx="3">
                  <c:v>0.7</c:v>
                </c:pt>
                <c:pt idx="4">
                  <c:v>0.7</c:v>
                </c:pt>
                <c:pt idx="5">
                  <c:v>0.7</c:v>
                </c:pt>
                <c:pt idx="6">
                  <c:v>0.7</c:v>
                </c:pt>
                <c:pt idx="7">
                  <c:v>0.7</c:v>
                </c:pt>
                <c:pt idx="8">
                  <c:v>0.7</c:v>
                </c:pt>
                <c:pt idx="9">
                  <c:v>0.7</c:v>
                </c:pt>
              </c:numCache>
            </c:numRef>
          </c:yVal>
          <c:smooth val="1"/>
        </c:ser>
        <c:ser>
          <c:idx val="1"/>
          <c:order val="1"/>
          <c:marker>
            <c:symbol val="none"/>
          </c:marker>
          <c:xVal>
            <c:numRef>
              <c:f>rzeta_bkwd_sh_kmod_orig!$M$70:$M$79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rzeta_bkwd_sh_kmod_orig!$N$70:$N$79</c:f>
              <c:numCache>
                <c:formatCode>0.00</c:formatCode>
                <c:ptCount val="10"/>
                <c:pt idx="0">
                  <c:v>1.0100559863113618</c:v>
                </c:pt>
                <c:pt idx="1">
                  <c:v>0.94180896020924276</c:v>
                </c:pt>
                <c:pt idx="2">
                  <c:v>0.87356193410712368</c:v>
                </c:pt>
                <c:pt idx="3">
                  <c:v>0.82578901583564035</c:v>
                </c:pt>
                <c:pt idx="4">
                  <c:v>0.78620574069641136</c:v>
                </c:pt>
                <c:pt idx="5">
                  <c:v>0.73706788190288564</c:v>
                </c:pt>
                <c:pt idx="6">
                  <c:v>0.7</c:v>
                </c:pt>
                <c:pt idx="7">
                  <c:v>0.7</c:v>
                </c:pt>
                <c:pt idx="8">
                  <c:v>0.7</c:v>
                </c:pt>
                <c:pt idx="9">
                  <c:v>0.7</c:v>
                </c:pt>
              </c:numCache>
            </c:numRef>
          </c:yVal>
          <c:smooth val="1"/>
        </c:ser>
        <c:ser>
          <c:idx val="2"/>
          <c:order val="2"/>
          <c:marker>
            <c:symbol val="none"/>
          </c:marker>
          <c:xVal>
            <c:numRef>
              <c:f>rzeta_bkwd_sh_kmod_orig!$H$70:$H$79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rzeta_bkwd_sh_kmod_orig!$I$70:$I$79</c:f>
              <c:numCache>
                <c:formatCode>0.00</c:formatCode>
                <c:ptCount val="10"/>
                <c:pt idx="0">
                  <c:v>0.8550279931556809</c:v>
                </c:pt>
                <c:pt idx="1">
                  <c:v>0.82090448010462136</c:v>
                </c:pt>
                <c:pt idx="2">
                  <c:v>0.78678096705356182</c:v>
                </c:pt>
                <c:pt idx="3">
                  <c:v>0.76289450791782021</c:v>
                </c:pt>
                <c:pt idx="4">
                  <c:v>0.74310287034820566</c:v>
                </c:pt>
                <c:pt idx="5">
                  <c:v>0.71853394095144285</c:v>
                </c:pt>
                <c:pt idx="6">
                  <c:v>0.7</c:v>
                </c:pt>
                <c:pt idx="7">
                  <c:v>0.7</c:v>
                </c:pt>
                <c:pt idx="8">
                  <c:v>0.7</c:v>
                </c:pt>
                <c:pt idx="9">
                  <c:v>0.7</c:v>
                </c:pt>
              </c:numCache>
            </c:numRef>
          </c:yVal>
          <c:smooth val="1"/>
        </c:ser>
        <c:dLbls>
          <c:showLegendKey val="0"/>
          <c:showVal val="0"/>
          <c:showCatName val="0"/>
          <c:showSerName val="0"/>
          <c:showPercent val="0"/>
          <c:showBubbleSize val="0"/>
        </c:dLbls>
        <c:axId val="133969024"/>
        <c:axId val="133970560"/>
      </c:scatterChart>
      <c:valAx>
        <c:axId val="133969024"/>
        <c:scaling>
          <c:orientation val="minMax"/>
        </c:scaling>
        <c:delete val="0"/>
        <c:axPos val="b"/>
        <c:numFmt formatCode="General" sourceLinked="1"/>
        <c:majorTickMark val="out"/>
        <c:minorTickMark val="none"/>
        <c:tickLblPos val="nextTo"/>
        <c:crossAx val="133970560"/>
        <c:crosses val="autoZero"/>
        <c:crossBetween val="midCat"/>
      </c:valAx>
      <c:valAx>
        <c:axId val="133970560"/>
        <c:scaling>
          <c:orientation val="minMax"/>
        </c:scaling>
        <c:delete val="0"/>
        <c:axPos val="l"/>
        <c:majorGridlines/>
        <c:numFmt formatCode="0.00" sourceLinked="1"/>
        <c:majorTickMark val="out"/>
        <c:minorTickMark val="none"/>
        <c:tickLblPos val="nextTo"/>
        <c:crossAx val="133969024"/>
        <c:crosses val="autoZero"/>
        <c:crossBetween val="midCat"/>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xVal>
            <c:numRef>
              <c:f>rzeta_bkwd_sh_kmod_new!$O$14:$O$23</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rzeta_bkwd_sh_kmod_new!$R$14:$R$23</c:f>
              <c:numCache>
                <c:formatCode>0.000</c:formatCode>
                <c:ptCount val="10"/>
                <c:pt idx="0">
                  <c:v>0.99913646213502283</c:v>
                </c:pt>
                <c:pt idx="1">
                  <c:v>0.91451014976839518</c:v>
                </c:pt>
                <c:pt idx="2">
                  <c:v>0.84262328227416305</c:v>
                </c:pt>
                <c:pt idx="3">
                  <c:v>0.78484080017436897</c:v>
                </c:pt>
                <c:pt idx="4">
                  <c:v>0.74252764399105509</c:v>
                </c:pt>
                <c:pt idx="5">
                  <c:v>0.70021448780774131</c:v>
                </c:pt>
                <c:pt idx="6">
                  <c:v>0.70021448780774131</c:v>
                </c:pt>
                <c:pt idx="7">
                  <c:v>0.6997595076337273</c:v>
                </c:pt>
                <c:pt idx="8">
                  <c:v>0.70021448780774131</c:v>
                </c:pt>
                <c:pt idx="9">
                  <c:v>0.69994149970333286</c:v>
                </c:pt>
              </c:numCache>
            </c:numRef>
          </c:yVal>
          <c:smooth val="1"/>
        </c:ser>
        <c:dLbls>
          <c:showLegendKey val="0"/>
          <c:showVal val="0"/>
          <c:showCatName val="0"/>
          <c:showSerName val="0"/>
          <c:showPercent val="0"/>
          <c:showBubbleSize val="0"/>
        </c:dLbls>
        <c:axId val="134046080"/>
        <c:axId val="134047616"/>
      </c:scatterChart>
      <c:valAx>
        <c:axId val="134046080"/>
        <c:scaling>
          <c:orientation val="minMax"/>
        </c:scaling>
        <c:delete val="0"/>
        <c:axPos val="b"/>
        <c:numFmt formatCode="General" sourceLinked="1"/>
        <c:majorTickMark val="out"/>
        <c:minorTickMark val="none"/>
        <c:tickLblPos val="nextTo"/>
        <c:crossAx val="134047616"/>
        <c:crosses val="autoZero"/>
        <c:crossBetween val="midCat"/>
      </c:valAx>
      <c:valAx>
        <c:axId val="134047616"/>
        <c:scaling>
          <c:orientation val="minMax"/>
          <c:max val="1.1000000000000001"/>
          <c:min val="0.60000000000000009"/>
        </c:scaling>
        <c:delete val="0"/>
        <c:axPos val="l"/>
        <c:majorGridlines/>
        <c:numFmt formatCode="0.000" sourceLinked="1"/>
        <c:majorTickMark val="out"/>
        <c:minorTickMark val="none"/>
        <c:tickLblPos val="nextTo"/>
        <c:crossAx val="134046080"/>
        <c:crosses val="autoZero"/>
        <c:crossBetween val="midCat"/>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rzeta_bkwd_sh_kmod_new!$AC$8:$AC$17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rzeta_bkwd_sh_kmod_new!$AD$8:$AD$17</c:f>
              <c:numCache>
                <c:formatCode>0</c:formatCode>
                <c:ptCount val="10"/>
                <c:pt idx="0">
                  <c:v>36.5</c:v>
                </c:pt>
                <c:pt idx="1">
                  <c:v>64</c:v>
                </c:pt>
                <c:pt idx="2">
                  <c:v>92.5</c:v>
                </c:pt>
                <c:pt idx="3">
                  <c:v>119.5</c:v>
                </c:pt>
                <c:pt idx="4">
                  <c:v>145.5</c:v>
                </c:pt>
                <c:pt idx="5">
                  <c:v>269.5</c:v>
                </c:pt>
                <c:pt idx="6">
                  <c:v>532</c:v>
                </c:pt>
                <c:pt idx="7">
                  <c:v>852</c:v>
                </c:pt>
                <c:pt idx="8">
                  <c:v>1166</c:v>
                </c:pt>
                <c:pt idx="9">
                  <c:v>1467</c:v>
                </c:pt>
              </c:numCache>
            </c:numRef>
          </c:yVal>
          <c:smooth val="1"/>
        </c:ser>
        <c:dLbls>
          <c:showLegendKey val="0"/>
          <c:showVal val="0"/>
          <c:showCatName val="0"/>
          <c:showSerName val="0"/>
          <c:showPercent val="0"/>
          <c:showBubbleSize val="0"/>
        </c:dLbls>
        <c:axId val="134427776"/>
        <c:axId val="134429312"/>
      </c:scatterChart>
      <c:valAx>
        <c:axId val="134427776"/>
        <c:scaling>
          <c:orientation val="minMax"/>
        </c:scaling>
        <c:delete val="0"/>
        <c:axPos val="b"/>
        <c:numFmt formatCode="General" sourceLinked="1"/>
        <c:majorTickMark val="out"/>
        <c:minorTickMark val="none"/>
        <c:tickLblPos val="nextTo"/>
        <c:crossAx val="134429312"/>
        <c:crosses val="autoZero"/>
        <c:crossBetween val="midCat"/>
      </c:valAx>
      <c:valAx>
        <c:axId val="134429312"/>
        <c:scaling>
          <c:orientation val="minMax"/>
        </c:scaling>
        <c:delete val="0"/>
        <c:axPos val="l"/>
        <c:majorGridlines/>
        <c:numFmt formatCode="0" sourceLinked="1"/>
        <c:majorTickMark val="out"/>
        <c:minorTickMark val="none"/>
        <c:tickLblPos val="nextTo"/>
        <c:crossAx val="134427776"/>
        <c:crosses val="autoZero"/>
        <c:crossBetween val="midCat"/>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rzeta_bkwd_sh_kmod_new!$AC$8:$AC$17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rzeta_bkwd_sh_kmod_new!$AE$8:$AE$17</c:f>
              <c:numCache>
                <c:formatCode>0.0</c:formatCode>
                <c:ptCount val="10"/>
                <c:pt idx="0">
                  <c:v>36.5</c:v>
                </c:pt>
                <c:pt idx="1">
                  <c:v>32</c:v>
                </c:pt>
                <c:pt idx="2">
                  <c:v>30.833333333333332</c:v>
                </c:pt>
                <c:pt idx="3">
                  <c:v>29.875</c:v>
                </c:pt>
                <c:pt idx="4">
                  <c:v>29.1</c:v>
                </c:pt>
                <c:pt idx="5">
                  <c:v>26.95</c:v>
                </c:pt>
                <c:pt idx="6">
                  <c:v>26.6</c:v>
                </c:pt>
                <c:pt idx="7">
                  <c:v>28.4</c:v>
                </c:pt>
                <c:pt idx="8">
                  <c:v>29.15</c:v>
                </c:pt>
                <c:pt idx="9">
                  <c:v>29.34</c:v>
                </c:pt>
              </c:numCache>
            </c:numRef>
          </c:yVal>
          <c:smooth val="1"/>
        </c:ser>
        <c:dLbls>
          <c:showLegendKey val="0"/>
          <c:showVal val="0"/>
          <c:showCatName val="0"/>
          <c:showSerName val="0"/>
          <c:showPercent val="0"/>
          <c:showBubbleSize val="0"/>
        </c:dLbls>
        <c:axId val="134445312"/>
        <c:axId val="134545408"/>
      </c:scatterChart>
      <c:valAx>
        <c:axId val="134445312"/>
        <c:scaling>
          <c:orientation val="minMax"/>
        </c:scaling>
        <c:delete val="0"/>
        <c:axPos val="b"/>
        <c:numFmt formatCode="General" sourceLinked="1"/>
        <c:majorTickMark val="out"/>
        <c:minorTickMark val="none"/>
        <c:tickLblPos val="nextTo"/>
        <c:crossAx val="134545408"/>
        <c:crosses val="autoZero"/>
        <c:crossBetween val="midCat"/>
      </c:valAx>
      <c:valAx>
        <c:axId val="134545408"/>
        <c:scaling>
          <c:orientation val="minMax"/>
          <c:min val="20"/>
        </c:scaling>
        <c:delete val="0"/>
        <c:axPos val="l"/>
        <c:majorGridlines/>
        <c:numFmt formatCode="0.0" sourceLinked="1"/>
        <c:majorTickMark val="out"/>
        <c:minorTickMark val="none"/>
        <c:tickLblPos val="nextTo"/>
        <c:crossAx val="1344453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6" Type="http://schemas.openxmlformats.org/officeDocument/2006/relationships/chart" Target="../charts/chart45.xml"/><Relationship Id="rId5" Type="http://schemas.openxmlformats.org/officeDocument/2006/relationships/chart" Target="../charts/chart44.xml"/><Relationship Id="rId4" Type="http://schemas.openxmlformats.org/officeDocument/2006/relationships/chart" Target="../charts/chart43.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5" Type="http://schemas.openxmlformats.org/officeDocument/2006/relationships/chart" Target="../charts/chart16.xml"/><Relationship Id="rId4"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chart" Target="../charts/chart21.xml"/><Relationship Id="rId4" Type="http://schemas.openxmlformats.org/officeDocument/2006/relationships/chart" Target="../charts/chart2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5" Type="http://schemas.openxmlformats.org/officeDocument/2006/relationships/chart" Target="../charts/chart26.xml"/><Relationship Id="rId4" Type="http://schemas.openxmlformats.org/officeDocument/2006/relationships/chart" Target="../charts/chart2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5" Type="http://schemas.openxmlformats.org/officeDocument/2006/relationships/chart" Target="../charts/chart32.xml"/><Relationship Id="rId4"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4</xdr:col>
      <xdr:colOff>508000</xdr:colOff>
      <xdr:row>9</xdr:row>
      <xdr:rowOff>127000</xdr:rowOff>
    </xdr:from>
    <xdr:to>
      <xdr:col>5</xdr:col>
      <xdr:colOff>0</xdr:colOff>
      <xdr:row>10</xdr:row>
      <xdr:rowOff>42333</xdr:rowOff>
    </xdr:to>
    <xdr:cxnSp macro="">
      <xdr:nvCxnSpPr>
        <xdr:cNvPr id="2" name="Straight Arrow Connector 1"/>
        <xdr:cNvCxnSpPr/>
      </xdr:nvCxnSpPr>
      <xdr:spPr>
        <a:xfrm flipH="1">
          <a:off x="2946400" y="1841500"/>
          <a:ext cx="101600" cy="105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508000</xdr:colOff>
      <xdr:row>9</xdr:row>
      <xdr:rowOff>137584</xdr:rowOff>
    </xdr:from>
    <xdr:to>
      <xdr:col>11</xdr:col>
      <xdr:colOff>1</xdr:colOff>
      <xdr:row>10</xdr:row>
      <xdr:rowOff>52917</xdr:rowOff>
    </xdr:to>
    <xdr:cxnSp macro="">
      <xdr:nvCxnSpPr>
        <xdr:cNvPr id="3" name="Straight Arrow Connector 2"/>
        <xdr:cNvCxnSpPr/>
      </xdr:nvCxnSpPr>
      <xdr:spPr>
        <a:xfrm flipH="1">
          <a:off x="6375400" y="1852084"/>
          <a:ext cx="101601" cy="105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269874</xdr:colOff>
      <xdr:row>22</xdr:row>
      <xdr:rowOff>95250</xdr:rowOff>
    </xdr:from>
    <xdr:to>
      <xdr:col>18</xdr:col>
      <xdr:colOff>116417</xdr:colOff>
      <xdr:row>32</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275169</xdr:colOff>
      <xdr:row>32</xdr:row>
      <xdr:rowOff>84667</xdr:rowOff>
    </xdr:from>
    <xdr:to>
      <xdr:col>18</xdr:col>
      <xdr:colOff>137584</xdr:colOff>
      <xdr:row>42</xdr:row>
      <xdr:rowOff>8467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329558</xdr:colOff>
      <xdr:row>65</xdr:row>
      <xdr:rowOff>44303</xdr:rowOff>
    </xdr:from>
    <xdr:to>
      <xdr:col>18</xdr:col>
      <xdr:colOff>437213</xdr:colOff>
      <xdr:row>75</xdr:row>
      <xdr:rowOff>173134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79373</xdr:colOff>
      <xdr:row>48</xdr:row>
      <xdr:rowOff>20107</xdr:rowOff>
    </xdr:from>
    <xdr:to>
      <xdr:col>12</xdr:col>
      <xdr:colOff>137583</xdr:colOff>
      <xdr:row>62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335833</xdr:colOff>
      <xdr:row>76</xdr:row>
      <xdr:rowOff>54884</xdr:rowOff>
    </xdr:from>
    <xdr:to>
      <xdr:col>18</xdr:col>
      <xdr:colOff>444499</xdr:colOff>
      <xdr:row>87</xdr:row>
      <xdr:rowOff>128968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391583</xdr:colOff>
      <xdr:row>167</xdr:row>
      <xdr:rowOff>31750</xdr:rowOff>
    </xdr:from>
    <xdr:to>
      <xdr:col>7</xdr:col>
      <xdr:colOff>391583</xdr:colOff>
      <xdr:row>168</xdr:row>
      <xdr:rowOff>10583</xdr:rowOff>
    </xdr:to>
    <xdr:cxnSp macro="">
      <xdr:nvCxnSpPr>
        <xdr:cNvPr id="7" name="Straight Arrow Connector 6"/>
        <xdr:cNvCxnSpPr/>
      </xdr:nvCxnSpPr>
      <xdr:spPr>
        <a:xfrm flipV="1">
          <a:off x="5306483" y="318166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368496</xdr:colOff>
      <xdr:row>167</xdr:row>
      <xdr:rowOff>142506</xdr:rowOff>
    </xdr:from>
    <xdr:to>
      <xdr:col>9</xdr:col>
      <xdr:colOff>368496</xdr:colOff>
      <xdr:row>168</xdr:row>
      <xdr:rowOff>163672</xdr:rowOff>
    </xdr:to>
    <xdr:cxnSp macro="">
      <xdr:nvCxnSpPr>
        <xdr:cNvPr id="8" name="Straight Arrow Connector 7"/>
        <xdr:cNvCxnSpPr/>
      </xdr:nvCxnSpPr>
      <xdr:spPr>
        <a:xfrm>
          <a:off x="6693096" y="31927431"/>
          <a:ext cx="0" cy="211666"/>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402462</xdr:colOff>
      <xdr:row>145</xdr:row>
      <xdr:rowOff>95742</xdr:rowOff>
    </xdr:from>
    <xdr:to>
      <xdr:col>3</xdr:col>
      <xdr:colOff>402462</xdr:colOff>
      <xdr:row>146</xdr:row>
      <xdr:rowOff>116909</xdr:rowOff>
    </xdr:to>
    <xdr:cxnSp macro="">
      <xdr:nvCxnSpPr>
        <xdr:cNvPr id="9" name="Straight Arrow Connector 8"/>
        <xdr:cNvCxnSpPr/>
      </xdr:nvCxnSpPr>
      <xdr:spPr>
        <a:xfrm>
          <a:off x="2478912" y="27689667"/>
          <a:ext cx="0"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391583</xdr:colOff>
      <xdr:row>197</xdr:row>
      <xdr:rowOff>31750</xdr:rowOff>
    </xdr:from>
    <xdr:to>
      <xdr:col>7</xdr:col>
      <xdr:colOff>391583</xdr:colOff>
      <xdr:row>198</xdr:row>
      <xdr:rowOff>10583</xdr:rowOff>
    </xdr:to>
    <xdr:cxnSp macro="">
      <xdr:nvCxnSpPr>
        <xdr:cNvPr id="10" name="Straight Arrow Connector 9"/>
        <xdr:cNvCxnSpPr/>
      </xdr:nvCxnSpPr>
      <xdr:spPr>
        <a:xfrm flipV="1">
          <a:off x="5306483" y="375316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346345</xdr:colOff>
      <xdr:row>197</xdr:row>
      <xdr:rowOff>120355</xdr:rowOff>
    </xdr:from>
    <xdr:to>
      <xdr:col>9</xdr:col>
      <xdr:colOff>346345</xdr:colOff>
      <xdr:row>198</xdr:row>
      <xdr:rowOff>141522</xdr:rowOff>
    </xdr:to>
    <xdr:cxnSp macro="">
      <xdr:nvCxnSpPr>
        <xdr:cNvPr id="11" name="Straight Arrow Connector 10"/>
        <xdr:cNvCxnSpPr/>
      </xdr:nvCxnSpPr>
      <xdr:spPr>
        <a:xfrm>
          <a:off x="6670945" y="37620280"/>
          <a:ext cx="0" cy="21166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642385</xdr:colOff>
      <xdr:row>8</xdr:row>
      <xdr:rowOff>121831</xdr:rowOff>
    </xdr:from>
    <xdr:to>
      <xdr:col>12</xdr:col>
      <xdr:colOff>542704</xdr:colOff>
      <xdr:row>8</xdr:row>
      <xdr:rowOff>121831</xdr:rowOff>
    </xdr:to>
    <xdr:cxnSp macro="">
      <xdr:nvCxnSpPr>
        <xdr:cNvPr id="12" name="Straight Arrow Connector 11"/>
        <xdr:cNvCxnSpPr/>
      </xdr:nvCxnSpPr>
      <xdr:spPr>
        <a:xfrm>
          <a:off x="5557285" y="1645831"/>
          <a:ext cx="34436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365494</xdr:colOff>
      <xdr:row>61</xdr:row>
      <xdr:rowOff>88605</xdr:rowOff>
    </xdr:from>
    <xdr:to>
      <xdr:col>1</xdr:col>
      <xdr:colOff>587006</xdr:colOff>
      <xdr:row>62</xdr:row>
      <xdr:rowOff>88605</xdr:rowOff>
    </xdr:to>
    <xdr:cxnSp macro="">
      <xdr:nvCxnSpPr>
        <xdr:cNvPr id="13" name="Straight Arrow Connector 12"/>
        <xdr:cNvCxnSpPr/>
      </xdr:nvCxnSpPr>
      <xdr:spPr>
        <a:xfrm>
          <a:off x="975094" y="11709105"/>
          <a:ext cx="221512" cy="1905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99681</xdr:colOff>
      <xdr:row>61</xdr:row>
      <xdr:rowOff>143983</xdr:rowOff>
    </xdr:from>
    <xdr:to>
      <xdr:col>3</xdr:col>
      <xdr:colOff>343343</xdr:colOff>
      <xdr:row>62</xdr:row>
      <xdr:rowOff>99680</xdr:rowOff>
    </xdr:to>
    <xdr:cxnSp macro="">
      <xdr:nvCxnSpPr>
        <xdr:cNvPr id="14" name="Straight Arrow Connector 13"/>
        <xdr:cNvCxnSpPr/>
      </xdr:nvCxnSpPr>
      <xdr:spPr>
        <a:xfrm flipV="1">
          <a:off x="2176131" y="11764483"/>
          <a:ext cx="243662" cy="14619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354417</xdr:colOff>
      <xdr:row>123</xdr:row>
      <xdr:rowOff>2</xdr:rowOff>
    </xdr:from>
    <xdr:to>
      <xdr:col>14</xdr:col>
      <xdr:colOff>354417</xdr:colOff>
      <xdr:row>124</xdr:row>
      <xdr:rowOff>11078</xdr:rowOff>
    </xdr:to>
    <xdr:cxnSp macro="">
      <xdr:nvCxnSpPr>
        <xdr:cNvPr id="15" name="Straight Connector 14"/>
        <xdr:cNvCxnSpPr/>
      </xdr:nvCxnSpPr>
      <xdr:spPr>
        <a:xfrm flipV="1">
          <a:off x="10231842" y="23431502"/>
          <a:ext cx="0" cy="20157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387645</xdr:colOff>
      <xdr:row>123</xdr:row>
      <xdr:rowOff>1</xdr:rowOff>
    </xdr:from>
    <xdr:to>
      <xdr:col>8</xdr:col>
      <xdr:colOff>387645</xdr:colOff>
      <xdr:row>124</xdr:row>
      <xdr:rowOff>11076</xdr:rowOff>
    </xdr:to>
    <xdr:cxnSp macro="">
      <xdr:nvCxnSpPr>
        <xdr:cNvPr id="16" name="Straight Arrow Connector 15"/>
        <xdr:cNvCxnSpPr/>
      </xdr:nvCxnSpPr>
      <xdr:spPr>
        <a:xfrm>
          <a:off x="6007395" y="23431501"/>
          <a:ext cx="0" cy="2015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398721</xdr:colOff>
      <xdr:row>123</xdr:row>
      <xdr:rowOff>1</xdr:rowOff>
    </xdr:from>
    <xdr:to>
      <xdr:col>14</xdr:col>
      <xdr:colOff>343343</xdr:colOff>
      <xdr:row>123</xdr:row>
      <xdr:rowOff>1</xdr:rowOff>
    </xdr:to>
    <xdr:cxnSp macro="">
      <xdr:nvCxnSpPr>
        <xdr:cNvPr id="17" name="Straight Connector 16"/>
        <xdr:cNvCxnSpPr/>
      </xdr:nvCxnSpPr>
      <xdr:spPr>
        <a:xfrm>
          <a:off x="6018471" y="23431501"/>
          <a:ext cx="4202297"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145</xdr:row>
      <xdr:rowOff>11086</xdr:rowOff>
    </xdr:from>
    <xdr:to>
      <xdr:col>5</xdr:col>
      <xdr:colOff>354419</xdr:colOff>
      <xdr:row>145</xdr:row>
      <xdr:rowOff>148246</xdr:rowOff>
    </xdr:to>
    <xdr:cxnSp macro="">
      <xdr:nvCxnSpPr>
        <xdr:cNvPr id="18" name="Straight Arrow Connector 17"/>
        <xdr:cNvCxnSpPr/>
      </xdr:nvCxnSpPr>
      <xdr:spPr>
        <a:xfrm flipV="1">
          <a:off x="3850094" y="2760501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376570</xdr:colOff>
      <xdr:row>145</xdr:row>
      <xdr:rowOff>22156</xdr:rowOff>
    </xdr:from>
    <xdr:to>
      <xdr:col>6</xdr:col>
      <xdr:colOff>376570</xdr:colOff>
      <xdr:row>145</xdr:row>
      <xdr:rowOff>159316</xdr:rowOff>
    </xdr:to>
    <xdr:cxnSp macro="">
      <xdr:nvCxnSpPr>
        <xdr:cNvPr id="19" name="Straight Arrow Connector 18"/>
        <xdr:cNvCxnSpPr/>
      </xdr:nvCxnSpPr>
      <xdr:spPr>
        <a:xfrm>
          <a:off x="4577095" y="2761608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351761</xdr:colOff>
      <xdr:row>124</xdr:row>
      <xdr:rowOff>19495</xdr:rowOff>
    </xdr:from>
    <xdr:to>
      <xdr:col>3</xdr:col>
      <xdr:colOff>351761</xdr:colOff>
      <xdr:row>124</xdr:row>
      <xdr:rowOff>184087</xdr:rowOff>
    </xdr:to>
    <xdr:cxnSp macro="">
      <xdr:nvCxnSpPr>
        <xdr:cNvPr id="20" name="Straight Arrow Connector 19"/>
        <xdr:cNvCxnSpPr/>
      </xdr:nvCxnSpPr>
      <xdr:spPr>
        <a:xfrm>
          <a:off x="2428211" y="23641495"/>
          <a:ext cx="0" cy="16459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354419</xdr:colOff>
      <xdr:row>159</xdr:row>
      <xdr:rowOff>0</xdr:rowOff>
    </xdr:from>
    <xdr:to>
      <xdr:col>17</xdr:col>
      <xdr:colOff>365495</xdr:colOff>
      <xdr:row>159</xdr:row>
      <xdr:rowOff>0</xdr:rowOff>
    </xdr:to>
    <xdr:cxnSp macro="">
      <xdr:nvCxnSpPr>
        <xdr:cNvPr id="21" name="Straight Connector 20"/>
        <xdr:cNvCxnSpPr/>
      </xdr:nvCxnSpPr>
      <xdr:spPr>
        <a:xfrm>
          <a:off x="3850094" y="30260925"/>
          <a:ext cx="8602626"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158</xdr:row>
      <xdr:rowOff>44313</xdr:rowOff>
    </xdr:from>
    <xdr:to>
      <xdr:col>5</xdr:col>
      <xdr:colOff>354419</xdr:colOff>
      <xdr:row>158</xdr:row>
      <xdr:rowOff>181473</xdr:rowOff>
    </xdr:to>
    <xdr:cxnSp macro="">
      <xdr:nvCxnSpPr>
        <xdr:cNvPr id="22" name="Straight Arrow Connector 21"/>
        <xdr:cNvCxnSpPr/>
      </xdr:nvCxnSpPr>
      <xdr:spPr>
        <a:xfrm flipV="1">
          <a:off x="3850094" y="30114738"/>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387646</xdr:colOff>
      <xdr:row>158</xdr:row>
      <xdr:rowOff>55379</xdr:rowOff>
    </xdr:from>
    <xdr:to>
      <xdr:col>17</xdr:col>
      <xdr:colOff>387646</xdr:colOff>
      <xdr:row>159</xdr:row>
      <xdr:rowOff>4254</xdr:rowOff>
    </xdr:to>
    <xdr:cxnSp macro="">
      <xdr:nvCxnSpPr>
        <xdr:cNvPr id="23" name="Straight Arrow Connector 22"/>
        <xdr:cNvCxnSpPr/>
      </xdr:nvCxnSpPr>
      <xdr:spPr>
        <a:xfrm>
          <a:off x="12474871" y="30125804"/>
          <a:ext cx="0" cy="1393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333375</xdr:colOff>
      <xdr:row>142</xdr:row>
      <xdr:rowOff>162368</xdr:rowOff>
    </xdr:from>
    <xdr:to>
      <xdr:col>40</xdr:col>
      <xdr:colOff>32120</xdr:colOff>
      <xdr:row>157</xdr:row>
      <xdr:rowOff>81294</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498401</xdr:colOff>
      <xdr:row>78</xdr:row>
      <xdr:rowOff>55378</xdr:rowOff>
    </xdr:from>
    <xdr:to>
      <xdr:col>16</xdr:col>
      <xdr:colOff>343344</xdr:colOff>
      <xdr:row>84</xdr:row>
      <xdr:rowOff>88604</xdr:rowOff>
    </xdr:to>
    <xdr:cxnSp macro="">
      <xdr:nvCxnSpPr>
        <xdr:cNvPr id="25" name="Straight Connector 24"/>
        <xdr:cNvCxnSpPr/>
      </xdr:nvCxnSpPr>
      <xdr:spPr>
        <a:xfrm flipV="1">
          <a:off x="8956601" y="14914378"/>
          <a:ext cx="2692918" cy="117622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276892</xdr:colOff>
      <xdr:row>29</xdr:row>
      <xdr:rowOff>121831</xdr:rowOff>
    </xdr:from>
    <xdr:to>
      <xdr:col>7</xdr:col>
      <xdr:colOff>631311</xdr:colOff>
      <xdr:row>29</xdr:row>
      <xdr:rowOff>121831</xdr:rowOff>
    </xdr:to>
    <xdr:cxnSp macro="">
      <xdr:nvCxnSpPr>
        <xdr:cNvPr id="26" name="Straight Arrow Connector 25"/>
        <xdr:cNvCxnSpPr/>
      </xdr:nvCxnSpPr>
      <xdr:spPr>
        <a:xfrm flipH="1">
          <a:off x="5191792" y="5646331"/>
          <a:ext cx="3544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531628</xdr:colOff>
      <xdr:row>77</xdr:row>
      <xdr:rowOff>33227</xdr:rowOff>
    </xdr:from>
    <xdr:to>
      <xdr:col>1</xdr:col>
      <xdr:colOff>641356</xdr:colOff>
      <xdr:row>82</xdr:row>
      <xdr:rowOff>97643</xdr:rowOff>
    </xdr:to>
    <xdr:sp macro="" textlink="">
      <xdr:nvSpPr>
        <xdr:cNvPr id="27" name="Left Brace 26"/>
        <xdr:cNvSpPr/>
      </xdr:nvSpPr>
      <xdr:spPr>
        <a:xfrm>
          <a:off x="1141228" y="14701727"/>
          <a:ext cx="109728" cy="101691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28" name="Left Brace 27"/>
        <xdr:cNvSpPr/>
      </xdr:nvSpPr>
      <xdr:spPr>
        <a:xfrm>
          <a:off x="1138568" y="15751249"/>
          <a:ext cx="109728" cy="8340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221514</xdr:colOff>
      <xdr:row>69</xdr:row>
      <xdr:rowOff>132907</xdr:rowOff>
    </xdr:from>
    <xdr:to>
      <xdr:col>6</xdr:col>
      <xdr:colOff>598084</xdr:colOff>
      <xdr:row>69</xdr:row>
      <xdr:rowOff>132907</xdr:rowOff>
    </xdr:to>
    <xdr:cxnSp macro="">
      <xdr:nvCxnSpPr>
        <xdr:cNvPr id="29" name="Straight Arrow Connector 28"/>
        <xdr:cNvCxnSpPr/>
      </xdr:nvCxnSpPr>
      <xdr:spPr>
        <a:xfrm flipH="1">
          <a:off x="4422039" y="13277407"/>
          <a:ext cx="37657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269874</xdr:colOff>
      <xdr:row>22</xdr:row>
      <xdr:rowOff>95250</xdr:rowOff>
    </xdr:from>
    <xdr:to>
      <xdr:col>18</xdr:col>
      <xdr:colOff>116417</xdr:colOff>
      <xdr:row>32</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275169</xdr:colOff>
      <xdr:row>32</xdr:row>
      <xdr:rowOff>84667</xdr:rowOff>
    </xdr:from>
    <xdr:to>
      <xdr:col>18</xdr:col>
      <xdr:colOff>137584</xdr:colOff>
      <xdr:row>42</xdr:row>
      <xdr:rowOff>8467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329558</xdr:colOff>
      <xdr:row>65</xdr:row>
      <xdr:rowOff>44303</xdr:rowOff>
    </xdr:from>
    <xdr:to>
      <xdr:col>18</xdr:col>
      <xdr:colOff>437213</xdr:colOff>
      <xdr:row>75</xdr:row>
      <xdr:rowOff>173134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79373</xdr:colOff>
      <xdr:row>48</xdr:row>
      <xdr:rowOff>20107</xdr:rowOff>
    </xdr:from>
    <xdr:to>
      <xdr:col>12</xdr:col>
      <xdr:colOff>137583</xdr:colOff>
      <xdr:row>62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335833</xdr:colOff>
      <xdr:row>76</xdr:row>
      <xdr:rowOff>54884</xdr:rowOff>
    </xdr:from>
    <xdr:to>
      <xdr:col>18</xdr:col>
      <xdr:colOff>444499</xdr:colOff>
      <xdr:row>87</xdr:row>
      <xdr:rowOff>128968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391583</xdr:colOff>
      <xdr:row>167</xdr:row>
      <xdr:rowOff>31750</xdr:rowOff>
    </xdr:from>
    <xdr:to>
      <xdr:col>7</xdr:col>
      <xdr:colOff>391583</xdr:colOff>
      <xdr:row>168</xdr:row>
      <xdr:rowOff>10583</xdr:rowOff>
    </xdr:to>
    <xdr:cxnSp macro="">
      <xdr:nvCxnSpPr>
        <xdr:cNvPr id="7" name="Straight Arrow Connector 6"/>
        <xdr:cNvCxnSpPr/>
      </xdr:nvCxnSpPr>
      <xdr:spPr>
        <a:xfrm flipV="1">
          <a:off x="5306483" y="318166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368496</xdr:colOff>
      <xdr:row>167</xdr:row>
      <xdr:rowOff>142506</xdr:rowOff>
    </xdr:from>
    <xdr:to>
      <xdr:col>9</xdr:col>
      <xdr:colOff>368496</xdr:colOff>
      <xdr:row>168</xdr:row>
      <xdr:rowOff>163672</xdr:rowOff>
    </xdr:to>
    <xdr:cxnSp macro="">
      <xdr:nvCxnSpPr>
        <xdr:cNvPr id="8" name="Straight Arrow Connector 7"/>
        <xdr:cNvCxnSpPr/>
      </xdr:nvCxnSpPr>
      <xdr:spPr>
        <a:xfrm>
          <a:off x="6693096" y="31927431"/>
          <a:ext cx="0" cy="211666"/>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402462</xdr:colOff>
      <xdr:row>145</xdr:row>
      <xdr:rowOff>95742</xdr:rowOff>
    </xdr:from>
    <xdr:to>
      <xdr:col>3</xdr:col>
      <xdr:colOff>402462</xdr:colOff>
      <xdr:row>146</xdr:row>
      <xdr:rowOff>116909</xdr:rowOff>
    </xdr:to>
    <xdr:cxnSp macro="">
      <xdr:nvCxnSpPr>
        <xdr:cNvPr id="9" name="Straight Arrow Connector 8"/>
        <xdr:cNvCxnSpPr/>
      </xdr:nvCxnSpPr>
      <xdr:spPr>
        <a:xfrm>
          <a:off x="2478912" y="27689667"/>
          <a:ext cx="0"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391583</xdr:colOff>
      <xdr:row>197</xdr:row>
      <xdr:rowOff>31750</xdr:rowOff>
    </xdr:from>
    <xdr:to>
      <xdr:col>7</xdr:col>
      <xdr:colOff>391583</xdr:colOff>
      <xdr:row>198</xdr:row>
      <xdr:rowOff>10583</xdr:rowOff>
    </xdr:to>
    <xdr:cxnSp macro="">
      <xdr:nvCxnSpPr>
        <xdr:cNvPr id="10" name="Straight Arrow Connector 9"/>
        <xdr:cNvCxnSpPr/>
      </xdr:nvCxnSpPr>
      <xdr:spPr>
        <a:xfrm flipV="1">
          <a:off x="5306483" y="375316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346345</xdr:colOff>
      <xdr:row>197</xdr:row>
      <xdr:rowOff>120355</xdr:rowOff>
    </xdr:from>
    <xdr:to>
      <xdr:col>9</xdr:col>
      <xdr:colOff>346345</xdr:colOff>
      <xdr:row>198</xdr:row>
      <xdr:rowOff>141522</xdr:rowOff>
    </xdr:to>
    <xdr:cxnSp macro="">
      <xdr:nvCxnSpPr>
        <xdr:cNvPr id="11" name="Straight Arrow Connector 10"/>
        <xdr:cNvCxnSpPr/>
      </xdr:nvCxnSpPr>
      <xdr:spPr>
        <a:xfrm>
          <a:off x="6670945" y="37620280"/>
          <a:ext cx="0" cy="21166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642385</xdr:colOff>
      <xdr:row>8</xdr:row>
      <xdr:rowOff>121831</xdr:rowOff>
    </xdr:from>
    <xdr:to>
      <xdr:col>12</xdr:col>
      <xdr:colOff>542704</xdr:colOff>
      <xdr:row>8</xdr:row>
      <xdr:rowOff>121831</xdr:rowOff>
    </xdr:to>
    <xdr:cxnSp macro="">
      <xdr:nvCxnSpPr>
        <xdr:cNvPr id="12" name="Straight Arrow Connector 11"/>
        <xdr:cNvCxnSpPr/>
      </xdr:nvCxnSpPr>
      <xdr:spPr>
        <a:xfrm>
          <a:off x="5557285" y="1645831"/>
          <a:ext cx="34436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365494</xdr:colOff>
      <xdr:row>61</xdr:row>
      <xdr:rowOff>88605</xdr:rowOff>
    </xdr:from>
    <xdr:to>
      <xdr:col>1</xdr:col>
      <xdr:colOff>587006</xdr:colOff>
      <xdr:row>62</xdr:row>
      <xdr:rowOff>88605</xdr:rowOff>
    </xdr:to>
    <xdr:cxnSp macro="">
      <xdr:nvCxnSpPr>
        <xdr:cNvPr id="13" name="Straight Arrow Connector 12"/>
        <xdr:cNvCxnSpPr/>
      </xdr:nvCxnSpPr>
      <xdr:spPr>
        <a:xfrm>
          <a:off x="975094" y="11709105"/>
          <a:ext cx="221512" cy="1905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99681</xdr:colOff>
      <xdr:row>61</xdr:row>
      <xdr:rowOff>143983</xdr:rowOff>
    </xdr:from>
    <xdr:to>
      <xdr:col>3</xdr:col>
      <xdr:colOff>343343</xdr:colOff>
      <xdr:row>62</xdr:row>
      <xdr:rowOff>99680</xdr:rowOff>
    </xdr:to>
    <xdr:cxnSp macro="">
      <xdr:nvCxnSpPr>
        <xdr:cNvPr id="14" name="Straight Arrow Connector 13"/>
        <xdr:cNvCxnSpPr/>
      </xdr:nvCxnSpPr>
      <xdr:spPr>
        <a:xfrm flipV="1">
          <a:off x="2176131" y="11764483"/>
          <a:ext cx="243662" cy="14619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354417</xdr:colOff>
      <xdr:row>123</xdr:row>
      <xdr:rowOff>2</xdr:rowOff>
    </xdr:from>
    <xdr:to>
      <xdr:col>14</xdr:col>
      <xdr:colOff>354417</xdr:colOff>
      <xdr:row>124</xdr:row>
      <xdr:rowOff>11078</xdr:rowOff>
    </xdr:to>
    <xdr:cxnSp macro="">
      <xdr:nvCxnSpPr>
        <xdr:cNvPr id="15" name="Straight Connector 14"/>
        <xdr:cNvCxnSpPr/>
      </xdr:nvCxnSpPr>
      <xdr:spPr>
        <a:xfrm flipV="1">
          <a:off x="10231842" y="23431502"/>
          <a:ext cx="0" cy="20157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387645</xdr:colOff>
      <xdr:row>123</xdr:row>
      <xdr:rowOff>1</xdr:rowOff>
    </xdr:from>
    <xdr:to>
      <xdr:col>8</xdr:col>
      <xdr:colOff>387645</xdr:colOff>
      <xdr:row>124</xdr:row>
      <xdr:rowOff>11076</xdr:rowOff>
    </xdr:to>
    <xdr:cxnSp macro="">
      <xdr:nvCxnSpPr>
        <xdr:cNvPr id="16" name="Straight Arrow Connector 15"/>
        <xdr:cNvCxnSpPr/>
      </xdr:nvCxnSpPr>
      <xdr:spPr>
        <a:xfrm>
          <a:off x="6007395" y="23431501"/>
          <a:ext cx="0" cy="2015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398721</xdr:colOff>
      <xdr:row>123</xdr:row>
      <xdr:rowOff>1</xdr:rowOff>
    </xdr:from>
    <xdr:to>
      <xdr:col>14</xdr:col>
      <xdr:colOff>343343</xdr:colOff>
      <xdr:row>123</xdr:row>
      <xdr:rowOff>1</xdr:rowOff>
    </xdr:to>
    <xdr:cxnSp macro="">
      <xdr:nvCxnSpPr>
        <xdr:cNvPr id="17" name="Straight Connector 16"/>
        <xdr:cNvCxnSpPr/>
      </xdr:nvCxnSpPr>
      <xdr:spPr>
        <a:xfrm>
          <a:off x="6018471" y="23431501"/>
          <a:ext cx="4202297"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145</xdr:row>
      <xdr:rowOff>11086</xdr:rowOff>
    </xdr:from>
    <xdr:to>
      <xdr:col>5</xdr:col>
      <xdr:colOff>354419</xdr:colOff>
      <xdr:row>145</xdr:row>
      <xdr:rowOff>148246</xdr:rowOff>
    </xdr:to>
    <xdr:cxnSp macro="">
      <xdr:nvCxnSpPr>
        <xdr:cNvPr id="18" name="Straight Arrow Connector 17"/>
        <xdr:cNvCxnSpPr/>
      </xdr:nvCxnSpPr>
      <xdr:spPr>
        <a:xfrm flipV="1">
          <a:off x="3850094" y="2760501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376570</xdr:colOff>
      <xdr:row>145</xdr:row>
      <xdr:rowOff>22156</xdr:rowOff>
    </xdr:from>
    <xdr:to>
      <xdr:col>6</xdr:col>
      <xdr:colOff>376570</xdr:colOff>
      <xdr:row>145</xdr:row>
      <xdr:rowOff>159316</xdr:rowOff>
    </xdr:to>
    <xdr:cxnSp macro="">
      <xdr:nvCxnSpPr>
        <xdr:cNvPr id="19" name="Straight Arrow Connector 18"/>
        <xdr:cNvCxnSpPr/>
      </xdr:nvCxnSpPr>
      <xdr:spPr>
        <a:xfrm>
          <a:off x="4577095" y="2761608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351761</xdr:colOff>
      <xdr:row>124</xdr:row>
      <xdr:rowOff>19495</xdr:rowOff>
    </xdr:from>
    <xdr:to>
      <xdr:col>3</xdr:col>
      <xdr:colOff>351761</xdr:colOff>
      <xdr:row>124</xdr:row>
      <xdr:rowOff>184087</xdr:rowOff>
    </xdr:to>
    <xdr:cxnSp macro="">
      <xdr:nvCxnSpPr>
        <xdr:cNvPr id="20" name="Straight Arrow Connector 19"/>
        <xdr:cNvCxnSpPr/>
      </xdr:nvCxnSpPr>
      <xdr:spPr>
        <a:xfrm>
          <a:off x="2428211" y="23641495"/>
          <a:ext cx="0" cy="16459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354419</xdr:colOff>
      <xdr:row>159</xdr:row>
      <xdr:rowOff>0</xdr:rowOff>
    </xdr:from>
    <xdr:to>
      <xdr:col>17</xdr:col>
      <xdr:colOff>365495</xdr:colOff>
      <xdr:row>159</xdr:row>
      <xdr:rowOff>0</xdr:rowOff>
    </xdr:to>
    <xdr:cxnSp macro="">
      <xdr:nvCxnSpPr>
        <xdr:cNvPr id="21" name="Straight Connector 20"/>
        <xdr:cNvCxnSpPr/>
      </xdr:nvCxnSpPr>
      <xdr:spPr>
        <a:xfrm>
          <a:off x="3850094" y="30260925"/>
          <a:ext cx="8602626"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158</xdr:row>
      <xdr:rowOff>44313</xdr:rowOff>
    </xdr:from>
    <xdr:to>
      <xdr:col>5</xdr:col>
      <xdr:colOff>354419</xdr:colOff>
      <xdr:row>158</xdr:row>
      <xdr:rowOff>181473</xdr:rowOff>
    </xdr:to>
    <xdr:cxnSp macro="">
      <xdr:nvCxnSpPr>
        <xdr:cNvPr id="22" name="Straight Arrow Connector 21"/>
        <xdr:cNvCxnSpPr/>
      </xdr:nvCxnSpPr>
      <xdr:spPr>
        <a:xfrm flipV="1">
          <a:off x="3850094" y="30114738"/>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387646</xdr:colOff>
      <xdr:row>158</xdr:row>
      <xdr:rowOff>55379</xdr:rowOff>
    </xdr:from>
    <xdr:to>
      <xdr:col>17</xdr:col>
      <xdr:colOff>387646</xdr:colOff>
      <xdr:row>159</xdr:row>
      <xdr:rowOff>4254</xdr:rowOff>
    </xdr:to>
    <xdr:cxnSp macro="">
      <xdr:nvCxnSpPr>
        <xdr:cNvPr id="23" name="Straight Arrow Connector 22"/>
        <xdr:cNvCxnSpPr/>
      </xdr:nvCxnSpPr>
      <xdr:spPr>
        <a:xfrm>
          <a:off x="12474871" y="30125804"/>
          <a:ext cx="0" cy="1393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498401</xdr:colOff>
      <xdr:row>78</xdr:row>
      <xdr:rowOff>55378</xdr:rowOff>
    </xdr:from>
    <xdr:to>
      <xdr:col>16</xdr:col>
      <xdr:colOff>343344</xdr:colOff>
      <xdr:row>84</xdr:row>
      <xdr:rowOff>88604</xdr:rowOff>
    </xdr:to>
    <xdr:cxnSp macro="">
      <xdr:nvCxnSpPr>
        <xdr:cNvPr id="25" name="Straight Connector 24"/>
        <xdr:cNvCxnSpPr/>
      </xdr:nvCxnSpPr>
      <xdr:spPr>
        <a:xfrm flipV="1">
          <a:off x="8956601" y="14914378"/>
          <a:ext cx="2692918" cy="117622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276892</xdr:colOff>
      <xdr:row>29</xdr:row>
      <xdr:rowOff>121831</xdr:rowOff>
    </xdr:from>
    <xdr:to>
      <xdr:col>7</xdr:col>
      <xdr:colOff>631311</xdr:colOff>
      <xdr:row>29</xdr:row>
      <xdr:rowOff>121831</xdr:rowOff>
    </xdr:to>
    <xdr:cxnSp macro="">
      <xdr:nvCxnSpPr>
        <xdr:cNvPr id="26" name="Straight Arrow Connector 25"/>
        <xdr:cNvCxnSpPr/>
      </xdr:nvCxnSpPr>
      <xdr:spPr>
        <a:xfrm flipH="1">
          <a:off x="5191792" y="5646331"/>
          <a:ext cx="3544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531628</xdr:colOff>
      <xdr:row>77</xdr:row>
      <xdr:rowOff>33227</xdr:rowOff>
    </xdr:from>
    <xdr:to>
      <xdr:col>1</xdr:col>
      <xdr:colOff>641356</xdr:colOff>
      <xdr:row>82</xdr:row>
      <xdr:rowOff>97643</xdr:rowOff>
    </xdr:to>
    <xdr:sp macro="" textlink="">
      <xdr:nvSpPr>
        <xdr:cNvPr id="27" name="Left Brace 26"/>
        <xdr:cNvSpPr/>
      </xdr:nvSpPr>
      <xdr:spPr>
        <a:xfrm>
          <a:off x="1141228" y="14701727"/>
          <a:ext cx="109728" cy="101691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28" name="Left Brace 27"/>
        <xdr:cNvSpPr/>
      </xdr:nvSpPr>
      <xdr:spPr>
        <a:xfrm>
          <a:off x="1138568" y="15751249"/>
          <a:ext cx="109728" cy="8340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221514</xdr:colOff>
      <xdr:row>69</xdr:row>
      <xdr:rowOff>132907</xdr:rowOff>
    </xdr:from>
    <xdr:to>
      <xdr:col>6</xdr:col>
      <xdr:colOff>598084</xdr:colOff>
      <xdr:row>69</xdr:row>
      <xdr:rowOff>132907</xdr:rowOff>
    </xdr:to>
    <xdr:cxnSp macro="">
      <xdr:nvCxnSpPr>
        <xdr:cNvPr id="29" name="Straight Arrow Connector 28"/>
        <xdr:cNvCxnSpPr/>
      </xdr:nvCxnSpPr>
      <xdr:spPr>
        <a:xfrm flipH="1">
          <a:off x="4422039" y="13277407"/>
          <a:ext cx="37657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410902</xdr:colOff>
      <xdr:row>69</xdr:row>
      <xdr:rowOff>18384</xdr:rowOff>
    </xdr:from>
    <xdr:to>
      <xdr:col>33</xdr:col>
      <xdr:colOff>598080</xdr:colOff>
      <xdr:row>87</xdr:row>
      <xdr:rowOff>44301</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22153</xdr:colOff>
      <xdr:row>71</xdr:row>
      <xdr:rowOff>132907</xdr:rowOff>
    </xdr:from>
    <xdr:to>
      <xdr:col>31</xdr:col>
      <xdr:colOff>199360</xdr:colOff>
      <xdr:row>81</xdr:row>
      <xdr:rowOff>166139</xdr:rowOff>
    </xdr:to>
    <xdr:cxnSp macro="">
      <xdr:nvCxnSpPr>
        <xdr:cNvPr id="30" name="Straight Connector 29"/>
        <xdr:cNvCxnSpPr/>
      </xdr:nvCxnSpPr>
      <xdr:spPr>
        <a:xfrm flipV="1">
          <a:off x="17831688" y="13501134"/>
          <a:ext cx="3222992" cy="1916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269874</xdr:colOff>
      <xdr:row>22</xdr:row>
      <xdr:rowOff>95250</xdr:rowOff>
    </xdr:from>
    <xdr:to>
      <xdr:col>18</xdr:col>
      <xdr:colOff>116417</xdr:colOff>
      <xdr:row>32</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275169</xdr:colOff>
      <xdr:row>32</xdr:row>
      <xdr:rowOff>84667</xdr:rowOff>
    </xdr:from>
    <xdr:to>
      <xdr:col>18</xdr:col>
      <xdr:colOff>137584</xdr:colOff>
      <xdr:row>42</xdr:row>
      <xdr:rowOff>8467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329558</xdr:colOff>
      <xdr:row>65</xdr:row>
      <xdr:rowOff>44303</xdr:rowOff>
    </xdr:from>
    <xdr:to>
      <xdr:col>18</xdr:col>
      <xdr:colOff>437213</xdr:colOff>
      <xdr:row>75</xdr:row>
      <xdr:rowOff>173134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79373</xdr:colOff>
      <xdr:row>48</xdr:row>
      <xdr:rowOff>20107</xdr:rowOff>
    </xdr:from>
    <xdr:to>
      <xdr:col>12</xdr:col>
      <xdr:colOff>137583</xdr:colOff>
      <xdr:row>62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335833</xdr:colOff>
      <xdr:row>76</xdr:row>
      <xdr:rowOff>54884</xdr:rowOff>
    </xdr:from>
    <xdr:to>
      <xdr:col>18</xdr:col>
      <xdr:colOff>444499</xdr:colOff>
      <xdr:row>87</xdr:row>
      <xdr:rowOff>128968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391583</xdr:colOff>
      <xdr:row>167</xdr:row>
      <xdr:rowOff>31750</xdr:rowOff>
    </xdr:from>
    <xdr:to>
      <xdr:col>7</xdr:col>
      <xdr:colOff>391583</xdr:colOff>
      <xdr:row>168</xdr:row>
      <xdr:rowOff>10583</xdr:rowOff>
    </xdr:to>
    <xdr:cxnSp macro="">
      <xdr:nvCxnSpPr>
        <xdr:cNvPr id="7" name="Straight Arrow Connector 6"/>
        <xdr:cNvCxnSpPr/>
      </xdr:nvCxnSpPr>
      <xdr:spPr>
        <a:xfrm flipV="1">
          <a:off x="5306483" y="318166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368496</xdr:colOff>
      <xdr:row>167</xdr:row>
      <xdr:rowOff>142506</xdr:rowOff>
    </xdr:from>
    <xdr:to>
      <xdr:col>9</xdr:col>
      <xdr:colOff>368496</xdr:colOff>
      <xdr:row>168</xdr:row>
      <xdr:rowOff>163672</xdr:rowOff>
    </xdr:to>
    <xdr:cxnSp macro="">
      <xdr:nvCxnSpPr>
        <xdr:cNvPr id="8" name="Straight Arrow Connector 7"/>
        <xdr:cNvCxnSpPr/>
      </xdr:nvCxnSpPr>
      <xdr:spPr>
        <a:xfrm>
          <a:off x="6693096" y="31927431"/>
          <a:ext cx="0" cy="211666"/>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402462</xdr:colOff>
      <xdr:row>145</xdr:row>
      <xdr:rowOff>95742</xdr:rowOff>
    </xdr:from>
    <xdr:to>
      <xdr:col>3</xdr:col>
      <xdr:colOff>402462</xdr:colOff>
      <xdr:row>146</xdr:row>
      <xdr:rowOff>116909</xdr:rowOff>
    </xdr:to>
    <xdr:cxnSp macro="">
      <xdr:nvCxnSpPr>
        <xdr:cNvPr id="9" name="Straight Arrow Connector 8"/>
        <xdr:cNvCxnSpPr/>
      </xdr:nvCxnSpPr>
      <xdr:spPr>
        <a:xfrm>
          <a:off x="2478912" y="27689667"/>
          <a:ext cx="0"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391583</xdr:colOff>
      <xdr:row>197</xdr:row>
      <xdr:rowOff>31750</xdr:rowOff>
    </xdr:from>
    <xdr:to>
      <xdr:col>7</xdr:col>
      <xdr:colOff>391583</xdr:colOff>
      <xdr:row>198</xdr:row>
      <xdr:rowOff>10583</xdr:rowOff>
    </xdr:to>
    <xdr:cxnSp macro="">
      <xdr:nvCxnSpPr>
        <xdr:cNvPr id="10" name="Straight Arrow Connector 9"/>
        <xdr:cNvCxnSpPr/>
      </xdr:nvCxnSpPr>
      <xdr:spPr>
        <a:xfrm flipV="1">
          <a:off x="5306483" y="375316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346345</xdr:colOff>
      <xdr:row>197</xdr:row>
      <xdr:rowOff>120355</xdr:rowOff>
    </xdr:from>
    <xdr:to>
      <xdr:col>9</xdr:col>
      <xdr:colOff>346345</xdr:colOff>
      <xdr:row>198</xdr:row>
      <xdr:rowOff>141522</xdr:rowOff>
    </xdr:to>
    <xdr:cxnSp macro="">
      <xdr:nvCxnSpPr>
        <xdr:cNvPr id="11" name="Straight Arrow Connector 10"/>
        <xdr:cNvCxnSpPr/>
      </xdr:nvCxnSpPr>
      <xdr:spPr>
        <a:xfrm>
          <a:off x="6670945" y="37620280"/>
          <a:ext cx="0" cy="21166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642385</xdr:colOff>
      <xdr:row>8</xdr:row>
      <xdr:rowOff>121831</xdr:rowOff>
    </xdr:from>
    <xdr:to>
      <xdr:col>12</xdr:col>
      <xdr:colOff>542704</xdr:colOff>
      <xdr:row>8</xdr:row>
      <xdr:rowOff>121831</xdr:rowOff>
    </xdr:to>
    <xdr:cxnSp macro="">
      <xdr:nvCxnSpPr>
        <xdr:cNvPr id="12" name="Straight Arrow Connector 11"/>
        <xdr:cNvCxnSpPr/>
      </xdr:nvCxnSpPr>
      <xdr:spPr>
        <a:xfrm>
          <a:off x="5557285" y="1645831"/>
          <a:ext cx="34436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365494</xdr:colOff>
      <xdr:row>61</xdr:row>
      <xdr:rowOff>88605</xdr:rowOff>
    </xdr:from>
    <xdr:to>
      <xdr:col>1</xdr:col>
      <xdr:colOff>587006</xdr:colOff>
      <xdr:row>62</xdr:row>
      <xdr:rowOff>88605</xdr:rowOff>
    </xdr:to>
    <xdr:cxnSp macro="">
      <xdr:nvCxnSpPr>
        <xdr:cNvPr id="13" name="Straight Arrow Connector 12"/>
        <xdr:cNvCxnSpPr/>
      </xdr:nvCxnSpPr>
      <xdr:spPr>
        <a:xfrm>
          <a:off x="975094" y="11709105"/>
          <a:ext cx="221512" cy="1905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99681</xdr:colOff>
      <xdr:row>61</xdr:row>
      <xdr:rowOff>143983</xdr:rowOff>
    </xdr:from>
    <xdr:to>
      <xdr:col>3</xdr:col>
      <xdr:colOff>343343</xdr:colOff>
      <xdr:row>62</xdr:row>
      <xdr:rowOff>99680</xdr:rowOff>
    </xdr:to>
    <xdr:cxnSp macro="">
      <xdr:nvCxnSpPr>
        <xdr:cNvPr id="14" name="Straight Arrow Connector 13"/>
        <xdr:cNvCxnSpPr/>
      </xdr:nvCxnSpPr>
      <xdr:spPr>
        <a:xfrm flipV="1">
          <a:off x="2176131" y="11764483"/>
          <a:ext cx="243662" cy="14619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354417</xdr:colOff>
      <xdr:row>123</xdr:row>
      <xdr:rowOff>2</xdr:rowOff>
    </xdr:from>
    <xdr:to>
      <xdr:col>14</xdr:col>
      <xdr:colOff>354417</xdr:colOff>
      <xdr:row>124</xdr:row>
      <xdr:rowOff>11078</xdr:rowOff>
    </xdr:to>
    <xdr:cxnSp macro="">
      <xdr:nvCxnSpPr>
        <xdr:cNvPr id="15" name="Straight Connector 14"/>
        <xdr:cNvCxnSpPr/>
      </xdr:nvCxnSpPr>
      <xdr:spPr>
        <a:xfrm flipV="1">
          <a:off x="10231842" y="23431502"/>
          <a:ext cx="0" cy="20157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387645</xdr:colOff>
      <xdr:row>123</xdr:row>
      <xdr:rowOff>1</xdr:rowOff>
    </xdr:from>
    <xdr:to>
      <xdr:col>8</xdr:col>
      <xdr:colOff>387645</xdr:colOff>
      <xdr:row>124</xdr:row>
      <xdr:rowOff>11076</xdr:rowOff>
    </xdr:to>
    <xdr:cxnSp macro="">
      <xdr:nvCxnSpPr>
        <xdr:cNvPr id="16" name="Straight Arrow Connector 15"/>
        <xdr:cNvCxnSpPr/>
      </xdr:nvCxnSpPr>
      <xdr:spPr>
        <a:xfrm>
          <a:off x="6007395" y="23431501"/>
          <a:ext cx="0" cy="2015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398721</xdr:colOff>
      <xdr:row>123</xdr:row>
      <xdr:rowOff>1</xdr:rowOff>
    </xdr:from>
    <xdr:to>
      <xdr:col>14</xdr:col>
      <xdr:colOff>343343</xdr:colOff>
      <xdr:row>123</xdr:row>
      <xdr:rowOff>1</xdr:rowOff>
    </xdr:to>
    <xdr:cxnSp macro="">
      <xdr:nvCxnSpPr>
        <xdr:cNvPr id="17" name="Straight Connector 16"/>
        <xdr:cNvCxnSpPr/>
      </xdr:nvCxnSpPr>
      <xdr:spPr>
        <a:xfrm>
          <a:off x="6018471" y="23431501"/>
          <a:ext cx="4202297"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145</xdr:row>
      <xdr:rowOff>11086</xdr:rowOff>
    </xdr:from>
    <xdr:to>
      <xdr:col>5</xdr:col>
      <xdr:colOff>354419</xdr:colOff>
      <xdr:row>145</xdr:row>
      <xdr:rowOff>148246</xdr:rowOff>
    </xdr:to>
    <xdr:cxnSp macro="">
      <xdr:nvCxnSpPr>
        <xdr:cNvPr id="18" name="Straight Arrow Connector 17"/>
        <xdr:cNvCxnSpPr/>
      </xdr:nvCxnSpPr>
      <xdr:spPr>
        <a:xfrm flipV="1">
          <a:off x="3850094" y="2760501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376570</xdr:colOff>
      <xdr:row>145</xdr:row>
      <xdr:rowOff>22156</xdr:rowOff>
    </xdr:from>
    <xdr:to>
      <xdr:col>6</xdr:col>
      <xdr:colOff>376570</xdr:colOff>
      <xdr:row>145</xdr:row>
      <xdr:rowOff>159316</xdr:rowOff>
    </xdr:to>
    <xdr:cxnSp macro="">
      <xdr:nvCxnSpPr>
        <xdr:cNvPr id="19" name="Straight Arrow Connector 18"/>
        <xdr:cNvCxnSpPr/>
      </xdr:nvCxnSpPr>
      <xdr:spPr>
        <a:xfrm>
          <a:off x="4577095" y="2761608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351761</xdr:colOff>
      <xdr:row>124</xdr:row>
      <xdr:rowOff>19495</xdr:rowOff>
    </xdr:from>
    <xdr:to>
      <xdr:col>3</xdr:col>
      <xdr:colOff>351761</xdr:colOff>
      <xdr:row>124</xdr:row>
      <xdr:rowOff>184087</xdr:rowOff>
    </xdr:to>
    <xdr:cxnSp macro="">
      <xdr:nvCxnSpPr>
        <xdr:cNvPr id="20" name="Straight Arrow Connector 19"/>
        <xdr:cNvCxnSpPr/>
      </xdr:nvCxnSpPr>
      <xdr:spPr>
        <a:xfrm>
          <a:off x="2428211" y="23641495"/>
          <a:ext cx="0" cy="16459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354419</xdr:colOff>
      <xdr:row>159</xdr:row>
      <xdr:rowOff>0</xdr:rowOff>
    </xdr:from>
    <xdr:to>
      <xdr:col>17</xdr:col>
      <xdr:colOff>365495</xdr:colOff>
      <xdr:row>159</xdr:row>
      <xdr:rowOff>0</xdr:rowOff>
    </xdr:to>
    <xdr:cxnSp macro="">
      <xdr:nvCxnSpPr>
        <xdr:cNvPr id="21" name="Straight Connector 20"/>
        <xdr:cNvCxnSpPr/>
      </xdr:nvCxnSpPr>
      <xdr:spPr>
        <a:xfrm>
          <a:off x="3850094" y="30260925"/>
          <a:ext cx="8602626"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158</xdr:row>
      <xdr:rowOff>44313</xdr:rowOff>
    </xdr:from>
    <xdr:to>
      <xdr:col>5</xdr:col>
      <xdr:colOff>354419</xdr:colOff>
      <xdr:row>158</xdr:row>
      <xdr:rowOff>181473</xdr:rowOff>
    </xdr:to>
    <xdr:cxnSp macro="">
      <xdr:nvCxnSpPr>
        <xdr:cNvPr id="22" name="Straight Arrow Connector 21"/>
        <xdr:cNvCxnSpPr/>
      </xdr:nvCxnSpPr>
      <xdr:spPr>
        <a:xfrm flipV="1">
          <a:off x="3850094" y="30114738"/>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387646</xdr:colOff>
      <xdr:row>158</xdr:row>
      <xdr:rowOff>55379</xdr:rowOff>
    </xdr:from>
    <xdr:to>
      <xdr:col>17</xdr:col>
      <xdr:colOff>387646</xdr:colOff>
      <xdr:row>159</xdr:row>
      <xdr:rowOff>4254</xdr:rowOff>
    </xdr:to>
    <xdr:cxnSp macro="">
      <xdr:nvCxnSpPr>
        <xdr:cNvPr id="23" name="Straight Arrow Connector 22"/>
        <xdr:cNvCxnSpPr/>
      </xdr:nvCxnSpPr>
      <xdr:spPr>
        <a:xfrm>
          <a:off x="12474871" y="30125804"/>
          <a:ext cx="0" cy="1393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333375</xdr:colOff>
      <xdr:row>142</xdr:row>
      <xdr:rowOff>162368</xdr:rowOff>
    </xdr:from>
    <xdr:to>
      <xdr:col>40</xdr:col>
      <xdr:colOff>32120</xdr:colOff>
      <xdr:row>157</xdr:row>
      <xdr:rowOff>81294</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553780</xdr:colOff>
      <xdr:row>79</xdr:row>
      <xdr:rowOff>0</xdr:rowOff>
    </xdr:from>
    <xdr:to>
      <xdr:col>16</xdr:col>
      <xdr:colOff>365494</xdr:colOff>
      <xdr:row>84</xdr:row>
      <xdr:rowOff>99681</xdr:rowOff>
    </xdr:to>
    <xdr:cxnSp macro="">
      <xdr:nvCxnSpPr>
        <xdr:cNvPr id="25" name="Straight Connector 24"/>
        <xdr:cNvCxnSpPr/>
      </xdr:nvCxnSpPr>
      <xdr:spPr>
        <a:xfrm flipV="1">
          <a:off x="9059827" y="14874506"/>
          <a:ext cx="2680289" cy="104110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276892</xdr:colOff>
      <xdr:row>29</xdr:row>
      <xdr:rowOff>121831</xdr:rowOff>
    </xdr:from>
    <xdr:to>
      <xdr:col>7</xdr:col>
      <xdr:colOff>631311</xdr:colOff>
      <xdr:row>29</xdr:row>
      <xdr:rowOff>121831</xdr:rowOff>
    </xdr:to>
    <xdr:cxnSp macro="">
      <xdr:nvCxnSpPr>
        <xdr:cNvPr id="26" name="Straight Arrow Connector 25"/>
        <xdr:cNvCxnSpPr/>
      </xdr:nvCxnSpPr>
      <xdr:spPr>
        <a:xfrm flipH="1">
          <a:off x="5191792" y="5646331"/>
          <a:ext cx="3544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531628</xdr:colOff>
      <xdr:row>77</xdr:row>
      <xdr:rowOff>33227</xdr:rowOff>
    </xdr:from>
    <xdr:to>
      <xdr:col>1</xdr:col>
      <xdr:colOff>641356</xdr:colOff>
      <xdr:row>82</xdr:row>
      <xdr:rowOff>97643</xdr:rowOff>
    </xdr:to>
    <xdr:sp macro="" textlink="">
      <xdr:nvSpPr>
        <xdr:cNvPr id="27" name="Left Brace 26"/>
        <xdr:cNvSpPr/>
      </xdr:nvSpPr>
      <xdr:spPr>
        <a:xfrm>
          <a:off x="1141228" y="14701727"/>
          <a:ext cx="109728" cy="101691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28" name="Left Brace 27"/>
        <xdr:cNvSpPr/>
      </xdr:nvSpPr>
      <xdr:spPr>
        <a:xfrm>
          <a:off x="1138568" y="15751249"/>
          <a:ext cx="109728" cy="8340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221514</xdr:colOff>
      <xdr:row>69</xdr:row>
      <xdr:rowOff>132907</xdr:rowOff>
    </xdr:from>
    <xdr:to>
      <xdr:col>6</xdr:col>
      <xdr:colOff>598084</xdr:colOff>
      <xdr:row>69</xdr:row>
      <xdr:rowOff>132907</xdr:rowOff>
    </xdr:to>
    <xdr:cxnSp macro="">
      <xdr:nvCxnSpPr>
        <xdr:cNvPr id="29" name="Straight Arrow Connector 28"/>
        <xdr:cNvCxnSpPr/>
      </xdr:nvCxnSpPr>
      <xdr:spPr>
        <a:xfrm flipH="1">
          <a:off x="4422039" y="13277407"/>
          <a:ext cx="37657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232832</xdr:colOff>
      <xdr:row>13</xdr:row>
      <xdr:rowOff>186531</xdr:rowOff>
    </xdr:from>
    <xdr:to>
      <xdr:col>24</xdr:col>
      <xdr:colOff>111126</xdr:colOff>
      <xdr:row>25</xdr:row>
      <xdr:rowOff>38365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508000</xdr:colOff>
      <xdr:row>29</xdr:row>
      <xdr:rowOff>148167</xdr:rowOff>
    </xdr:from>
    <xdr:to>
      <xdr:col>16</xdr:col>
      <xdr:colOff>381000</xdr:colOff>
      <xdr:row>43</xdr:row>
      <xdr:rowOff>63500</xdr:rowOff>
    </xdr:to>
    <xdr:cxnSp macro="">
      <xdr:nvCxnSpPr>
        <xdr:cNvPr id="3" name="Straight Arrow Connector 2"/>
        <xdr:cNvCxnSpPr/>
      </xdr:nvCxnSpPr>
      <xdr:spPr>
        <a:xfrm flipH="1" flipV="1">
          <a:off x="8385175" y="4910667"/>
          <a:ext cx="1701800" cy="22013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508000</xdr:colOff>
      <xdr:row>9</xdr:row>
      <xdr:rowOff>127000</xdr:rowOff>
    </xdr:from>
    <xdr:to>
      <xdr:col>5</xdr:col>
      <xdr:colOff>0</xdr:colOff>
      <xdr:row>10</xdr:row>
      <xdr:rowOff>42333</xdr:rowOff>
    </xdr:to>
    <xdr:cxnSp macro="">
      <xdr:nvCxnSpPr>
        <xdr:cNvPr id="12" name="Straight Arrow Connector 11"/>
        <xdr:cNvCxnSpPr/>
      </xdr:nvCxnSpPr>
      <xdr:spPr>
        <a:xfrm flipH="1">
          <a:off x="2963333" y="1841500"/>
          <a:ext cx="105834" cy="105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508000</xdr:colOff>
      <xdr:row>9</xdr:row>
      <xdr:rowOff>137584</xdr:rowOff>
    </xdr:from>
    <xdr:to>
      <xdr:col>11</xdr:col>
      <xdr:colOff>1</xdr:colOff>
      <xdr:row>10</xdr:row>
      <xdr:rowOff>52917</xdr:rowOff>
    </xdr:to>
    <xdr:cxnSp macro="">
      <xdr:nvCxnSpPr>
        <xdr:cNvPr id="13" name="Straight Arrow Connector 12"/>
        <xdr:cNvCxnSpPr/>
      </xdr:nvCxnSpPr>
      <xdr:spPr>
        <a:xfrm flipH="1">
          <a:off x="6413500" y="1852084"/>
          <a:ext cx="105834" cy="105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508000</xdr:colOff>
      <xdr:row>9</xdr:row>
      <xdr:rowOff>31750</xdr:rowOff>
    </xdr:from>
    <xdr:to>
      <xdr:col>4</xdr:col>
      <xdr:colOff>518584</xdr:colOff>
      <xdr:row>10</xdr:row>
      <xdr:rowOff>42333</xdr:rowOff>
    </xdr:to>
    <xdr:cxnSp macro="">
      <xdr:nvCxnSpPr>
        <xdr:cNvPr id="2" name="Straight Arrow Connector 1"/>
        <xdr:cNvCxnSpPr/>
      </xdr:nvCxnSpPr>
      <xdr:spPr>
        <a:xfrm flipH="1">
          <a:off x="2963333" y="1746250"/>
          <a:ext cx="10584" cy="2010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105836</xdr:colOff>
      <xdr:row>5</xdr:row>
      <xdr:rowOff>158751</xdr:rowOff>
    </xdr:from>
    <xdr:to>
      <xdr:col>18</xdr:col>
      <xdr:colOff>10584</xdr:colOff>
      <xdr:row>10</xdr:row>
      <xdr:rowOff>21167</xdr:rowOff>
    </xdr:to>
    <xdr:cxnSp macro="">
      <xdr:nvCxnSpPr>
        <xdr:cNvPr id="4" name="Straight Arrow Connector 3"/>
        <xdr:cNvCxnSpPr/>
      </xdr:nvCxnSpPr>
      <xdr:spPr>
        <a:xfrm flipH="1">
          <a:off x="9641419" y="1111251"/>
          <a:ext cx="1132415" cy="814916"/>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5290</xdr:colOff>
      <xdr:row>8</xdr:row>
      <xdr:rowOff>20108</xdr:rowOff>
    </xdr:from>
    <xdr:to>
      <xdr:col>25</xdr:col>
      <xdr:colOff>571500</xdr:colOff>
      <xdr:row>21</xdr:row>
      <xdr:rowOff>10583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105834</xdr:colOff>
      <xdr:row>11</xdr:row>
      <xdr:rowOff>127000</xdr:rowOff>
    </xdr:from>
    <xdr:to>
      <xdr:col>17</xdr:col>
      <xdr:colOff>105833</xdr:colOff>
      <xdr:row>25</xdr:row>
      <xdr:rowOff>127000</xdr:rowOff>
    </xdr:to>
    <xdr:cxnSp macro="">
      <xdr:nvCxnSpPr>
        <xdr:cNvPr id="7" name="Straight Arrow Connector 6"/>
        <xdr:cNvCxnSpPr/>
      </xdr:nvCxnSpPr>
      <xdr:spPr>
        <a:xfrm flipH="1">
          <a:off x="4783667" y="2222500"/>
          <a:ext cx="5471583" cy="2667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343958</xdr:colOff>
      <xdr:row>0</xdr:row>
      <xdr:rowOff>104774</xdr:rowOff>
    </xdr:from>
    <xdr:to>
      <xdr:col>36</xdr:col>
      <xdr:colOff>179916</xdr:colOff>
      <xdr:row>11</xdr:row>
      <xdr:rowOff>158750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269874</xdr:colOff>
      <xdr:row>0</xdr:row>
      <xdr:rowOff>83607</xdr:rowOff>
    </xdr:from>
    <xdr:to>
      <xdr:col>42</xdr:col>
      <xdr:colOff>10583</xdr:colOff>
      <xdr:row>11</xdr:row>
      <xdr:rowOff>137583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301625</xdr:colOff>
      <xdr:row>13</xdr:row>
      <xdr:rowOff>9524</xdr:rowOff>
    </xdr:from>
    <xdr:to>
      <xdr:col>39</xdr:col>
      <xdr:colOff>576791</xdr:colOff>
      <xdr:row>27</xdr:row>
      <xdr:rowOff>85724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391583</xdr:colOff>
      <xdr:row>44</xdr:row>
      <xdr:rowOff>52917</xdr:rowOff>
    </xdr:from>
    <xdr:to>
      <xdr:col>3</xdr:col>
      <xdr:colOff>137583</xdr:colOff>
      <xdr:row>46</xdr:row>
      <xdr:rowOff>116417</xdr:rowOff>
    </xdr:to>
    <xdr:cxnSp macro="">
      <xdr:nvCxnSpPr>
        <xdr:cNvPr id="11" name="Straight Arrow Connector 10"/>
        <xdr:cNvCxnSpPr/>
      </xdr:nvCxnSpPr>
      <xdr:spPr>
        <a:xfrm>
          <a:off x="1619250" y="8434917"/>
          <a:ext cx="359833" cy="4445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47623</xdr:colOff>
      <xdr:row>81</xdr:row>
      <xdr:rowOff>9522</xdr:rowOff>
    </xdr:from>
    <xdr:to>
      <xdr:col>6</xdr:col>
      <xdr:colOff>264583</xdr:colOff>
      <xdr:row>91</xdr:row>
      <xdr:rowOff>158749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508000</xdr:colOff>
      <xdr:row>11</xdr:row>
      <xdr:rowOff>31750</xdr:rowOff>
    </xdr:from>
    <xdr:to>
      <xdr:col>4</xdr:col>
      <xdr:colOff>518584</xdr:colOff>
      <xdr:row>12</xdr:row>
      <xdr:rowOff>42333</xdr:rowOff>
    </xdr:to>
    <xdr:cxnSp macro="">
      <xdr:nvCxnSpPr>
        <xdr:cNvPr id="2" name="Straight Arrow Connector 1"/>
        <xdr:cNvCxnSpPr/>
      </xdr:nvCxnSpPr>
      <xdr:spPr>
        <a:xfrm flipH="1">
          <a:off x="2946400" y="1746250"/>
          <a:ext cx="10584" cy="2010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105836</xdr:colOff>
      <xdr:row>7</xdr:row>
      <xdr:rowOff>158751</xdr:rowOff>
    </xdr:from>
    <xdr:to>
      <xdr:col>18</xdr:col>
      <xdr:colOff>10584</xdr:colOff>
      <xdr:row>12</xdr:row>
      <xdr:rowOff>21167</xdr:rowOff>
    </xdr:to>
    <xdr:cxnSp macro="">
      <xdr:nvCxnSpPr>
        <xdr:cNvPr id="3" name="Straight Arrow Connector 2"/>
        <xdr:cNvCxnSpPr/>
      </xdr:nvCxnSpPr>
      <xdr:spPr>
        <a:xfrm flipH="1">
          <a:off x="9811811" y="1111251"/>
          <a:ext cx="1123948" cy="814916"/>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608540</xdr:colOff>
      <xdr:row>24</xdr:row>
      <xdr:rowOff>51858</xdr:rowOff>
    </xdr:from>
    <xdr:to>
      <xdr:col>21</xdr:col>
      <xdr:colOff>179916</xdr:colOff>
      <xdr:row>37</xdr:row>
      <xdr:rowOff>42333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105834</xdr:colOff>
      <xdr:row>13</xdr:row>
      <xdr:rowOff>127000</xdr:rowOff>
    </xdr:from>
    <xdr:to>
      <xdr:col>17</xdr:col>
      <xdr:colOff>105833</xdr:colOff>
      <xdr:row>27</xdr:row>
      <xdr:rowOff>127000</xdr:rowOff>
    </xdr:to>
    <xdr:cxnSp macro="">
      <xdr:nvCxnSpPr>
        <xdr:cNvPr id="5" name="Straight Arrow Connector 4"/>
        <xdr:cNvCxnSpPr/>
      </xdr:nvCxnSpPr>
      <xdr:spPr>
        <a:xfrm flipH="1">
          <a:off x="4982634" y="2222500"/>
          <a:ext cx="5438774" cy="2667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343958</xdr:colOff>
      <xdr:row>0</xdr:row>
      <xdr:rowOff>104774</xdr:rowOff>
    </xdr:from>
    <xdr:to>
      <xdr:col>38</xdr:col>
      <xdr:colOff>179916</xdr:colOff>
      <xdr:row>13</xdr:row>
      <xdr:rowOff>158750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269874</xdr:colOff>
      <xdr:row>0</xdr:row>
      <xdr:rowOff>83607</xdr:rowOff>
    </xdr:from>
    <xdr:to>
      <xdr:col>44</xdr:col>
      <xdr:colOff>10583</xdr:colOff>
      <xdr:row>13</xdr:row>
      <xdr:rowOff>137583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301625</xdr:colOff>
      <xdr:row>15</xdr:row>
      <xdr:rowOff>9524</xdr:rowOff>
    </xdr:from>
    <xdr:to>
      <xdr:col>41</xdr:col>
      <xdr:colOff>576791</xdr:colOff>
      <xdr:row>29</xdr:row>
      <xdr:rowOff>85724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391583</xdr:colOff>
      <xdr:row>46</xdr:row>
      <xdr:rowOff>52917</xdr:rowOff>
    </xdr:from>
    <xdr:to>
      <xdr:col>3</xdr:col>
      <xdr:colOff>137583</xdr:colOff>
      <xdr:row>48</xdr:row>
      <xdr:rowOff>116417</xdr:rowOff>
    </xdr:to>
    <xdr:cxnSp macro="">
      <xdr:nvCxnSpPr>
        <xdr:cNvPr id="9" name="Straight Arrow Connector 8"/>
        <xdr:cNvCxnSpPr/>
      </xdr:nvCxnSpPr>
      <xdr:spPr>
        <a:xfrm>
          <a:off x="1610783" y="8434917"/>
          <a:ext cx="355600" cy="4445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47623</xdr:colOff>
      <xdr:row>83</xdr:row>
      <xdr:rowOff>9522</xdr:rowOff>
    </xdr:from>
    <xdr:to>
      <xdr:col>6</xdr:col>
      <xdr:colOff>264583</xdr:colOff>
      <xdr:row>93</xdr:row>
      <xdr:rowOff>158749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269874</xdr:colOff>
      <xdr:row>22</xdr:row>
      <xdr:rowOff>95250</xdr:rowOff>
    </xdr:from>
    <xdr:to>
      <xdr:col>18</xdr:col>
      <xdr:colOff>116417</xdr:colOff>
      <xdr:row>32</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275169</xdr:colOff>
      <xdr:row>32</xdr:row>
      <xdr:rowOff>84667</xdr:rowOff>
    </xdr:from>
    <xdr:to>
      <xdr:col>18</xdr:col>
      <xdr:colOff>137584</xdr:colOff>
      <xdr:row>42</xdr:row>
      <xdr:rowOff>8467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218806</xdr:colOff>
      <xdr:row>65</xdr:row>
      <xdr:rowOff>52919</xdr:rowOff>
    </xdr:from>
    <xdr:to>
      <xdr:col>18</xdr:col>
      <xdr:colOff>326461</xdr:colOff>
      <xdr:row>75</xdr:row>
      <xdr:rowOff>181750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79373</xdr:colOff>
      <xdr:row>48</xdr:row>
      <xdr:rowOff>20107</xdr:rowOff>
    </xdr:from>
    <xdr:to>
      <xdr:col>12</xdr:col>
      <xdr:colOff>137583</xdr:colOff>
      <xdr:row>62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236153</xdr:colOff>
      <xdr:row>76</xdr:row>
      <xdr:rowOff>43808</xdr:rowOff>
    </xdr:from>
    <xdr:to>
      <xdr:col>18</xdr:col>
      <xdr:colOff>344819</xdr:colOff>
      <xdr:row>87</xdr:row>
      <xdr:rowOff>117892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391583</xdr:colOff>
      <xdr:row>167</xdr:row>
      <xdr:rowOff>31750</xdr:rowOff>
    </xdr:from>
    <xdr:to>
      <xdr:col>7</xdr:col>
      <xdr:colOff>391583</xdr:colOff>
      <xdr:row>168</xdr:row>
      <xdr:rowOff>10583</xdr:rowOff>
    </xdr:to>
    <xdr:cxnSp macro="">
      <xdr:nvCxnSpPr>
        <xdr:cNvPr id="7" name="Straight Arrow Connector 6"/>
        <xdr:cNvCxnSpPr/>
      </xdr:nvCxnSpPr>
      <xdr:spPr>
        <a:xfrm flipV="1">
          <a:off x="5249333" y="297211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368496</xdr:colOff>
      <xdr:row>167</xdr:row>
      <xdr:rowOff>142506</xdr:rowOff>
    </xdr:from>
    <xdr:to>
      <xdr:col>9</xdr:col>
      <xdr:colOff>368496</xdr:colOff>
      <xdr:row>168</xdr:row>
      <xdr:rowOff>163672</xdr:rowOff>
    </xdr:to>
    <xdr:cxnSp macro="">
      <xdr:nvCxnSpPr>
        <xdr:cNvPr id="8" name="Straight Arrow Connector 7"/>
        <xdr:cNvCxnSpPr/>
      </xdr:nvCxnSpPr>
      <xdr:spPr>
        <a:xfrm>
          <a:off x="6635946" y="29831931"/>
          <a:ext cx="0" cy="211666"/>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402462</xdr:colOff>
      <xdr:row>145</xdr:row>
      <xdr:rowOff>95742</xdr:rowOff>
    </xdr:from>
    <xdr:to>
      <xdr:col>3</xdr:col>
      <xdr:colOff>402462</xdr:colOff>
      <xdr:row>146</xdr:row>
      <xdr:rowOff>116909</xdr:rowOff>
    </xdr:to>
    <xdr:cxnSp macro="">
      <xdr:nvCxnSpPr>
        <xdr:cNvPr id="9" name="Straight Arrow Connector 8"/>
        <xdr:cNvCxnSpPr/>
      </xdr:nvCxnSpPr>
      <xdr:spPr>
        <a:xfrm>
          <a:off x="2421762" y="25594167"/>
          <a:ext cx="0"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391583</xdr:colOff>
      <xdr:row>197</xdr:row>
      <xdr:rowOff>31750</xdr:rowOff>
    </xdr:from>
    <xdr:to>
      <xdr:col>7</xdr:col>
      <xdr:colOff>391583</xdr:colOff>
      <xdr:row>198</xdr:row>
      <xdr:rowOff>10583</xdr:rowOff>
    </xdr:to>
    <xdr:cxnSp macro="">
      <xdr:nvCxnSpPr>
        <xdr:cNvPr id="10" name="Straight Arrow Connector 9"/>
        <xdr:cNvCxnSpPr/>
      </xdr:nvCxnSpPr>
      <xdr:spPr>
        <a:xfrm flipV="1">
          <a:off x="5249333" y="342931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346345</xdr:colOff>
      <xdr:row>197</xdr:row>
      <xdr:rowOff>120355</xdr:rowOff>
    </xdr:from>
    <xdr:to>
      <xdr:col>9</xdr:col>
      <xdr:colOff>346345</xdr:colOff>
      <xdr:row>198</xdr:row>
      <xdr:rowOff>141522</xdr:rowOff>
    </xdr:to>
    <xdr:cxnSp macro="">
      <xdr:nvCxnSpPr>
        <xdr:cNvPr id="11" name="Straight Arrow Connector 10"/>
        <xdr:cNvCxnSpPr/>
      </xdr:nvCxnSpPr>
      <xdr:spPr>
        <a:xfrm>
          <a:off x="6613795" y="34381780"/>
          <a:ext cx="0" cy="21166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642385</xdr:colOff>
      <xdr:row>8</xdr:row>
      <xdr:rowOff>121831</xdr:rowOff>
    </xdr:from>
    <xdr:to>
      <xdr:col>12</xdr:col>
      <xdr:colOff>542704</xdr:colOff>
      <xdr:row>8</xdr:row>
      <xdr:rowOff>121831</xdr:rowOff>
    </xdr:to>
    <xdr:cxnSp macro="">
      <xdr:nvCxnSpPr>
        <xdr:cNvPr id="12" name="Straight Arrow Connector 11"/>
        <xdr:cNvCxnSpPr/>
      </xdr:nvCxnSpPr>
      <xdr:spPr>
        <a:xfrm>
          <a:off x="5500135" y="1455331"/>
          <a:ext cx="34436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365494</xdr:colOff>
      <xdr:row>61</xdr:row>
      <xdr:rowOff>88605</xdr:rowOff>
    </xdr:from>
    <xdr:to>
      <xdr:col>1</xdr:col>
      <xdr:colOff>587006</xdr:colOff>
      <xdr:row>62</xdr:row>
      <xdr:rowOff>88605</xdr:rowOff>
    </xdr:to>
    <xdr:cxnSp macro="">
      <xdr:nvCxnSpPr>
        <xdr:cNvPr id="13" name="Straight Arrow Connector 12"/>
        <xdr:cNvCxnSpPr/>
      </xdr:nvCxnSpPr>
      <xdr:spPr>
        <a:xfrm>
          <a:off x="975094" y="11137605"/>
          <a:ext cx="221512" cy="1905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99681</xdr:colOff>
      <xdr:row>61</xdr:row>
      <xdr:rowOff>143983</xdr:rowOff>
    </xdr:from>
    <xdr:to>
      <xdr:col>3</xdr:col>
      <xdr:colOff>343343</xdr:colOff>
      <xdr:row>62</xdr:row>
      <xdr:rowOff>99680</xdr:rowOff>
    </xdr:to>
    <xdr:cxnSp macro="">
      <xdr:nvCxnSpPr>
        <xdr:cNvPr id="14" name="Straight Arrow Connector 13"/>
        <xdr:cNvCxnSpPr/>
      </xdr:nvCxnSpPr>
      <xdr:spPr>
        <a:xfrm flipV="1">
          <a:off x="2118981" y="11192983"/>
          <a:ext cx="243662" cy="14619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354417</xdr:colOff>
      <xdr:row>123</xdr:row>
      <xdr:rowOff>2</xdr:rowOff>
    </xdr:from>
    <xdr:to>
      <xdr:col>14</xdr:col>
      <xdr:colOff>354417</xdr:colOff>
      <xdr:row>124</xdr:row>
      <xdr:rowOff>11078</xdr:rowOff>
    </xdr:to>
    <xdr:cxnSp macro="">
      <xdr:nvCxnSpPr>
        <xdr:cNvPr id="15" name="Straight Connector 14"/>
        <xdr:cNvCxnSpPr/>
      </xdr:nvCxnSpPr>
      <xdr:spPr>
        <a:xfrm flipV="1">
          <a:off x="10174692" y="21717002"/>
          <a:ext cx="0" cy="20157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387645</xdr:colOff>
      <xdr:row>123</xdr:row>
      <xdr:rowOff>1</xdr:rowOff>
    </xdr:from>
    <xdr:to>
      <xdr:col>8</xdr:col>
      <xdr:colOff>387645</xdr:colOff>
      <xdr:row>124</xdr:row>
      <xdr:rowOff>11076</xdr:rowOff>
    </xdr:to>
    <xdr:cxnSp macro="">
      <xdr:nvCxnSpPr>
        <xdr:cNvPr id="16" name="Straight Arrow Connector 15"/>
        <xdr:cNvCxnSpPr/>
      </xdr:nvCxnSpPr>
      <xdr:spPr>
        <a:xfrm>
          <a:off x="5950245" y="21717001"/>
          <a:ext cx="0" cy="2015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398721</xdr:colOff>
      <xdr:row>123</xdr:row>
      <xdr:rowOff>1</xdr:rowOff>
    </xdr:from>
    <xdr:to>
      <xdr:col>14</xdr:col>
      <xdr:colOff>343343</xdr:colOff>
      <xdr:row>123</xdr:row>
      <xdr:rowOff>1</xdr:rowOff>
    </xdr:to>
    <xdr:cxnSp macro="">
      <xdr:nvCxnSpPr>
        <xdr:cNvPr id="17" name="Straight Connector 16"/>
        <xdr:cNvCxnSpPr/>
      </xdr:nvCxnSpPr>
      <xdr:spPr>
        <a:xfrm>
          <a:off x="5961321" y="21717001"/>
          <a:ext cx="4202297"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351761</xdr:colOff>
      <xdr:row>124</xdr:row>
      <xdr:rowOff>19495</xdr:rowOff>
    </xdr:from>
    <xdr:to>
      <xdr:col>3</xdr:col>
      <xdr:colOff>351761</xdr:colOff>
      <xdr:row>124</xdr:row>
      <xdr:rowOff>184087</xdr:rowOff>
    </xdr:to>
    <xdr:cxnSp macro="">
      <xdr:nvCxnSpPr>
        <xdr:cNvPr id="18" name="Straight Arrow Connector 17"/>
        <xdr:cNvCxnSpPr/>
      </xdr:nvCxnSpPr>
      <xdr:spPr>
        <a:xfrm>
          <a:off x="2371061" y="21926995"/>
          <a:ext cx="0" cy="16459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402462</xdr:colOff>
      <xdr:row>145</xdr:row>
      <xdr:rowOff>95742</xdr:rowOff>
    </xdr:from>
    <xdr:to>
      <xdr:col>3</xdr:col>
      <xdr:colOff>402462</xdr:colOff>
      <xdr:row>146</xdr:row>
      <xdr:rowOff>116909</xdr:rowOff>
    </xdr:to>
    <xdr:cxnSp macro="">
      <xdr:nvCxnSpPr>
        <xdr:cNvPr id="20" name="Straight Arrow Connector 19"/>
        <xdr:cNvCxnSpPr/>
      </xdr:nvCxnSpPr>
      <xdr:spPr>
        <a:xfrm>
          <a:off x="2421762" y="26165667"/>
          <a:ext cx="0"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354419</xdr:colOff>
      <xdr:row>145</xdr:row>
      <xdr:rowOff>11086</xdr:rowOff>
    </xdr:from>
    <xdr:to>
      <xdr:col>5</xdr:col>
      <xdr:colOff>354419</xdr:colOff>
      <xdr:row>145</xdr:row>
      <xdr:rowOff>148246</xdr:rowOff>
    </xdr:to>
    <xdr:cxnSp macro="">
      <xdr:nvCxnSpPr>
        <xdr:cNvPr id="21" name="Straight Arrow Connector 20"/>
        <xdr:cNvCxnSpPr/>
      </xdr:nvCxnSpPr>
      <xdr:spPr>
        <a:xfrm flipV="1">
          <a:off x="3792944" y="2608101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376570</xdr:colOff>
      <xdr:row>145</xdr:row>
      <xdr:rowOff>22156</xdr:rowOff>
    </xdr:from>
    <xdr:to>
      <xdr:col>6</xdr:col>
      <xdr:colOff>376570</xdr:colOff>
      <xdr:row>145</xdr:row>
      <xdr:rowOff>159316</xdr:rowOff>
    </xdr:to>
    <xdr:cxnSp macro="">
      <xdr:nvCxnSpPr>
        <xdr:cNvPr id="22" name="Straight Arrow Connector 21"/>
        <xdr:cNvCxnSpPr/>
      </xdr:nvCxnSpPr>
      <xdr:spPr>
        <a:xfrm>
          <a:off x="4519945" y="2609208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159</xdr:row>
      <xdr:rowOff>0</xdr:rowOff>
    </xdr:from>
    <xdr:to>
      <xdr:col>17</xdr:col>
      <xdr:colOff>365495</xdr:colOff>
      <xdr:row>159</xdr:row>
      <xdr:rowOff>0</xdr:rowOff>
    </xdr:to>
    <xdr:cxnSp macro="">
      <xdr:nvCxnSpPr>
        <xdr:cNvPr id="23" name="Straight Connector 22"/>
        <xdr:cNvCxnSpPr/>
      </xdr:nvCxnSpPr>
      <xdr:spPr>
        <a:xfrm>
          <a:off x="3792944" y="28736925"/>
          <a:ext cx="8602626"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158</xdr:row>
      <xdr:rowOff>44313</xdr:rowOff>
    </xdr:from>
    <xdr:to>
      <xdr:col>5</xdr:col>
      <xdr:colOff>354419</xdr:colOff>
      <xdr:row>158</xdr:row>
      <xdr:rowOff>181473</xdr:rowOff>
    </xdr:to>
    <xdr:cxnSp macro="">
      <xdr:nvCxnSpPr>
        <xdr:cNvPr id="24" name="Straight Arrow Connector 23"/>
        <xdr:cNvCxnSpPr/>
      </xdr:nvCxnSpPr>
      <xdr:spPr>
        <a:xfrm flipV="1">
          <a:off x="3792944" y="28590738"/>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387646</xdr:colOff>
      <xdr:row>158</xdr:row>
      <xdr:rowOff>55379</xdr:rowOff>
    </xdr:from>
    <xdr:to>
      <xdr:col>17</xdr:col>
      <xdr:colOff>387646</xdr:colOff>
      <xdr:row>159</xdr:row>
      <xdr:rowOff>4254</xdr:rowOff>
    </xdr:to>
    <xdr:cxnSp macro="">
      <xdr:nvCxnSpPr>
        <xdr:cNvPr id="25" name="Straight Arrow Connector 24"/>
        <xdr:cNvCxnSpPr/>
      </xdr:nvCxnSpPr>
      <xdr:spPr>
        <a:xfrm>
          <a:off x="12417721" y="28601804"/>
          <a:ext cx="0" cy="1393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531628</xdr:colOff>
      <xdr:row>77</xdr:row>
      <xdr:rowOff>33227</xdr:rowOff>
    </xdr:from>
    <xdr:to>
      <xdr:col>1</xdr:col>
      <xdr:colOff>641356</xdr:colOff>
      <xdr:row>82</xdr:row>
      <xdr:rowOff>97643</xdr:rowOff>
    </xdr:to>
    <xdr:sp macro="" textlink="">
      <xdr:nvSpPr>
        <xdr:cNvPr id="26" name="Left Brace 25"/>
        <xdr:cNvSpPr/>
      </xdr:nvSpPr>
      <xdr:spPr>
        <a:xfrm>
          <a:off x="1141228" y="14701727"/>
          <a:ext cx="109728" cy="101691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27" name="Left Brace 26"/>
        <xdr:cNvSpPr/>
      </xdr:nvSpPr>
      <xdr:spPr>
        <a:xfrm>
          <a:off x="1138568" y="15751249"/>
          <a:ext cx="109728" cy="8340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531628</xdr:colOff>
      <xdr:row>77</xdr:row>
      <xdr:rowOff>33227</xdr:rowOff>
    </xdr:from>
    <xdr:to>
      <xdr:col>1</xdr:col>
      <xdr:colOff>641356</xdr:colOff>
      <xdr:row>82</xdr:row>
      <xdr:rowOff>97643</xdr:rowOff>
    </xdr:to>
    <xdr:sp macro="" textlink="">
      <xdr:nvSpPr>
        <xdr:cNvPr id="28" name="Left Brace 27"/>
        <xdr:cNvSpPr/>
      </xdr:nvSpPr>
      <xdr:spPr>
        <a:xfrm>
          <a:off x="1141228" y="14701727"/>
          <a:ext cx="109728" cy="101691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29" name="Left Brace 28"/>
        <xdr:cNvSpPr/>
      </xdr:nvSpPr>
      <xdr:spPr>
        <a:xfrm>
          <a:off x="1138568" y="15751249"/>
          <a:ext cx="109728" cy="8340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221514</xdr:colOff>
      <xdr:row>69</xdr:row>
      <xdr:rowOff>132907</xdr:rowOff>
    </xdr:from>
    <xdr:to>
      <xdr:col>6</xdr:col>
      <xdr:colOff>598084</xdr:colOff>
      <xdr:row>69</xdr:row>
      <xdr:rowOff>132907</xdr:rowOff>
    </xdr:to>
    <xdr:cxnSp macro="">
      <xdr:nvCxnSpPr>
        <xdr:cNvPr id="30" name="Straight Arrow Connector 29"/>
        <xdr:cNvCxnSpPr/>
      </xdr:nvCxnSpPr>
      <xdr:spPr>
        <a:xfrm flipH="1">
          <a:off x="4422039" y="13277407"/>
          <a:ext cx="37657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269874</xdr:colOff>
      <xdr:row>22</xdr:row>
      <xdr:rowOff>95250</xdr:rowOff>
    </xdr:from>
    <xdr:to>
      <xdr:col>18</xdr:col>
      <xdr:colOff>116417</xdr:colOff>
      <xdr:row>32</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275169</xdr:colOff>
      <xdr:row>32</xdr:row>
      <xdr:rowOff>84667</xdr:rowOff>
    </xdr:from>
    <xdr:to>
      <xdr:col>18</xdr:col>
      <xdr:colOff>137584</xdr:colOff>
      <xdr:row>42</xdr:row>
      <xdr:rowOff>8467</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340636</xdr:colOff>
      <xdr:row>65</xdr:row>
      <xdr:rowOff>152599</xdr:rowOff>
    </xdr:from>
    <xdr:to>
      <xdr:col>18</xdr:col>
      <xdr:colOff>327591</xdr:colOff>
      <xdr:row>75</xdr:row>
      <xdr:rowOff>27814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79373</xdr:colOff>
      <xdr:row>48</xdr:row>
      <xdr:rowOff>20107</xdr:rowOff>
    </xdr:from>
    <xdr:to>
      <xdr:col>12</xdr:col>
      <xdr:colOff>137583</xdr:colOff>
      <xdr:row>62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346909</xdr:colOff>
      <xdr:row>75</xdr:row>
      <xdr:rowOff>121338</xdr:rowOff>
    </xdr:from>
    <xdr:to>
      <xdr:col>18</xdr:col>
      <xdr:colOff>455575</xdr:colOff>
      <xdr:row>87</xdr:row>
      <xdr:rowOff>7137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391583</xdr:colOff>
      <xdr:row>167</xdr:row>
      <xdr:rowOff>31750</xdr:rowOff>
    </xdr:from>
    <xdr:to>
      <xdr:col>7</xdr:col>
      <xdr:colOff>391583</xdr:colOff>
      <xdr:row>168</xdr:row>
      <xdr:rowOff>10583</xdr:rowOff>
    </xdr:to>
    <xdr:cxnSp macro="">
      <xdr:nvCxnSpPr>
        <xdr:cNvPr id="18" name="Straight Arrow Connector 17"/>
        <xdr:cNvCxnSpPr/>
      </xdr:nvCxnSpPr>
      <xdr:spPr>
        <a:xfrm flipV="1">
          <a:off x="5270500" y="28003500"/>
          <a:ext cx="0" cy="16933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268816</xdr:colOff>
      <xdr:row>168</xdr:row>
      <xdr:rowOff>31750</xdr:rowOff>
    </xdr:from>
    <xdr:to>
      <xdr:col>9</xdr:col>
      <xdr:colOff>268816</xdr:colOff>
      <xdr:row>169</xdr:row>
      <xdr:rowOff>52917</xdr:rowOff>
    </xdr:to>
    <xdr:cxnSp macro="">
      <xdr:nvCxnSpPr>
        <xdr:cNvPr id="25" name="Straight Arrow Connector 24"/>
        <xdr:cNvCxnSpPr/>
      </xdr:nvCxnSpPr>
      <xdr:spPr>
        <a:xfrm>
          <a:off x="6544733" y="27813000"/>
          <a:ext cx="0"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391583</xdr:colOff>
      <xdr:row>197</xdr:row>
      <xdr:rowOff>31750</xdr:rowOff>
    </xdr:from>
    <xdr:to>
      <xdr:col>7</xdr:col>
      <xdr:colOff>391583</xdr:colOff>
      <xdr:row>198</xdr:row>
      <xdr:rowOff>10583</xdr:rowOff>
    </xdr:to>
    <xdr:cxnSp macro="">
      <xdr:nvCxnSpPr>
        <xdr:cNvPr id="29" name="Straight Arrow Connector 28"/>
        <xdr:cNvCxnSpPr/>
      </xdr:nvCxnSpPr>
      <xdr:spPr>
        <a:xfrm flipV="1">
          <a:off x="5264839" y="27687477"/>
          <a:ext cx="0" cy="16711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268816</xdr:colOff>
      <xdr:row>198</xdr:row>
      <xdr:rowOff>31750</xdr:rowOff>
    </xdr:from>
    <xdr:to>
      <xdr:col>9</xdr:col>
      <xdr:colOff>268816</xdr:colOff>
      <xdr:row>199</xdr:row>
      <xdr:rowOff>52917</xdr:rowOff>
    </xdr:to>
    <xdr:cxnSp macro="">
      <xdr:nvCxnSpPr>
        <xdr:cNvPr id="30" name="Straight Arrow Connector 29"/>
        <xdr:cNvCxnSpPr/>
      </xdr:nvCxnSpPr>
      <xdr:spPr>
        <a:xfrm>
          <a:off x="6537595" y="27875762"/>
          <a:ext cx="0" cy="20945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491067</xdr:colOff>
      <xdr:row>197</xdr:row>
      <xdr:rowOff>84666</xdr:rowOff>
    </xdr:from>
    <xdr:to>
      <xdr:col>1</xdr:col>
      <xdr:colOff>491067</xdr:colOff>
      <xdr:row>198</xdr:row>
      <xdr:rowOff>105833</xdr:rowOff>
    </xdr:to>
    <xdr:cxnSp macro="">
      <xdr:nvCxnSpPr>
        <xdr:cNvPr id="31" name="Straight Arrow Connector 30"/>
        <xdr:cNvCxnSpPr/>
      </xdr:nvCxnSpPr>
      <xdr:spPr>
        <a:xfrm>
          <a:off x="1100224" y="27740393"/>
          <a:ext cx="0" cy="20945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642385</xdr:colOff>
      <xdr:row>8</xdr:row>
      <xdr:rowOff>121831</xdr:rowOff>
    </xdr:from>
    <xdr:to>
      <xdr:col>12</xdr:col>
      <xdr:colOff>542704</xdr:colOff>
      <xdr:row>8</xdr:row>
      <xdr:rowOff>121831</xdr:rowOff>
    </xdr:to>
    <xdr:cxnSp macro="">
      <xdr:nvCxnSpPr>
        <xdr:cNvPr id="13" name="Straight Arrow Connector 12"/>
        <xdr:cNvCxnSpPr/>
      </xdr:nvCxnSpPr>
      <xdr:spPr>
        <a:xfrm>
          <a:off x="5471338" y="1439825"/>
          <a:ext cx="3355901"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354417</xdr:colOff>
      <xdr:row>123</xdr:row>
      <xdr:rowOff>2</xdr:rowOff>
    </xdr:from>
    <xdr:to>
      <xdr:col>14</xdr:col>
      <xdr:colOff>354417</xdr:colOff>
      <xdr:row>124</xdr:row>
      <xdr:rowOff>11078</xdr:rowOff>
    </xdr:to>
    <xdr:cxnSp macro="">
      <xdr:nvCxnSpPr>
        <xdr:cNvPr id="21" name="Straight Connector 20"/>
        <xdr:cNvCxnSpPr/>
      </xdr:nvCxnSpPr>
      <xdr:spPr>
        <a:xfrm flipV="1">
          <a:off x="10174692" y="21717002"/>
          <a:ext cx="0" cy="20157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387645</xdr:colOff>
      <xdr:row>123</xdr:row>
      <xdr:rowOff>1</xdr:rowOff>
    </xdr:from>
    <xdr:to>
      <xdr:col>8</xdr:col>
      <xdr:colOff>387645</xdr:colOff>
      <xdr:row>124</xdr:row>
      <xdr:rowOff>11076</xdr:rowOff>
    </xdr:to>
    <xdr:cxnSp macro="">
      <xdr:nvCxnSpPr>
        <xdr:cNvPr id="22" name="Straight Arrow Connector 21"/>
        <xdr:cNvCxnSpPr/>
      </xdr:nvCxnSpPr>
      <xdr:spPr>
        <a:xfrm>
          <a:off x="5950245" y="21717001"/>
          <a:ext cx="0" cy="2015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398721</xdr:colOff>
      <xdr:row>123</xdr:row>
      <xdr:rowOff>1</xdr:rowOff>
    </xdr:from>
    <xdr:to>
      <xdr:col>14</xdr:col>
      <xdr:colOff>343343</xdr:colOff>
      <xdr:row>123</xdr:row>
      <xdr:rowOff>1</xdr:rowOff>
    </xdr:to>
    <xdr:cxnSp macro="">
      <xdr:nvCxnSpPr>
        <xdr:cNvPr id="23" name="Straight Connector 22"/>
        <xdr:cNvCxnSpPr/>
      </xdr:nvCxnSpPr>
      <xdr:spPr>
        <a:xfrm>
          <a:off x="5961321" y="21717001"/>
          <a:ext cx="4202297"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351761</xdr:colOff>
      <xdr:row>124</xdr:row>
      <xdr:rowOff>19495</xdr:rowOff>
    </xdr:from>
    <xdr:to>
      <xdr:col>3</xdr:col>
      <xdr:colOff>351761</xdr:colOff>
      <xdr:row>124</xdr:row>
      <xdr:rowOff>184087</xdr:rowOff>
    </xdr:to>
    <xdr:cxnSp macro="">
      <xdr:nvCxnSpPr>
        <xdr:cNvPr id="24" name="Straight Arrow Connector 23"/>
        <xdr:cNvCxnSpPr/>
      </xdr:nvCxnSpPr>
      <xdr:spPr>
        <a:xfrm>
          <a:off x="2371061" y="21926995"/>
          <a:ext cx="0" cy="16459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402462</xdr:colOff>
      <xdr:row>145</xdr:row>
      <xdr:rowOff>95742</xdr:rowOff>
    </xdr:from>
    <xdr:to>
      <xdr:col>3</xdr:col>
      <xdr:colOff>402462</xdr:colOff>
      <xdr:row>146</xdr:row>
      <xdr:rowOff>116909</xdr:rowOff>
    </xdr:to>
    <xdr:cxnSp macro="">
      <xdr:nvCxnSpPr>
        <xdr:cNvPr id="27" name="Straight Arrow Connector 26"/>
        <xdr:cNvCxnSpPr/>
      </xdr:nvCxnSpPr>
      <xdr:spPr>
        <a:xfrm>
          <a:off x="2421762" y="26165667"/>
          <a:ext cx="0"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354419</xdr:colOff>
      <xdr:row>145</xdr:row>
      <xdr:rowOff>11086</xdr:rowOff>
    </xdr:from>
    <xdr:to>
      <xdr:col>5</xdr:col>
      <xdr:colOff>354419</xdr:colOff>
      <xdr:row>145</xdr:row>
      <xdr:rowOff>148246</xdr:rowOff>
    </xdr:to>
    <xdr:cxnSp macro="">
      <xdr:nvCxnSpPr>
        <xdr:cNvPr id="32" name="Straight Arrow Connector 31"/>
        <xdr:cNvCxnSpPr/>
      </xdr:nvCxnSpPr>
      <xdr:spPr>
        <a:xfrm flipV="1">
          <a:off x="3792944" y="2608101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376570</xdr:colOff>
      <xdr:row>145</xdr:row>
      <xdr:rowOff>22156</xdr:rowOff>
    </xdr:from>
    <xdr:to>
      <xdr:col>6</xdr:col>
      <xdr:colOff>376570</xdr:colOff>
      <xdr:row>145</xdr:row>
      <xdr:rowOff>159316</xdr:rowOff>
    </xdr:to>
    <xdr:cxnSp macro="">
      <xdr:nvCxnSpPr>
        <xdr:cNvPr id="33" name="Straight Arrow Connector 32"/>
        <xdr:cNvCxnSpPr/>
      </xdr:nvCxnSpPr>
      <xdr:spPr>
        <a:xfrm>
          <a:off x="4519945" y="2609208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531628</xdr:colOff>
      <xdr:row>77</xdr:row>
      <xdr:rowOff>33227</xdr:rowOff>
    </xdr:from>
    <xdr:to>
      <xdr:col>1</xdr:col>
      <xdr:colOff>641356</xdr:colOff>
      <xdr:row>82</xdr:row>
      <xdr:rowOff>97643</xdr:rowOff>
    </xdr:to>
    <xdr:sp macro="" textlink="">
      <xdr:nvSpPr>
        <xdr:cNvPr id="20" name="Left Brace 19"/>
        <xdr:cNvSpPr/>
      </xdr:nvSpPr>
      <xdr:spPr>
        <a:xfrm>
          <a:off x="1141228" y="14701727"/>
          <a:ext cx="109728" cy="101691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26" name="Left Brace 25"/>
        <xdr:cNvSpPr/>
      </xdr:nvSpPr>
      <xdr:spPr>
        <a:xfrm>
          <a:off x="1138568" y="15751249"/>
          <a:ext cx="109728" cy="8340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531628</xdr:colOff>
      <xdr:row>77</xdr:row>
      <xdr:rowOff>33227</xdr:rowOff>
    </xdr:from>
    <xdr:to>
      <xdr:col>1</xdr:col>
      <xdr:colOff>641356</xdr:colOff>
      <xdr:row>82</xdr:row>
      <xdr:rowOff>97643</xdr:rowOff>
    </xdr:to>
    <xdr:sp macro="" textlink="">
      <xdr:nvSpPr>
        <xdr:cNvPr id="28" name="Left Brace 27"/>
        <xdr:cNvSpPr/>
      </xdr:nvSpPr>
      <xdr:spPr>
        <a:xfrm>
          <a:off x="1141228" y="14701727"/>
          <a:ext cx="109728" cy="101691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34" name="Left Brace 33"/>
        <xdr:cNvSpPr/>
      </xdr:nvSpPr>
      <xdr:spPr>
        <a:xfrm>
          <a:off x="1138568" y="15751249"/>
          <a:ext cx="109728" cy="8340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221514</xdr:colOff>
      <xdr:row>69</xdr:row>
      <xdr:rowOff>132907</xdr:rowOff>
    </xdr:from>
    <xdr:to>
      <xdr:col>6</xdr:col>
      <xdr:colOff>598084</xdr:colOff>
      <xdr:row>69</xdr:row>
      <xdr:rowOff>132907</xdr:rowOff>
    </xdr:to>
    <xdr:cxnSp macro="">
      <xdr:nvCxnSpPr>
        <xdr:cNvPr id="35" name="Straight Arrow Connector 34"/>
        <xdr:cNvCxnSpPr/>
      </xdr:nvCxnSpPr>
      <xdr:spPr>
        <a:xfrm flipH="1">
          <a:off x="4422039" y="13277407"/>
          <a:ext cx="37657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269874</xdr:colOff>
      <xdr:row>22</xdr:row>
      <xdr:rowOff>95250</xdr:rowOff>
    </xdr:from>
    <xdr:to>
      <xdr:col>18</xdr:col>
      <xdr:colOff>116417</xdr:colOff>
      <xdr:row>32</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275169</xdr:colOff>
      <xdr:row>32</xdr:row>
      <xdr:rowOff>84667</xdr:rowOff>
    </xdr:from>
    <xdr:to>
      <xdr:col>18</xdr:col>
      <xdr:colOff>137584</xdr:colOff>
      <xdr:row>42</xdr:row>
      <xdr:rowOff>8467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362783</xdr:colOff>
      <xdr:row>65</xdr:row>
      <xdr:rowOff>66455</xdr:rowOff>
    </xdr:from>
    <xdr:to>
      <xdr:col>18</xdr:col>
      <xdr:colOff>470438</xdr:colOff>
      <xdr:row>76</xdr:row>
      <xdr:rowOff>7001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79373</xdr:colOff>
      <xdr:row>48</xdr:row>
      <xdr:rowOff>20107</xdr:rowOff>
    </xdr:from>
    <xdr:to>
      <xdr:col>12</xdr:col>
      <xdr:colOff>137583</xdr:colOff>
      <xdr:row>62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369062</xdr:colOff>
      <xdr:row>76</xdr:row>
      <xdr:rowOff>88111</xdr:rowOff>
    </xdr:from>
    <xdr:to>
      <xdr:col>18</xdr:col>
      <xdr:colOff>477728</xdr:colOff>
      <xdr:row>87</xdr:row>
      <xdr:rowOff>162195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391583</xdr:colOff>
      <xdr:row>167</xdr:row>
      <xdr:rowOff>31750</xdr:rowOff>
    </xdr:from>
    <xdr:to>
      <xdr:col>7</xdr:col>
      <xdr:colOff>391583</xdr:colOff>
      <xdr:row>168</xdr:row>
      <xdr:rowOff>10583</xdr:rowOff>
    </xdr:to>
    <xdr:cxnSp macro="">
      <xdr:nvCxnSpPr>
        <xdr:cNvPr id="7" name="Straight Arrow Connector 6"/>
        <xdr:cNvCxnSpPr/>
      </xdr:nvCxnSpPr>
      <xdr:spPr>
        <a:xfrm flipV="1">
          <a:off x="5249333" y="297211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368496</xdr:colOff>
      <xdr:row>167</xdr:row>
      <xdr:rowOff>142506</xdr:rowOff>
    </xdr:from>
    <xdr:to>
      <xdr:col>9</xdr:col>
      <xdr:colOff>368496</xdr:colOff>
      <xdr:row>168</xdr:row>
      <xdr:rowOff>163672</xdr:rowOff>
    </xdr:to>
    <xdr:cxnSp macro="">
      <xdr:nvCxnSpPr>
        <xdr:cNvPr id="8" name="Straight Arrow Connector 7"/>
        <xdr:cNvCxnSpPr/>
      </xdr:nvCxnSpPr>
      <xdr:spPr>
        <a:xfrm>
          <a:off x="6635946" y="29831931"/>
          <a:ext cx="0" cy="211666"/>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402462</xdr:colOff>
      <xdr:row>145</xdr:row>
      <xdr:rowOff>95742</xdr:rowOff>
    </xdr:from>
    <xdr:to>
      <xdr:col>3</xdr:col>
      <xdr:colOff>402462</xdr:colOff>
      <xdr:row>146</xdr:row>
      <xdr:rowOff>116909</xdr:rowOff>
    </xdr:to>
    <xdr:cxnSp macro="">
      <xdr:nvCxnSpPr>
        <xdr:cNvPr id="9" name="Straight Arrow Connector 8"/>
        <xdr:cNvCxnSpPr/>
      </xdr:nvCxnSpPr>
      <xdr:spPr>
        <a:xfrm>
          <a:off x="2421762" y="25594167"/>
          <a:ext cx="0"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391583</xdr:colOff>
      <xdr:row>197</xdr:row>
      <xdr:rowOff>31750</xdr:rowOff>
    </xdr:from>
    <xdr:to>
      <xdr:col>7</xdr:col>
      <xdr:colOff>391583</xdr:colOff>
      <xdr:row>198</xdr:row>
      <xdr:rowOff>10583</xdr:rowOff>
    </xdr:to>
    <xdr:cxnSp macro="">
      <xdr:nvCxnSpPr>
        <xdr:cNvPr id="10" name="Straight Arrow Connector 9"/>
        <xdr:cNvCxnSpPr/>
      </xdr:nvCxnSpPr>
      <xdr:spPr>
        <a:xfrm flipV="1">
          <a:off x="5249333" y="342931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346345</xdr:colOff>
      <xdr:row>197</xdr:row>
      <xdr:rowOff>120355</xdr:rowOff>
    </xdr:from>
    <xdr:to>
      <xdr:col>9</xdr:col>
      <xdr:colOff>346345</xdr:colOff>
      <xdr:row>198</xdr:row>
      <xdr:rowOff>141522</xdr:rowOff>
    </xdr:to>
    <xdr:cxnSp macro="">
      <xdr:nvCxnSpPr>
        <xdr:cNvPr id="11" name="Straight Arrow Connector 10"/>
        <xdr:cNvCxnSpPr/>
      </xdr:nvCxnSpPr>
      <xdr:spPr>
        <a:xfrm>
          <a:off x="6613795" y="34381780"/>
          <a:ext cx="0" cy="21166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642385</xdr:colOff>
      <xdr:row>8</xdr:row>
      <xdr:rowOff>121831</xdr:rowOff>
    </xdr:from>
    <xdr:to>
      <xdr:col>12</xdr:col>
      <xdr:colOff>542704</xdr:colOff>
      <xdr:row>8</xdr:row>
      <xdr:rowOff>121831</xdr:rowOff>
    </xdr:to>
    <xdr:cxnSp macro="">
      <xdr:nvCxnSpPr>
        <xdr:cNvPr id="12" name="Straight Arrow Connector 11"/>
        <xdr:cNvCxnSpPr/>
      </xdr:nvCxnSpPr>
      <xdr:spPr>
        <a:xfrm>
          <a:off x="5500135" y="1455331"/>
          <a:ext cx="34436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365494</xdr:colOff>
      <xdr:row>61</xdr:row>
      <xdr:rowOff>88605</xdr:rowOff>
    </xdr:from>
    <xdr:to>
      <xdr:col>1</xdr:col>
      <xdr:colOff>587006</xdr:colOff>
      <xdr:row>62</xdr:row>
      <xdr:rowOff>88605</xdr:rowOff>
    </xdr:to>
    <xdr:cxnSp macro="">
      <xdr:nvCxnSpPr>
        <xdr:cNvPr id="13" name="Straight Arrow Connector 12"/>
        <xdr:cNvCxnSpPr/>
      </xdr:nvCxnSpPr>
      <xdr:spPr>
        <a:xfrm>
          <a:off x="975094" y="11137605"/>
          <a:ext cx="221512" cy="1905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99681</xdr:colOff>
      <xdr:row>61</xdr:row>
      <xdr:rowOff>143983</xdr:rowOff>
    </xdr:from>
    <xdr:to>
      <xdr:col>3</xdr:col>
      <xdr:colOff>343343</xdr:colOff>
      <xdr:row>62</xdr:row>
      <xdr:rowOff>99680</xdr:rowOff>
    </xdr:to>
    <xdr:cxnSp macro="">
      <xdr:nvCxnSpPr>
        <xdr:cNvPr id="14" name="Straight Arrow Connector 13"/>
        <xdr:cNvCxnSpPr/>
      </xdr:nvCxnSpPr>
      <xdr:spPr>
        <a:xfrm flipV="1">
          <a:off x="2118981" y="11192983"/>
          <a:ext cx="243662" cy="14619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354417</xdr:colOff>
      <xdr:row>123</xdr:row>
      <xdr:rowOff>2</xdr:rowOff>
    </xdr:from>
    <xdr:to>
      <xdr:col>14</xdr:col>
      <xdr:colOff>354417</xdr:colOff>
      <xdr:row>124</xdr:row>
      <xdr:rowOff>11078</xdr:rowOff>
    </xdr:to>
    <xdr:cxnSp macro="">
      <xdr:nvCxnSpPr>
        <xdr:cNvPr id="16" name="Straight Connector 15"/>
        <xdr:cNvCxnSpPr/>
      </xdr:nvCxnSpPr>
      <xdr:spPr>
        <a:xfrm flipV="1">
          <a:off x="10233836" y="21087909"/>
          <a:ext cx="0" cy="19936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387645</xdr:colOff>
      <xdr:row>123</xdr:row>
      <xdr:rowOff>1</xdr:rowOff>
    </xdr:from>
    <xdr:to>
      <xdr:col>8</xdr:col>
      <xdr:colOff>387645</xdr:colOff>
      <xdr:row>124</xdr:row>
      <xdr:rowOff>11076</xdr:rowOff>
    </xdr:to>
    <xdr:cxnSp macro="">
      <xdr:nvCxnSpPr>
        <xdr:cNvPr id="20" name="Straight Arrow Connector 19"/>
        <xdr:cNvCxnSpPr/>
      </xdr:nvCxnSpPr>
      <xdr:spPr>
        <a:xfrm>
          <a:off x="5980814" y="21087908"/>
          <a:ext cx="0" cy="1993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398721</xdr:colOff>
      <xdr:row>123</xdr:row>
      <xdr:rowOff>1</xdr:rowOff>
    </xdr:from>
    <xdr:to>
      <xdr:col>14</xdr:col>
      <xdr:colOff>343343</xdr:colOff>
      <xdr:row>123</xdr:row>
      <xdr:rowOff>1</xdr:rowOff>
    </xdr:to>
    <xdr:cxnSp macro="">
      <xdr:nvCxnSpPr>
        <xdr:cNvPr id="22" name="Straight Connector 21"/>
        <xdr:cNvCxnSpPr/>
      </xdr:nvCxnSpPr>
      <xdr:spPr>
        <a:xfrm>
          <a:off x="5991890" y="21087908"/>
          <a:ext cx="423087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145</xdr:row>
      <xdr:rowOff>11086</xdr:rowOff>
    </xdr:from>
    <xdr:to>
      <xdr:col>5</xdr:col>
      <xdr:colOff>354419</xdr:colOff>
      <xdr:row>145</xdr:row>
      <xdr:rowOff>148246</xdr:rowOff>
    </xdr:to>
    <xdr:cxnSp macro="">
      <xdr:nvCxnSpPr>
        <xdr:cNvPr id="23" name="Straight Arrow Connector 22"/>
        <xdr:cNvCxnSpPr/>
      </xdr:nvCxnSpPr>
      <xdr:spPr>
        <a:xfrm flipV="1">
          <a:off x="3810000" y="25219109"/>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376570</xdr:colOff>
      <xdr:row>145</xdr:row>
      <xdr:rowOff>22156</xdr:rowOff>
    </xdr:from>
    <xdr:to>
      <xdr:col>6</xdr:col>
      <xdr:colOff>376570</xdr:colOff>
      <xdr:row>145</xdr:row>
      <xdr:rowOff>159316</xdr:rowOff>
    </xdr:to>
    <xdr:cxnSp macro="">
      <xdr:nvCxnSpPr>
        <xdr:cNvPr id="24" name="Straight Arrow Connector 23"/>
        <xdr:cNvCxnSpPr/>
      </xdr:nvCxnSpPr>
      <xdr:spPr>
        <a:xfrm>
          <a:off x="4540989" y="25230179"/>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351761</xdr:colOff>
      <xdr:row>124</xdr:row>
      <xdr:rowOff>19495</xdr:rowOff>
    </xdr:from>
    <xdr:to>
      <xdr:col>3</xdr:col>
      <xdr:colOff>351761</xdr:colOff>
      <xdr:row>124</xdr:row>
      <xdr:rowOff>184087</xdr:rowOff>
    </xdr:to>
    <xdr:cxnSp macro="">
      <xdr:nvCxnSpPr>
        <xdr:cNvPr id="27" name="Straight Arrow Connector 26"/>
        <xdr:cNvCxnSpPr/>
      </xdr:nvCxnSpPr>
      <xdr:spPr>
        <a:xfrm>
          <a:off x="2378592" y="21295687"/>
          <a:ext cx="0" cy="16459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354419</xdr:colOff>
      <xdr:row>159</xdr:row>
      <xdr:rowOff>0</xdr:rowOff>
    </xdr:from>
    <xdr:to>
      <xdr:col>17</xdr:col>
      <xdr:colOff>365495</xdr:colOff>
      <xdr:row>159</xdr:row>
      <xdr:rowOff>0</xdr:rowOff>
    </xdr:to>
    <xdr:cxnSp macro="">
      <xdr:nvCxnSpPr>
        <xdr:cNvPr id="32" name="Straight Connector 31"/>
        <xdr:cNvCxnSpPr/>
      </xdr:nvCxnSpPr>
      <xdr:spPr>
        <a:xfrm>
          <a:off x="3810000" y="28408866"/>
          <a:ext cx="866110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158</xdr:row>
      <xdr:rowOff>44313</xdr:rowOff>
    </xdr:from>
    <xdr:to>
      <xdr:col>5</xdr:col>
      <xdr:colOff>354419</xdr:colOff>
      <xdr:row>158</xdr:row>
      <xdr:rowOff>181473</xdr:rowOff>
    </xdr:to>
    <xdr:cxnSp macro="">
      <xdr:nvCxnSpPr>
        <xdr:cNvPr id="33" name="Straight Arrow Connector 32"/>
        <xdr:cNvCxnSpPr/>
      </xdr:nvCxnSpPr>
      <xdr:spPr>
        <a:xfrm flipV="1">
          <a:off x="3810000" y="28264894"/>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387646</xdr:colOff>
      <xdr:row>158</xdr:row>
      <xdr:rowOff>55379</xdr:rowOff>
    </xdr:from>
    <xdr:to>
      <xdr:col>17</xdr:col>
      <xdr:colOff>387646</xdr:colOff>
      <xdr:row>159</xdr:row>
      <xdr:rowOff>4254</xdr:rowOff>
    </xdr:to>
    <xdr:cxnSp macro="">
      <xdr:nvCxnSpPr>
        <xdr:cNvPr id="35" name="Straight Arrow Connector 34"/>
        <xdr:cNvCxnSpPr/>
      </xdr:nvCxnSpPr>
      <xdr:spPr>
        <a:xfrm>
          <a:off x="12493256" y="28275960"/>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333375</xdr:colOff>
      <xdr:row>142</xdr:row>
      <xdr:rowOff>162368</xdr:rowOff>
    </xdr:from>
    <xdr:to>
      <xdr:col>40</xdr:col>
      <xdr:colOff>32120</xdr:colOff>
      <xdr:row>157</xdr:row>
      <xdr:rowOff>81294</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531628</xdr:colOff>
      <xdr:row>77</xdr:row>
      <xdr:rowOff>33227</xdr:rowOff>
    </xdr:from>
    <xdr:to>
      <xdr:col>1</xdr:col>
      <xdr:colOff>641356</xdr:colOff>
      <xdr:row>82</xdr:row>
      <xdr:rowOff>97643</xdr:rowOff>
    </xdr:to>
    <xdr:sp macro="" textlink="">
      <xdr:nvSpPr>
        <xdr:cNvPr id="25" name="Left Brace 24"/>
        <xdr:cNvSpPr/>
      </xdr:nvSpPr>
      <xdr:spPr>
        <a:xfrm>
          <a:off x="1141228" y="14701727"/>
          <a:ext cx="109728" cy="101691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26" name="Left Brace 25"/>
        <xdr:cNvSpPr/>
      </xdr:nvSpPr>
      <xdr:spPr>
        <a:xfrm>
          <a:off x="1138568" y="15751249"/>
          <a:ext cx="109728" cy="8340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531628</xdr:colOff>
      <xdr:row>77</xdr:row>
      <xdr:rowOff>33227</xdr:rowOff>
    </xdr:from>
    <xdr:to>
      <xdr:col>1</xdr:col>
      <xdr:colOff>641356</xdr:colOff>
      <xdr:row>82</xdr:row>
      <xdr:rowOff>97643</xdr:rowOff>
    </xdr:to>
    <xdr:sp macro="" textlink="">
      <xdr:nvSpPr>
        <xdr:cNvPr id="28" name="Left Brace 27"/>
        <xdr:cNvSpPr/>
      </xdr:nvSpPr>
      <xdr:spPr>
        <a:xfrm>
          <a:off x="1141228" y="14701727"/>
          <a:ext cx="109728" cy="101691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29" name="Left Brace 28"/>
        <xdr:cNvSpPr/>
      </xdr:nvSpPr>
      <xdr:spPr>
        <a:xfrm>
          <a:off x="1138568" y="15751249"/>
          <a:ext cx="109728" cy="8340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221514</xdr:colOff>
      <xdr:row>69</xdr:row>
      <xdr:rowOff>132907</xdr:rowOff>
    </xdr:from>
    <xdr:to>
      <xdr:col>6</xdr:col>
      <xdr:colOff>598084</xdr:colOff>
      <xdr:row>69</xdr:row>
      <xdr:rowOff>132907</xdr:rowOff>
    </xdr:to>
    <xdr:cxnSp macro="">
      <xdr:nvCxnSpPr>
        <xdr:cNvPr id="30" name="Straight Arrow Connector 29"/>
        <xdr:cNvCxnSpPr/>
      </xdr:nvCxnSpPr>
      <xdr:spPr>
        <a:xfrm flipH="1">
          <a:off x="4422039" y="13277407"/>
          <a:ext cx="37657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269874</xdr:colOff>
      <xdr:row>22</xdr:row>
      <xdr:rowOff>95250</xdr:rowOff>
    </xdr:from>
    <xdr:to>
      <xdr:col>18</xdr:col>
      <xdr:colOff>116417</xdr:colOff>
      <xdr:row>32</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275169</xdr:colOff>
      <xdr:row>32</xdr:row>
      <xdr:rowOff>84667</xdr:rowOff>
    </xdr:from>
    <xdr:to>
      <xdr:col>18</xdr:col>
      <xdr:colOff>137584</xdr:colOff>
      <xdr:row>42</xdr:row>
      <xdr:rowOff>8467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329558</xdr:colOff>
      <xdr:row>65</xdr:row>
      <xdr:rowOff>44303</xdr:rowOff>
    </xdr:from>
    <xdr:to>
      <xdr:col>18</xdr:col>
      <xdr:colOff>437213</xdr:colOff>
      <xdr:row>75</xdr:row>
      <xdr:rowOff>173134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79373</xdr:colOff>
      <xdr:row>48</xdr:row>
      <xdr:rowOff>20107</xdr:rowOff>
    </xdr:from>
    <xdr:to>
      <xdr:col>12</xdr:col>
      <xdr:colOff>137583</xdr:colOff>
      <xdr:row>62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335833</xdr:colOff>
      <xdr:row>76</xdr:row>
      <xdr:rowOff>54884</xdr:rowOff>
    </xdr:from>
    <xdr:to>
      <xdr:col>18</xdr:col>
      <xdr:colOff>444499</xdr:colOff>
      <xdr:row>87</xdr:row>
      <xdr:rowOff>128968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391583</xdr:colOff>
      <xdr:row>167</xdr:row>
      <xdr:rowOff>31750</xdr:rowOff>
    </xdr:from>
    <xdr:to>
      <xdr:col>7</xdr:col>
      <xdr:colOff>391583</xdr:colOff>
      <xdr:row>168</xdr:row>
      <xdr:rowOff>10583</xdr:rowOff>
    </xdr:to>
    <xdr:cxnSp macro="">
      <xdr:nvCxnSpPr>
        <xdr:cNvPr id="7" name="Straight Arrow Connector 6"/>
        <xdr:cNvCxnSpPr/>
      </xdr:nvCxnSpPr>
      <xdr:spPr>
        <a:xfrm flipV="1">
          <a:off x="5306483" y="316261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368496</xdr:colOff>
      <xdr:row>167</xdr:row>
      <xdr:rowOff>142506</xdr:rowOff>
    </xdr:from>
    <xdr:to>
      <xdr:col>9</xdr:col>
      <xdr:colOff>368496</xdr:colOff>
      <xdr:row>168</xdr:row>
      <xdr:rowOff>163672</xdr:rowOff>
    </xdr:to>
    <xdr:cxnSp macro="">
      <xdr:nvCxnSpPr>
        <xdr:cNvPr id="8" name="Straight Arrow Connector 7"/>
        <xdr:cNvCxnSpPr/>
      </xdr:nvCxnSpPr>
      <xdr:spPr>
        <a:xfrm>
          <a:off x="6693096" y="31736931"/>
          <a:ext cx="0" cy="211666"/>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402462</xdr:colOff>
      <xdr:row>145</xdr:row>
      <xdr:rowOff>95742</xdr:rowOff>
    </xdr:from>
    <xdr:to>
      <xdr:col>3</xdr:col>
      <xdr:colOff>402462</xdr:colOff>
      <xdr:row>146</xdr:row>
      <xdr:rowOff>116909</xdr:rowOff>
    </xdr:to>
    <xdr:cxnSp macro="">
      <xdr:nvCxnSpPr>
        <xdr:cNvPr id="9" name="Straight Arrow Connector 8"/>
        <xdr:cNvCxnSpPr/>
      </xdr:nvCxnSpPr>
      <xdr:spPr>
        <a:xfrm>
          <a:off x="2478912" y="27499167"/>
          <a:ext cx="0"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391583</xdr:colOff>
      <xdr:row>197</xdr:row>
      <xdr:rowOff>31750</xdr:rowOff>
    </xdr:from>
    <xdr:to>
      <xdr:col>7</xdr:col>
      <xdr:colOff>391583</xdr:colOff>
      <xdr:row>198</xdr:row>
      <xdr:rowOff>10583</xdr:rowOff>
    </xdr:to>
    <xdr:cxnSp macro="">
      <xdr:nvCxnSpPr>
        <xdr:cNvPr id="10" name="Straight Arrow Connector 9"/>
        <xdr:cNvCxnSpPr/>
      </xdr:nvCxnSpPr>
      <xdr:spPr>
        <a:xfrm flipV="1">
          <a:off x="5306483" y="37341175"/>
          <a:ext cx="0" cy="1693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346345</xdr:colOff>
      <xdr:row>197</xdr:row>
      <xdr:rowOff>120355</xdr:rowOff>
    </xdr:from>
    <xdr:to>
      <xdr:col>9</xdr:col>
      <xdr:colOff>346345</xdr:colOff>
      <xdr:row>198</xdr:row>
      <xdr:rowOff>141522</xdr:rowOff>
    </xdr:to>
    <xdr:cxnSp macro="">
      <xdr:nvCxnSpPr>
        <xdr:cNvPr id="11" name="Straight Arrow Connector 10"/>
        <xdr:cNvCxnSpPr/>
      </xdr:nvCxnSpPr>
      <xdr:spPr>
        <a:xfrm>
          <a:off x="6670945" y="37429780"/>
          <a:ext cx="0" cy="21166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642385</xdr:colOff>
      <xdr:row>8</xdr:row>
      <xdr:rowOff>121831</xdr:rowOff>
    </xdr:from>
    <xdr:to>
      <xdr:col>12</xdr:col>
      <xdr:colOff>542704</xdr:colOff>
      <xdr:row>8</xdr:row>
      <xdr:rowOff>121831</xdr:rowOff>
    </xdr:to>
    <xdr:cxnSp macro="">
      <xdr:nvCxnSpPr>
        <xdr:cNvPr id="12" name="Straight Arrow Connector 11"/>
        <xdr:cNvCxnSpPr/>
      </xdr:nvCxnSpPr>
      <xdr:spPr>
        <a:xfrm>
          <a:off x="5557285" y="1455331"/>
          <a:ext cx="34436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365494</xdr:colOff>
      <xdr:row>61</xdr:row>
      <xdr:rowOff>88605</xdr:rowOff>
    </xdr:from>
    <xdr:to>
      <xdr:col>1</xdr:col>
      <xdr:colOff>587006</xdr:colOff>
      <xdr:row>62</xdr:row>
      <xdr:rowOff>88605</xdr:rowOff>
    </xdr:to>
    <xdr:cxnSp macro="">
      <xdr:nvCxnSpPr>
        <xdr:cNvPr id="13" name="Straight Arrow Connector 12"/>
        <xdr:cNvCxnSpPr/>
      </xdr:nvCxnSpPr>
      <xdr:spPr>
        <a:xfrm>
          <a:off x="975094" y="11518605"/>
          <a:ext cx="221512" cy="1905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99681</xdr:colOff>
      <xdr:row>61</xdr:row>
      <xdr:rowOff>143983</xdr:rowOff>
    </xdr:from>
    <xdr:to>
      <xdr:col>3</xdr:col>
      <xdr:colOff>343343</xdr:colOff>
      <xdr:row>62</xdr:row>
      <xdr:rowOff>99680</xdr:rowOff>
    </xdr:to>
    <xdr:cxnSp macro="">
      <xdr:nvCxnSpPr>
        <xdr:cNvPr id="14" name="Straight Arrow Connector 13"/>
        <xdr:cNvCxnSpPr/>
      </xdr:nvCxnSpPr>
      <xdr:spPr>
        <a:xfrm flipV="1">
          <a:off x="2176131" y="11573983"/>
          <a:ext cx="243662" cy="146197"/>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354417</xdr:colOff>
      <xdr:row>123</xdr:row>
      <xdr:rowOff>2</xdr:rowOff>
    </xdr:from>
    <xdr:to>
      <xdr:col>14</xdr:col>
      <xdr:colOff>354417</xdr:colOff>
      <xdr:row>124</xdr:row>
      <xdr:rowOff>11078</xdr:rowOff>
    </xdr:to>
    <xdr:cxnSp macro="">
      <xdr:nvCxnSpPr>
        <xdr:cNvPr id="15" name="Straight Connector 14"/>
        <xdr:cNvCxnSpPr/>
      </xdr:nvCxnSpPr>
      <xdr:spPr>
        <a:xfrm flipV="1">
          <a:off x="10231842" y="23241002"/>
          <a:ext cx="0" cy="20157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387645</xdr:colOff>
      <xdr:row>123</xdr:row>
      <xdr:rowOff>1</xdr:rowOff>
    </xdr:from>
    <xdr:to>
      <xdr:col>8</xdr:col>
      <xdr:colOff>387645</xdr:colOff>
      <xdr:row>124</xdr:row>
      <xdr:rowOff>11076</xdr:rowOff>
    </xdr:to>
    <xdr:cxnSp macro="">
      <xdr:nvCxnSpPr>
        <xdr:cNvPr id="16" name="Straight Arrow Connector 15"/>
        <xdr:cNvCxnSpPr/>
      </xdr:nvCxnSpPr>
      <xdr:spPr>
        <a:xfrm>
          <a:off x="6007395" y="23241001"/>
          <a:ext cx="0" cy="2015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398721</xdr:colOff>
      <xdr:row>123</xdr:row>
      <xdr:rowOff>1</xdr:rowOff>
    </xdr:from>
    <xdr:to>
      <xdr:col>14</xdr:col>
      <xdr:colOff>343343</xdr:colOff>
      <xdr:row>123</xdr:row>
      <xdr:rowOff>1</xdr:rowOff>
    </xdr:to>
    <xdr:cxnSp macro="">
      <xdr:nvCxnSpPr>
        <xdr:cNvPr id="17" name="Straight Connector 16"/>
        <xdr:cNvCxnSpPr/>
      </xdr:nvCxnSpPr>
      <xdr:spPr>
        <a:xfrm>
          <a:off x="6018471" y="23241001"/>
          <a:ext cx="4202297"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145</xdr:row>
      <xdr:rowOff>11086</xdr:rowOff>
    </xdr:from>
    <xdr:to>
      <xdr:col>5</xdr:col>
      <xdr:colOff>354419</xdr:colOff>
      <xdr:row>145</xdr:row>
      <xdr:rowOff>148246</xdr:rowOff>
    </xdr:to>
    <xdr:cxnSp macro="">
      <xdr:nvCxnSpPr>
        <xdr:cNvPr id="18" name="Straight Arrow Connector 17"/>
        <xdr:cNvCxnSpPr/>
      </xdr:nvCxnSpPr>
      <xdr:spPr>
        <a:xfrm flipV="1">
          <a:off x="3850094" y="2741451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376570</xdr:colOff>
      <xdr:row>145</xdr:row>
      <xdr:rowOff>22156</xdr:rowOff>
    </xdr:from>
    <xdr:to>
      <xdr:col>6</xdr:col>
      <xdr:colOff>376570</xdr:colOff>
      <xdr:row>145</xdr:row>
      <xdr:rowOff>159316</xdr:rowOff>
    </xdr:to>
    <xdr:cxnSp macro="">
      <xdr:nvCxnSpPr>
        <xdr:cNvPr id="19" name="Straight Arrow Connector 18"/>
        <xdr:cNvCxnSpPr/>
      </xdr:nvCxnSpPr>
      <xdr:spPr>
        <a:xfrm>
          <a:off x="4577095" y="27425581"/>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351761</xdr:colOff>
      <xdr:row>124</xdr:row>
      <xdr:rowOff>19495</xdr:rowOff>
    </xdr:from>
    <xdr:to>
      <xdr:col>3</xdr:col>
      <xdr:colOff>351761</xdr:colOff>
      <xdr:row>124</xdr:row>
      <xdr:rowOff>184087</xdr:rowOff>
    </xdr:to>
    <xdr:cxnSp macro="">
      <xdr:nvCxnSpPr>
        <xdr:cNvPr id="20" name="Straight Arrow Connector 19"/>
        <xdr:cNvCxnSpPr/>
      </xdr:nvCxnSpPr>
      <xdr:spPr>
        <a:xfrm>
          <a:off x="2428211" y="23450995"/>
          <a:ext cx="0" cy="16459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354419</xdr:colOff>
      <xdr:row>159</xdr:row>
      <xdr:rowOff>0</xdr:rowOff>
    </xdr:from>
    <xdr:to>
      <xdr:col>17</xdr:col>
      <xdr:colOff>365495</xdr:colOff>
      <xdr:row>159</xdr:row>
      <xdr:rowOff>0</xdr:rowOff>
    </xdr:to>
    <xdr:cxnSp macro="">
      <xdr:nvCxnSpPr>
        <xdr:cNvPr id="21" name="Straight Connector 20"/>
        <xdr:cNvCxnSpPr/>
      </xdr:nvCxnSpPr>
      <xdr:spPr>
        <a:xfrm>
          <a:off x="3850094" y="30070425"/>
          <a:ext cx="8602626"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354419</xdr:colOff>
      <xdr:row>158</xdr:row>
      <xdr:rowOff>44313</xdr:rowOff>
    </xdr:from>
    <xdr:to>
      <xdr:col>5</xdr:col>
      <xdr:colOff>354419</xdr:colOff>
      <xdr:row>158</xdr:row>
      <xdr:rowOff>181473</xdr:rowOff>
    </xdr:to>
    <xdr:cxnSp macro="">
      <xdr:nvCxnSpPr>
        <xdr:cNvPr id="22" name="Straight Arrow Connector 21"/>
        <xdr:cNvCxnSpPr/>
      </xdr:nvCxnSpPr>
      <xdr:spPr>
        <a:xfrm flipV="1">
          <a:off x="3850094" y="29924238"/>
          <a:ext cx="0" cy="13716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387646</xdr:colOff>
      <xdr:row>158</xdr:row>
      <xdr:rowOff>55379</xdr:rowOff>
    </xdr:from>
    <xdr:to>
      <xdr:col>17</xdr:col>
      <xdr:colOff>387646</xdr:colOff>
      <xdr:row>159</xdr:row>
      <xdr:rowOff>4254</xdr:rowOff>
    </xdr:to>
    <xdr:cxnSp macro="">
      <xdr:nvCxnSpPr>
        <xdr:cNvPr id="23" name="Straight Arrow Connector 22"/>
        <xdr:cNvCxnSpPr/>
      </xdr:nvCxnSpPr>
      <xdr:spPr>
        <a:xfrm>
          <a:off x="12474871" y="29935304"/>
          <a:ext cx="0" cy="13937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333375</xdr:colOff>
      <xdr:row>142</xdr:row>
      <xdr:rowOff>162368</xdr:rowOff>
    </xdr:from>
    <xdr:to>
      <xdr:col>40</xdr:col>
      <xdr:colOff>32120</xdr:colOff>
      <xdr:row>157</xdr:row>
      <xdr:rowOff>81294</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498401</xdr:colOff>
      <xdr:row>78</xdr:row>
      <xdr:rowOff>55378</xdr:rowOff>
    </xdr:from>
    <xdr:to>
      <xdr:col>16</xdr:col>
      <xdr:colOff>343344</xdr:colOff>
      <xdr:row>84</xdr:row>
      <xdr:rowOff>88604</xdr:rowOff>
    </xdr:to>
    <xdr:cxnSp macro="">
      <xdr:nvCxnSpPr>
        <xdr:cNvPr id="25" name="Straight Connector 24"/>
        <xdr:cNvCxnSpPr/>
      </xdr:nvCxnSpPr>
      <xdr:spPr>
        <a:xfrm flipV="1">
          <a:off x="9004448" y="14741599"/>
          <a:ext cx="2713518" cy="116293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276892</xdr:colOff>
      <xdr:row>29</xdr:row>
      <xdr:rowOff>121831</xdr:rowOff>
    </xdr:from>
    <xdr:to>
      <xdr:col>7</xdr:col>
      <xdr:colOff>631311</xdr:colOff>
      <xdr:row>29</xdr:row>
      <xdr:rowOff>121831</xdr:rowOff>
    </xdr:to>
    <xdr:cxnSp macro="">
      <xdr:nvCxnSpPr>
        <xdr:cNvPr id="27" name="Straight Arrow Connector 26"/>
        <xdr:cNvCxnSpPr/>
      </xdr:nvCxnSpPr>
      <xdr:spPr>
        <a:xfrm flipH="1">
          <a:off x="5191792" y="5455831"/>
          <a:ext cx="35441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531628</xdr:colOff>
      <xdr:row>77</xdr:row>
      <xdr:rowOff>33227</xdr:rowOff>
    </xdr:from>
    <xdr:to>
      <xdr:col>1</xdr:col>
      <xdr:colOff>641356</xdr:colOff>
      <xdr:row>82</xdr:row>
      <xdr:rowOff>97643</xdr:rowOff>
    </xdr:to>
    <xdr:sp macro="" textlink="">
      <xdr:nvSpPr>
        <xdr:cNvPr id="28" name="Left Brace 27"/>
        <xdr:cNvSpPr/>
      </xdr:nvSpPr>
      <xdr:spPr>
        <a:xfrm>
          <a:off x="1140785" y="14531163"/>
          <a:ext cx="109728" cy="100584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528968</xdr:colOff>
      <xdr:row>82</xdr:row>
      <xdr:rowOff>130249</xdr:rowOff>
    </xdr:from>
    <xdr:to>
      <xdr:col>1</xdr:col>
      <xdr:colOff>638696</xdr:colOff>
      <xdr:row>87</xdr:row>
      <xdr:rowOff>11784</xdr:rowOff>
    </xdr:to>
    <xdr:sp macro="" textlink="">
      <xdr:nvSpPr>
        <xdr:cNvPr id="29" name="Left Brace 28"/>
        <xdr:cNvSpPr/>
      </xdr:nvSpPr>
      <xdr:spPr>
        <a:xfrm>
          <a:off x="1138125" y="15569609"/>
          <a:ext cx="109728" cy="82296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221514</xdr:colOff>
      <xdr:row>69</xdr:row>
      <xdr:rowOff>132907</xdr:rowOff>
    </xdr:from>
    <xdr:to>
      <xdr:col>6</xdr:col>
      <xdr:colOff>598084</xdr:colOff>
      <xdr:row>69</xdr:row>
      <xdr:rowOff>132907</xdr:rowOff>
    </xdr:to>
    <xdr:cxnSp macro="">
      <xdr:nvCxnSpPr>
        <xdr:cNvPr id="31" name="Straight Arrow Connector 30"/>
        <xdr:cNvCxnSpPr/>
      </xdr:nvCxnSpPr>
      <xdr:spPr>
        <a:xfrm flipH="1">
          <a:off x="4441311" y="13124564"/>
          <a:ext cx="37657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pageSetUpPr fitToPage="1"/>
  </sheetPr>
  <dimension ref="A1:L170"/>
  <sheetViews>
    <sheetView showGridLines="0" zoomScale="90" zoomScaleNormal="90" workbookViewId="0">
      <selection activeCell="G19" sqref="G19"/>
    </sheetView>
  </sheetViews>
  <sheetFormatPr defaultRowHeight="12.75" x14ac:dyDescent="0.2"/>
  <cols>
    <col min="3" max="3" width="9.140625" customWidth="1"/>
    <col min="7" max="7" width="5.7109375" customWidth="1"/>
    <col min="9" max="9" width="9.140625" customWidth="1"/>
    <col min="11" max="12" width="9.140625" customWidth="1"/>
    <col min="13" max="13" width="5.7109375" customWidth="1"/>
    <col min="15" max="15" width="9.140625" customWidth="1"/>
    <col min="20" max="20" width="5.7109375" customWidth="1"/>
  </cols>
  <sheetData>
    <row r="1" spans="1:12" ht="15" customHeight="1" x14ac:dyDescent="0.25">
      <c r="A1" s="112" t="s">
        <v>72</v>
      </c>
      <c r="K1" t="s">
        <v>74</v>
      </c>
    </row>
    <row r="2" spans="1:12" ht="15" customHeight="1" x14ac:dyDescent="0.25">
      <c r="A2" t="s">
        <v>13</v>
      </c>
      <c r="B2" s="13" t="s">
        <v>12</v>
      </c>
    </row>
    <row r="3" spans="1:12" ht="15" customHeight="1" x14ac:dyDescent="0.25">
      <c r="B3" s="13" t="s">
        <v>7</v>
      </c>
    </row>
    <row r="4" spans="1:12" ht="15" customHeight="1" x14ac:dyDescent="0.25"/>
    <row r="5" spans="1:12" ht="15" customHeight="1" x14ac:dyDescent="0.25">
      <c r="I5" t="s">
        <v>8</v>
      </c>
    </row>
    <row r="6" spans="1:12" ht="15" customHeight="1" x14ac:dyDescent="0.25">
      <c r="B6" s="4">
        <v>0.9</v>
      </c>
      <c r="C6" s="2" t="s">
        <v>6</v>
      </c>
      <c r="E6" s="8"/>
      <c r="F6" s="1"/>
      <c r="I6" s="4">
        <v>0.9</v>
      </c>
      <c r="J6" s="2" t="s">
        <v>6</v>
      </c>
    </row>
    <row r="7" spans="1:12" ht="15" customHeight="1" x14ac:dyDescent="0.25">
      <c r="B7" s="4">
        <v>0.96</v>
      </c>
      <c r="C7" s="1" t="s">
        <v>0</v>
      </c>
      <c r="F7" s="1"/>
      <c r="I7" s="4">
        <v>0.96</v>
      </c>
      <c r="J7" s="1" t="s">
        <v>0</v>
      </c>
    </row>
    <row r="8" spans="1:12" ht="15" customHeight="1" x14ac:dyDescent="0.25">
      <c r="B8" s="4">
        <v>85</v>
      </c>
      <c r="C8" s="2" t="s">
        <v>1</v>
      </c>
      <c r="F8" s="1"/>
      <c r="I8" s="4">
        <v>85</v>
      </c>
      <c r="J8" s="2" t="s">
        <v>1</v>
      </c>
    </row>
    <row r="9" spans="1:12" ht="15" customHeight="1" x14ac:dyDescent="0.25">
      <c r="B9" s="4"/>
      <c r="C9" s="2"/>
      <c r="F9" s="1"/>
      <c r="I9" s="16">
        <v>0.7</v>
      </c>
      <c r="J9" s="2" t="s">
        <v>9</v>
      </c>
    </row>
    <row r="10" spans="1:12" ht="15" customHeight="1" x14ac:dyDescent="0.25">
      <c r="C10" s="1"/>
      <c r="D10" s="1"/>
      <c r="E10" s="1"/>
      <c r="F10" s="1" t="s">
        <v>10</v>
      </c>
      <c r="J10" s="1"/>
      <c r="K10" s="1"/>
      <c r="L10" t="s">
        <v>11</v>
      </c>
    </row>
    <row r="11" spans="1:12" ht="15" customHeight="1" x14ac:dyDescent="0.25">
      <c r="B11" s="5" t="s">
        <v>2</v>
      </c>
      <c r="C11" s="5" t="s">
        <v>3</v>
      </c>
      <c r="D11" s="6" t="s">
        <v>5</v>
      </c>
      <c r="E11" s="5" t="s">
        <v>4</v>
      </c>
      <c r="F11" s="1"/>
      <c r="I11" s="5" t="s">
        <v>2</v>
      </c>
      <c r="J11" s="6" t="s">
        <v>5</v>
      </c>
      <c r="K11" s="5" t="s">
        <v>3</v>
      </c>
    </row>
    <row r="12" spans="1:12" ht="15" customHeight="1" x14ac:dyDescent="0.25">
      <c r="B12" s="3">
        <v>1</v>
      </c>
      <c r="C12" s="9">
        <v>-4.4000000000000004</v>
      </c>
      <c r="D12" s="14">
        <f>C12/B12</f>
        <v>-4.4000000000000004</v>
      </c>
      <c r="E12" s="11">
        <f>SQRT(12*32.2*D12^2/(4*$B$8*($B$7*56)*$B$6^2))</f>
        <v>0.71081999760175529</v>
      </c>
      <c r="I12" s="3">
        <v>1</v>
      </c>
      <c r="J12" s="14">
        <f t="shared" ref="J12:J21" si="0">K12/I12</f>
        <v>-25.45</v>
      </c>
      <c r="K12" s="9">
        <v>-25.45</v>
      </c>
    </row>
    <row r="13" spans="1:12" ht="15" customHeight="1" x14ac:dyDescent="0.25">
      <c r="B13" s="7">
        <v>2</v>
      </c>
      <c r="C13" s="10">
        <f>-50.9</f>
        <v>-50.9</v>
      </c>
      <c r="D13" s="15">
        <f t="shared" ref="D13:D20" si="1">C13/B13</f>
        <v>-25.45</v>
      </c>
      <c r="E13" s="12">
        <f>SQRT(12*32.2*D13^2/(4*$B$8*($B$7*56)*$B$6^2))</f>
        <v>4.1114474861283341</v>
      </c>
      <c r="I13" s="7">
        <v>2</v>
      </c>
      <c r="J13" s="15">
        <f t="shared" si="0"/>
        <v>-25.45</v>
      </c>
      <c r="K13" s="10">
        <f>-50.9</f>
        <v>-50.9</v>
      </c>
    </row>
    <row r="14" spans="1:12" ht="15" customHeight="1" x14ac:dyDescent="0.25">
      <c r="B14" s="3">
        <v>3</v>
      </c>
      <c r="C14" s="9">
        <v>-76.36</v>
      </c>
      <c r="D14" s="14">
        <f t="shared" si="1"/>
        <v>-25.453333333333333</v>
      </c>
      <c r="E14" s="11">
        <f t="shared" ref="E14:E21" si="2">SQRT(12*32.2*D14^2/(4*$B$8*($B$7*56)*$B$6^2))</f>
        <v>4.1119859861265171</v>
      </c>
      <c r="I14" s="3">
        <v>3</v>
      </c>
      <c r="J14" s="14">
        <f t="shared" si="0"/>
        <v>-25.453333333333333</v>
      </c>
      <c r="K14" s="9">
        <v>-76.36</v>
      </c>
    </row>
    <row r="15" spans="1:12" ht="15" customHeight="1" x14ac:dyDescent="0.25">
      <c r="B15" s="3">
        <v>4</v>
      </c>
      <c r="C15" s="9">
        <v>-101.81</v>
      </c>
      <c r="D15" s="14">
        <f t="shared" si="1"/>
        <v>-25.452500000000001</v>
      </c>
      <c r="E15" s="11">
        <f t="shared" si="2"/>
        <v>4.1118513611269716</v>
      </c>
      <c r="I15" s="3">
        <v>4</v>
      </c>
      <c r="J15" s="14">
        <f t="shared" si="0"/>
        <v>-25.452500000000001</v>
      </c>
      <c r="K15" s="9">
        <v>-101.81</v>
      </c>
    </row>
    <row r="16" spans="1:12" ht="15" customHeight="1" x14ac:dyDescent="0.25">
      <c r="B16" s="7">
        <v>5</v>
      </c>
      <c r="C16" s="10">
        <v>-127.27</v>
      </c>
      <c r="D16" s="15">
        <f t="shared" si="1"/>
        <v>-25.454000000000001</v>
      </c>
      <c r="E16" s="12">
        <f t="shared" si="2"/>
        <v>4.1120936861261539</v>
      </c>
      <c r="I16" s="7">
        <v>5</v>
      </c>
      <c r="J16" s="15">
        <f t="shared" si="0"/>
        <v>-25.454000000000001</v>
      </c>
      <c r="K16" s="10">
        <v>-127.27</v>
      </c>
    </row>
    <row r="17" spans="2:12" ht="15" customHeight="1" x14ac:dyDescent="0.25">
      <c r="B17" s="3">
        <v>10</v>
      </c>
      <c r="C17" s="9">
        <v>-254.53</v>
      </c>
      <c r="D17" s="14">
        <f t="shared" si="1"/>
        <v>-25.452999999999999</v>
      </c>
      <c r="E17" s="11">
        <f t="shared" si="2"/>
        <v>4.1119321361266987</v>
      </c>
      <c r="I17" s="3">
        <v>10</v>
      </c>
      <c r="J17" s="14">
        <f t="shared" si="0"/>
        <v>-25.452999999999999</v>
      </c>
      <c r="K17" s="9">
        <v>-254.53</v>
      </c>
    </row>
    <row r="18" spans="2:12" ht="15" customHeight="1" x14ac:dyDescent="0.25">
      <c r="B18" s="3">
        <v>20</v>
      </c>
      <c r="C18" s="9">
        <v>-509.05</v>
      </c>
      <c r="D18" s="14">
        <f t="shared" si="1"/>
        <v>-25.452500000000001</v>
      </c>
      <c r="E18" s="11">
        <f t="shared" si="2"/>
        <v>4.1118513611269716</v>
      </c>
      <c r="I18" s="3">
        <v>20</v>
      </c>
      <c r="J18" s="14">
        <f t="shared" si="0"/>
        <v>-25.452500000000001</v>
      </c>
      <c r="K18" s="9">
        <v>-509.05</v>
      </c>
    </row>
    <row r="19" spans="2:12" ht="15" customHeight="1" x14ac:dyDescent="0.25">
      <c r="B19" s="3">
        <v>30</v>
      </c>
      <c r="C19" s="9">
        <v>-763.6</v>
      </c>
      <c r="D19" s="14">
        <f t="shared" si="1"/>
        <v>-25.453333333333333</v>
      </c>
      <c r="E19" s="11">
        <f t="shared" si="2"/>
        <v>4.1119859861265171</v>
      </c>
      <c r="I19" s="3">
        <v>30</v>
      </c>
      <c r="J19" s="14">
        <f t="shared" si="0"/>
        <v>-25.453333333333333</v>
      </c>
      <c r="K19" s="9">
        <v>-763.6</v>
      </c>
    </row>
    <row r="20" spans="2:12" ht="15" customHeight="1" x14ac:dyDescent="0.25">
      <c r="B20" s="7">
        <v>40</v>
      </c>
      <c r="C20" s="10">
        <v>-1018.1</v>
      </c>
      <c r="D20" s="15">
        <f t="shared" si="1"/>
        <v>-25.452500000000001</v>
      </c>
      <c r="E20" s="12">
        <f t="shared" si="2"/>
        <v>4.1118513611269716</v>
      </c>
      <c r="I20" s="7">
        <v>40</v>
      </c>
      <c r="J20" s="15">
        <f t="shared" si="0"/>
        <v>-25.452500000000001</v>
      </c>
      <c r="K20" s="10">
        <v>-1018.1</v>
      </c>
    </row>
    <row r="21" spans="2:12" ht="15" customHeight="1" x14ac:dyDescent="0.25">
      <c r="B21" s="3">
        <v>50</v>
      </c>
      <c r="C21" s="9">
        <v>-216</v>
      </c>
      <c r="D21" s="14">
        <f>C21/B21</f>
        <v>-4.32</v>
      </c>
      <c r="E21" s="11">
        <f t="shared" si="2"/>
        <v>0.6978959976453597</v>
      </c>
      <c r="I21" s="3">
        <v>50</v>
      </c>
      <c r="J21" s="14">
        <f t="shared" si="0"/>
        <v>-25.452199999999998</v>
      </c>
      <c r="K21" s="9">
        <v>-1272.6099999999999</v>
      </c>
    </row>
    <row r="22" spans="2:12" ht="15" customHeight="1" x14ac:dyDescent="0.25"/>
    <row r="23" spans="2:12" ht="15" customHeight="1" x14ac:dyDescent="0.2">
      <c r="B23" s="50" t="s">
        <v>34</v>
      </c>
    </row>
    <row r="24" spans="2:12" ht="15" customHeight="1" x14ac:dyDescent="0.2"/>
    <row r="25" spans="2:12" ht="15" customHeight="1" x14ac:dyDescent="0.2">
      <c r="B25" s="17" t="s">
        <v>14</v>
      </c>
      <c r="C25" s="18"/>
      <c r="D25" s="18"/>
      <c r="E25" s="18"/>
      <c r="F25" s="18"/>
      <c r="G25" s="18"/>
      <c r="H25" s="18"/>
      <c r="I25" s="18"/>
      <c r="J25" s="18"/>
      <c r="K25" s="18"/>
      <c r="L25" s="19"/>
    </row>
    <row r="26" spans="2:12" ht="15" customHeight="1" x14ac:dyDescent="0.2"/>
    <row r="27" spans="2:12" ht="15" customHeight="1" x14ac:dyDescent="0.2">
      <c r="B27" s="20" t="s">
        <v>15</v>
      </c>
      <c r="C27" s="21"/>
      <c r="D27" s="22"/>
      <c r="F27" s="29" t="s">
        <v>21</v>
      </c>
      <c r="G27" s="30"/>
      <c r="I27" s="32" t="s">
        <v>23</v>
      </c>
      <c r="J27" s="33"/>
      <c r="K27" s="33"/>
      <c r="L27" s="34"/>
    </row>
    <row r="28" spans="2:12" ht="15" customHeight="1" x14ac:dyDescent="0.2">
      <c r="B28" s="23" t="s">
        <v>16</v>
      </c>
      <c r="C28" s="24" t="s">
        <v>19</v>
      </c>
      <c r="D28" s="25">
        <v>0.9</v>
      </c>
      <c r="F28" s="26" t="s">
        <v>22</v>
      </c>
      <c r="G28" s="28">
        <v>0.7</v>
      </c>
      <c r="I28" s="35" t="s">
        <v>24</v>
      </c>
      <c r="J28" s="36" t="s">
        <v>26</v>
      </c>
      <c r="K28" s="21"/>
      <c r="L28" s="22"/>
    </row>
    <row r="29" spans="2:12" ht="15" customHeight="1" x14ac:dyDescent="0.2">
      <c r="B29" s="23" t="s">
        <v>17</v>
      </c>
      <c r="C29" s="24" t="s">
        <v>20</v>
      </c>
      <c r="D29" s="25">
        <v>0.96</v>
      </c>
      <c r="I29" s="37" t="s">
        <v>25</v>
      </c>
      <c r="J29" s="38" t="s">
        <v>27</v>
      </c>
      <c r="K29" s="1"/>
      <c r="L29" s="39"/>
    </row>
    <row r="30" spans="2:12" ht="15" customHeight="1" x14ac:dyDescent="0.2">
      <c r="B30" s="26" t="s">
        <v>18</v>
      </c>
      <c r="C30" s="27" t="s">
        <v>28</v>
      </c>
      <c r="D30" s="28">
        <v>85</v>
      </c>
      <c r="I30" s="40">
        <f>D29*2.20462*25.4*12</f>
        <v>645.0894489599998</v>
      </c>
      <c r="J30" s="41">
        <f>(G28*D28*SQRT(4*D30*I30/32.2)/12)/2</f>
        <v>2.1664606226104683</v>
      </c>
      <c r="K30" s="42" t="s">
        <v>71</v>
      </c>
      <c r="L30" s="31"/>
    </row>
    <row r="31" spans="2:12" ht="15" customHeight="1" x14ac:dyDescent="0.2"/>
    <row r="32" spans="2:12" ht="15" customHeight="1" x14ac:dyDescent="0.2">
      <c r="I32" s="32" t="s">
        <v>29</v>
      </c>
      <c r="J32" s="33"/>
      <c r="K32" s="34"/>
    </row>
    <row r="33" spans="9:12" ht="15" customHeight="1" x14ac:dyDescent="0.2">
      <c r="I33" s="35" t="s">
        <v>30</v>
      </c>
      <c r="J33" s="36" t="s">
        <v>32</v>
      </c>
      <c r="K33" s="43"/>
    </row>
    <row r="34" spans="9:12" ht="15" customHeight="1" x14ac:dyDescent="0.2">
      <c r="I34" s="37" t="s">
        <v>31</v>
      </c>
      <c r="J34" s="38" t="s">
        <v>33</v>
      </c>
      <c r="K34" s="25"/>
    </row>
    <row r="35" spans="9:12" ht="15" customHeight="1" x14ac:dyDescent="0.2">
      <c r="I35" s="44">
        <v>1</v>
      </c>
      <c r="J35" s="14">
        <f>I35*J$30</f>
        <v>2.1664606226104683</v>
      </c>
      <c r="K35" s="25"/>
      <c r="L35" s="111">
        <v>2.1664606226104683</v>
      </c>
    </row>
    <row r="36" spans="9:12" ht="15" customHeight="1" x14ac:dyDescent="0.2">
      <c r="I36" s="48">
        <v>2</v>
      </c>
      <c r="J36" s="110">
        <f t="shared" ref="J36:J46" si="3">I36*J$30</f>
        <v>4.3329212452209367</v>
      </c>
      <c r="K36" s="25"/>
      <c r="L36" s="111">
        <v>4.3329212452209367</v>
      </c>
    </row>
    <row r="37" spans="9:12" ht="15" customHeight="1" x14ac:dyDescent="0.2">
      <c r="I37" s="44">
        <v>3</v>
      </c>
      <c r="J37" s="14">
        <f t="shared" si="3"/>
        <v>6.4993818678314046</v>
      </c>
      <c r="K37" s="25"/>
      <c r="L37" s="111">
        <v>6.4993818678314046</v>
      </c>
    </row>
    <row r="38" spans="9:12" ht="15" customHeight="1" x14ac:dyDescent="0.2">
      <c r="I38" s="44">
        <v>4</v>
      </c>
      <c r="J38" s="14">
        <f t="shared" si="3"/>
        <v>8.6658424904418734</v>
      </c>
      <c r="K38" s="25"/>
      <c r="L38" s="111">
        <v>8.6658424904418734</v>
      </c>
    </row>
    <row r="39" spans="9:12" ht="15" customHeight="1" x14ac:dyDescent="0.2">
      <c r="I39" s="48">
        <v>5</v>
      </c>
      <c r="J39" s="110">
        <f t="shared" si="3"/>
        <v>10.832303113052342</v>
      </c>
      <c r="K39" s="25"/>
      <c r="L39" s="111">
        <v>10.832303113052342</v>
      </c>
    </row>
    <row r="40" spans="9:12" ht="15" customHeight="1" x14ac:dyDescent="0.2">
      <c r="I40" s="44">
        <v>10</v>
      </c>
      <c r="J40" s="14">
        <f t="shared" si="3"/>
        <v>21.664606226104684</v>
      </c>
      <c r="K40" s="25"/>
      <c r="L40" s="111">
        <v>21.664606226104684</v>
      </c>
    </row>
    <row r="41" spans="9:12" ht="15" customHeight="1" x14ac:dyDescent="0.2">
      <c r="I41" s="44">
        <v>20</v>
      </c>
      <c r="J41" s="14">
        <f t="shared" si="3"/>
        <v>43.329212452209369</v>
      </c>
      <c r="K41" s="25"/>
      <c r="L41" s="111">
        <v>43.329212452209369</v>
      </c>
    </row>
    <row r="42" spans="9:12" ht="15" customHeight="1" x14ac:dyDescent="0.2">
      <c r="I42" s="44">
        <v>30</v>
      </c>
      <c r="J42" s="14">
        <f t="shared" si="3"/>
        <v>64.993818678314057</v>
      </c>
      <c r="K42" s="25"/>
      <c r="L42" s="111">
        <v>64.993818678314057</v>
      </c>
    </row>
    <row r="43" spans="9:12" ht="15" customHeight="1" x14ac:dyDescent="0.2">
      <c r="I43" s="48">
        <v>40</v>
      </c>
      <c r="J43" s="110">
        <f t="shared" si="3"/>
        <v>86.658424904418737</v>
      </c>
      <c r="K43" s="25"/>
      <c r="L43" s="111">
        <v>86.658424904418737</v>
      </c>
    </row>
    <row r="44" spans="9:12" ht="15" customHeight="1" x14ac:dyDescent="0.2">
      <c r="I44" s="44">
        <v>50</v>
      </c>
      <c r="J44" s="14">
        <f t="shared" si="3"/>
        <v>108.32303113052342</v>
      </c>
      <c r="K44" s="25"/>
      <c r="L44" s="111">
        <v>108.32303113052342</v>
      </c>
    </row>
    <row r="45" spans="9:12" ht="15" customHeight="1" x14ac:dyDescent="0.2">
      <c r="I45" s="44">
        <v>60</v>
      </c>
      <c r="J45" s="14">
        <f t="shared" si="3"/>
        <v>129.98763735662811</v>
      </c>
      <c r="K45" s="25"/>
      <c r="L45" s="111">
        <v>129.98763735662811</v>
      </c>
    </row>
    <row r="46" spans="9:12" ht="15" customHeight="1" x14ac:dyDescent="0.2">
      <c r="I46" s="44">
        <v>70</v>
      </c>
      <c r="J46" s="14">
        <f t="shared" si="3"/>
        <v>151.65224358273278</v>
      </c>
      <c r="K46" s="25"/>
      <c r="L46" s="111">
        <v>151.65224358273278</v>
      </c>
    </row>
    <row r="47" spans="9:12" ht="15" customHeight="1" x14ac:dyDescent="0.2">
      <c r="I47" s="45"/>
      <c r="J47" s="41"/>
      <c r="K47" s="28"/>
    </row>
    <row r="48" spans="9: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sheetData>
  <pageMargins left="0.45" right="0.45" top="0.5" bottom="0.5" header="0.3" footer="0.3"/>
  <pageSetup scale="55"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2">
    <tabColor theme="6" tint="0.59999389629810485"/>
    <pageSetUpPr fitToPage="1"/>
  </sheetPr>
  <dimension ref="A1:AD340"/>
  <sheetViews>
    <sheetView showGridLines="0" topLeftCell="A63" zoomScale="86" zoomScaleNormal="86" workbookViewId="0">
      <selection activeCell="A63" sqref="A63"/>
    </sheetView>
  </sheetViews>
  <sheetFormatPr defaultRowHeight="12.75" x14ac:dyDescent="0.2"/>
  <cols>
    <col min="2" max="2" width="11.42578125" customWidth="1"/>
    <col min="3" max="4" width="10.5703125" customWidth="1"/>
    <col min="5" max="5" width="10.7109375" customWidth="1"/>
    <col min="6" max="6" width="10.5703125" customWidth="1"/>
    <col min="7" max="7" width="10.7109375" customWidth="1"/>
    <col min="8" max="10" width="10.5703125" customWidth="1"/>
    <col min="11" max="12" width="10.7109375" customWidth="1"/>
    <col min="13" max="13" width="10.5703125" customWidth="1"/>
    <col min="14" max="16" width="10.7109375" customWidth="1"/>
    <col min="17" max="17" width="11.7109375" customWidth="1"/>
    <col min="18" max="18" width="11.5703125" customWidth="1"/>
    <col min="20" max="20" width="9.140625" customWidth="1"/>
    <col min="29" max="29" width="9.140625" customWidth="1"/>
  </cols>
  <sheetData>
    <row r="1" spans="1:29" ht="15" customHeight="1" x14ac:dyDescent="0.2">
      <c r="K1" t="s">
        <v>73</v>
      </c>
    </row>
    <row r="2" spans="1:29" ht="15" customHeight="1" x14ac:dyDescent="0.2">
      <c r="A2" s="411" t="s">
        <v>266</v>
      </c>
      <c r="B2" s="410" t="s">
        <v>267</v>
      </c>
      <c r="C2" s="411"/>
      <c r="D2" s="411"/>
      <c r="E2" s="411"/>
      <c r="F2" s="411"/>
    </row>
    <row r="3" spans="1:29" ht="15" customHeight="1" x14ac:dyDescent="0.2">
      <c r="A3" s="411"/>
      <c r="B3" s="427" t="s">
        <v>376</v>
      </c>
      <c r="C3" s="411"/>
      <c r="D3" s="411"/>
      <c r="E3" s="411"/>
      <c r="F3" s="411"/>
    </row>
    <row r="4" spans="1:29" ht="15" customHeight="1" x14ac:dyDescent="0.2">
      <c r="A4" s="411"/>
      <c r="B4" s="427" t="s">
        <v>377</v>
      </c>
      <c r="C4" s="411"/>
      <c r="D4" s="411"/>
      <c r="E4" s="411"/>
      <c r="F4" s="411"/>
      <c r="G4" s="411"/>
    </row>
    <row r="5" spans="1:29" ht="15" customHeight="1" x14ac:dyDescent="0.2">
      <c r="A5" s="411"/>
      <c r="B5" s="412" t="s">
        <v>268</v>
      </c>
      <c r="C5" s="411"/>
      <c r="D5" s="411"/>
      <c r="E5" s="411"/>
      <c r="F5" s="411"/>
      <c r="G5" s="411"/>
    </row>
    <row r="6" spans="1:29" ht="15" customHeight="1" x14ac:dyDescent="0.2">
      <c r="A6" s="411"/>
      <c r="B6" s="412" t="s">
        <v>278</v>
      </c>
      <c r="C6" s="411"/>
      <c r="D6" s="411"/>
      <c r="E6" s="411"/>
      <c r="F6" s="411"/>
    </row>
    <row r="7" spans="1:29" ht="15" customHeight="1" x14ac:dyDescent="0.2">
      <c r="A7" s="411"/>
      <c r="B7" s="411"/>
      <c r="C7" s="411"/>
      <c r="D7" s="411"/>
      <c r="E7" s="411"/>
      <c r="F7" s="411"/>
      <c r="P7" s="289" t="s">
        <v>183</v>
      </c>
      <c r="Q7" s="289" t="s">
        <v>184</v>
      </c>
    </row>
    <row r="8" spans="1:29" ht="15" customHeight="1" x14ac:dyDescent="0.2">
      <c r="B8" s="17" t="s">
        <v>14</v>
      </c>
      <c r="C8" s="18"/>
      <c r="D8" s="18"/>
      <c r="E8" s="18"/>
      <c r="F8" s="18"/>
      <c r="G8" s="18"/>
      <c r="H8" s="18"/>
      <c r="I8" s="18"/>
      <c r="J8" s="18"/>
      <c r="K8" s="18"/>
      <c r="L8" s="19"/>
      <c r="O8" s="291" t="s">
        <v>185</v>
      </c>
      <c r="P8">
        <v>77</v>
      </c>
      <c r="Q8">
        <v>73</v>
      </c>
      <c r="Y8" s="428"/>
      <c r="Z8" s="428"/>
      <c r="AA8" s="428"/>
      <c r="AB8" s="428"/>
      <c r="AC8" s="428"/>
    </row>
    <row r="9" spans="1:29" ht="15" customHeight="1" x14ac:dyDescent="0.2">
      <c r="A9" t="s">
        <v>263</v>
      </c>
      <c r="B9" s="287" t="s">
        <v>391</v>
      </c>
      <c r="C9" s="237"/>
      <c r="D9" s="237"/>
      <c r="E9" s="237"/>
      <c r="F9" s="237"/>
      <c r="G9" s="237"/>
      <c r="H9" s="237"/>
      <c r="I9" s="237"/>
      <c r="J9" s="237"/>
      <c r="K9" s="237"/>
      <c r="L9" s="237"/>
      <c r="O9" s="291" t="s">
        <v>187</v>
      </c>
      <c r="P9" s="292">
        <v>73</v>
      </c>
      <c r="Q9" s="292">
        <v>69</v>
      </c>
      <c r="Y9" s="428"/>
      <c r="Z9" s="428"/>
      <c r="AA9" s="428"/>
      <c r="AB9" s="428"/>
      <c r="AC9" s="428"/>
    </row>
    <row r="10" spans="1:29" ht="15" customHeight="1" x14ac:dyDescent="0.2">
      <c r="A10" t="s">
        <v>263</v>
      </c>
      <c r="B10" s="399" t="s">
        <v>256</v>
      </c>
      <c r="C10" s="237"/>
      <c r="D10" s="237"/>
      <c r="E10" s="237" t="s">
        <v>395</v>
      </c>
      <c r="F10" s="237"/>
      <c r="G10" s="237"/>
      <c r="H10" s="237"/>
      <c r="I10" s="237"/>
      <c r="J10" s="237"/>
      <c r="K10" s="237"/>
      <c r="L10" s="237"/>
      <c r="O10" s="290" t="s">
        <v>186</v>
      </c>
      <c r="P10">
        <f>P8-P9</f>
        <v>4</v>
      </c>
      <c r="Q10">
        <f>Q8-Q9</f>
        <v>4</v>
      </c>
      <c r="Y10" s="428"/>
      <c r="Z10" s="428"/>
      <c r="AA10" s="428"/>
      <c r="AB10" s="428"/>
      <c r="AC10" s="428"/>
    </row>
    <row r="11" spans="1:29" ht="15" customHeight="1" x14ac:dyDescent="0.2">
      <c r="A11" t="s">
        <v>263</v>
      </c>
      <c r="B11" s="399" t="s">
        <v>257</v>
      </c>
      <c r="C11" s="237"/>
      <c r="D11" s="237"/>
      <c r="E11" s="237"/>
      <c r="F11" s="237"/>
      <c r="G11" s="237"/>
      <c r="H11" s="237"/>
      <c r="I11" s="237"/>
      <c r="J11" s="237"/>
      <c r="K11" s="237"/>
      <c r="L11" s="237"/>
      <c r="Y11" s="428"/>
      <c r="Z11" s="428"/>
      <c r="AA11" s="428"/>
      <c r="AB11" s="428"/>
      <c r="AC11" s="428"/>
    </row>
    <row r="12" spans="1:29" ht="15" customHeight="1" x14ac:dyDescent="0.2">
      <c r="A12" t="s">
        <v>263</v>
      </c>
      <c r="B12" s="399" t="s">
        <v>281</v>
      </c>
      <c r="C12" s="237"/>
      <c r="D12" s="237"/>
      <c r="E12" s="237"/>
      <c r="F12" s="237"/>
      <c r="G12" s="237"/>
      <c r="H12" s="237"/>
      <c r="I12" s="237"/>
      <c r="J12" s="237"/>
      <c r="K12" s="237"/>
      <c r="L12" s="237"/>
      <c r="M12" s="84"/>
      <c r="Y12" s="428"/>
      <c r="Z12" s="428"/>
      <c r="AA12" s="428"/>
      <c r="AB12" s="428"/>
      <c r="AC12" s="428"/>
    </row>
    <row r="13" spans="1:29" ht="15" customHeight="1" x14ac:dyDescent="0.2">
      <c r="A13" t="s">
        <v>263</v>
      </c>
      <c r="B13" s="287" t="s">
        <v>262</v>
      </c>
      <c r="C13" s="287" t="s">
        <v>359</v>
      </c>
      <c r="D13" s="426" t="s">
        <v>392</v>
      </c>
      <c r="E13" s="237" t="s">
        <v>358</v>
      </c>
      <c r="F13" s="237"/>
      <c r="G13" s="237"/>
      <c r="H13" s="237"/>
      <c r="I13" s="237"/>
      <c r="J13" s="237"/>
      <c r="K13" s="237"/>
      <c r="L13" s="237"/>
      <c r="M13" s="84"/>
      <c r="U13" s="169" t="s">
        <v>395</v>
      </c>
      <c r="Y13" s="428"/>
      <c r="Z13" s="428"/>
      <c r="AA13" s="428"/>
      <c r="AB13" s="428"/>
      <c r="AC13" s="428"/>
    </row>
    <row r="14" spans="1:29" ht="15" customHeight="1" x14ac:dyDescent="0.2">
      <c r="A14" s="84"/>
      <c r="B14" s="288" t="s">
        <v>365</v>
      </c>
      <c r="C14" s="83"/>
      <c r="D14" s="83"/>
      <c r="E14" s="83"/>
      <c r="F14" s="83"/>
      <c r="G14" s="83"/>
      <c r="H14" s="83"/>
      <c r="I14" s="83"/>
      <c r="J14" s="83"/>
      <c r="K14" s="83"/>
      <c r="L14" s="83"/>
      <c r="M14" s="84"/>
      <c r="Y14" s="428"/>
      <c r="Z14" s="428"/>
      <c r="AA14" s="428"/>
      <c r="AB14" s="428"/>
      <c r="AC14" s="428"/>
    </row>
    <row r="15" spans="1:29" ht="15" customHeight="1" x14ac:dyDescent="0.2">
      <c r="A15" s="84"/>
      <c r="B15" s="288"/>
      <c r="C15" s="83"/>
      <c r="D15" s="83"/>
      <c r="E15" s="83"/>
      <c r="F15" s="83"/>
      <c r="G15" s="83"/>
      <c r="H15" s="83"/>
      <c r="I15" s="83"/>
      <c r="J15" s="83"/>
      <c r="K15" s="83"/>
      <c r="L15" s="83"/>
      <c r="M15" s="84"/>
      <c r="U15" s="410" t="s">
        <v>394</v>
      </c>
      <c r="V15" s="411" t="s">
        <v>286</v>
      </c>
      <c r="W15" s="411"/>
      <c r="X15" s="428"/>
      <c r="Y15" s="428"/>
      <c r="Z15" s="428"/>
      <c r="AA15" s="428"/>
      <c r="AB15" s="428"/>
      <c r="AC15" s="428"/>
    </row>
    <row r="16" spans="1:29" ht="15" customHeight="1" x14ac:dyDescent="0.2">
      <c r="A16" s="84"/>
      <c r="B16" s="288"/>
      <c r="C16" s="83"/>
      <c r="D16" s="83"/>
      <c r="E16" s="83"/>
      <c r="F16" s="83"/>
      <c r="G16" s="83"/>
      <c r="H16" s="83"/>
      <c r="I16" s="83"/>
      <c r="J16" s="83"/>
      <c r="K16" s="83"/>
      <c r="L16" s="83"/>
      <c r="M16" s="84"/>
      <c r="U16" s="184" t="s">
        <v>121</v>
      </c>
      <c r="V16" s="411" t="s">
        <v>287</v>
      </c>
      <c r="W16" s="411"/>
      <c r="X16" s="428"/>
      <c r="Y16" s="428"/>
      <c r="Z16" s="428"/>
      <c r="AA16" s="428"/>
      <c r="AB16" s="428"/>
      <c r="AC16" s="428"/>
    </row>
    <row r="17" spans="1:29" ht="15" customHeight="1" x14ac:dyDescent="0.2">
      <c r="A17" s="84"/>
      <c r="B17" s="408"/>
      <c r="M17" s="84"/>
      <c r="U17" s="184" t="s">
        <v>122</v>
      </c>
      <c r="V17" s="422" t="s">
        <v>305</v>
      </c>
      <c r="W17" s="411"/>
      <c r="X17" s="428"/>
      <c r="Y17" s="428"/>
      <c r="Z17" s="428"/>
      <c r="AA17" s="428"/>
      <c r="AB17" s="428"/>
      <c r="AC17" s="428"/>
    </row>
    <row r="18" spans="1:29" ht="15" customHeight="1" x14ac:dyDescent="0.2">
      <c r="A18" s="84"/>
      <c r="B18" s="437" t="s">
        <v>393</v>
      </c>
      <c r="C18" s="83"/>
      <c r="D18" s="83"/>
      <c r="E18" s="83"/>
      <c r="F18" s="83"/>
      <c r="G18" s="83"/>
      <c r="H18" s="83"/>
      <c r="I18" s="83"/>
      <c r="J18" s="83"/>
      <c r="K18" s="83"/>
      <c r="L18" s="83"/>
      <c r="M18" s="84"/>
      <c r="U18" s="184" t="s">
        <v>125</v>
      </c>
      <c r="V18" s="422" t="s">
        <v>299</v>
      </c>
      <c r="W18" s="411"/>
      <c r="X18" s="428"/>
      <c r="Y18" s="428"/>
      <c r="Z18" s="428"/>
      <c r="AA18" s="428"/>
      <c r="AB18" s="428"/>
      <c r="AC18" s="428"/>
    </row>
    <row r="19" spans="1:29" ht="15" customHeight="1" x14ac:dyDescent="0.2">
      <c r="A19" s="84"/>
      <c r="B19" s="415" t="s">
        <v>279</v>
      </c>
      <c r="C19" s="416"/>
      <c r="D19" s="21"/>
      <c r="E19" s="511">
        <v>9</v>
      </c>
      <c r="F19" s="420"/>
      <c r="G19" s="83"/>
      <c r="H19" s="83"/>
      <c r="I19" s="83"/>
      <c r="J19" s="83"/>
      <c r="K19" s="83"/>
      <c r="L19" s="83"/>
      <c r="M19" s="84"/>
      <c r="U19" s="184" t="s">
        <v>152</v>
      </c>
      <c r="V19" s="422" t="s">
        <v>296</v>
      </c>
      <c r="W19" s="411"/>
      <c r="X19" s="428"/>
      <c r="Y19" s="428"/>
      <c r="Z19" s="428"/>
      <c r="AA19" s="428"/>
      <c r="AB19" s="428"/>
      <c r="AC19" s="428"/>
    </row>
    <row r="20" spans="1:29" ht="15" customHeight="1" x14ac:dyDescent="0.2">
      <c r="A20" s="84"/>
      <c r="B20" s="417"/>
      <c r="C20" s="414" t="str">
        <f>L243</f>
        <v>C-ZETA CURVE</v>
      </c>
      <c r="D20" s="83" t="str">
        <f>M243</f>
        <v xml:space="preserve"> 137_78_39b</v>
      </c>
      <c r="E20" s="83"/>
      <c r="F20" s="418"/>
      <c r="G20" s="83"/>
      <c r="H20" s="83"/>
      <c r="I20" s="83"/>
      <c r="J20" s="83"/>
      <c r="K20" s="83"/>
      <c r="L20" s="83"/>
      <c r="M20" s="84"/>
      <c r="U20" s="184" t="s">
        <v>157</v>
      </c>
      <c r="V20" s="422" t="s">
        <v>379</v>
      </c>
      <c r="W20" s="411"/>
      <c r="X20" s="428"/>
      <c r="Y20" s="428"/>
      <c r="Z20" s="428"/>
      <c r="AA20" s="428"/>
      <c r="AB20" s="428"/>
      <c r="AC20" s="428"/>
    </row>
    <row r="21" spans="1:29" ht="15" customHeight="1" x14ac:dyDescent="0.2">
      <c r="B21" s="419" t="s">
        <v>390</v>
      </c>
      <c r="C21" s="42"/>
      <c r="D21" s="42"/>
      <c r="E21" s="42"/>
      <c r="F21" s="31"/>
      <c r="U21" s="184"/>
      <c r="V21" s="422" t="s">
        <v>306</v>
      </c>
      <c r="W21" s="411"/>
      <c r="X21" s="428"/>
      <c r="Y21" s="428"/>
      <c r="Z21" s="428"/>
      <c r="AA21" s="428"/>
      <c r="AB21" s="428"/>
      <c r="AC21" s="428"/>
    </row>
    <row r="22" spans="1:29" ht="15" customHeight="1" x14ac:dyDescent="0.2">
      <c r="A22" s="169" t="s">
        <v>121</v>
      </c>
      <c r="B22" s="143" t="s">
        <v>139</v>
      </c>
      <c r="U22" s="184"/>
      <c r="V22" s="411" t="s">
        <v>290</v>
      </c>
      <c r="W22" s="411"/>
      <c r="X22" s="428"/>
      <c r="Y22" s="428"/>
      <c r="Z22" s="428"/>
      <c r="AA22" s="428"/>
      <c r="AB22" s="428"/>
      <c r="AC22" s="428"/>
    </row>
    <row r="23" spans="1:29" ht="15" customHeight="1" x14ac:dyDescent="0.2">
      <c r="U23" s="184" t="s">
        <v>159</v>
      </c>
      <c r="V23" s="411" t="s">
        <v>291</v>
      </c>
      <c r="W23" s="411"/>
      <c r="X23" s="428"/>
      <c r="Y23" s="428"/>
      <c r="Z23" s="428"/>
      <c r="AA23" s="428"/>
      <c r="AB23" s="428"/>
      <c r="AC23" s="428"/>
    </row>
    <row r="24" spans="1:29" ht="15" customHeight="1" x14ac:dyDescent="0.2">
      <c r="B24" s="54" t="s">
        <v>140</v>
      </c>
      <c r="U24" s="184" t="s">
        <v>162</v>
      </c>
      <c r="V24" s="411" t="s">
        <v>292</v>
      </c>
      <c r="W24" s="411"/>
      <c r="X24" s="428"/>
      <c r="Y24" s="428"/>
      <c r="Z24" s="428"/>
      <c r="AA24" s="428"/>
      <c r="AB24" s="428"/>
      <c r="AC24" s="428"/>
    </row>
    <row r="25" spans="1:29" ht="15" customHeight="1" x14ac:dyDescent="0.2">
      <c r="B25" s="54" t="s">
        <v>204</v>
      </c>
      <c r="U25" s="184" t="s">
        <v>172</v>
      </c>
      <c r="V25" s="422" t="s">
        <v>293</v>
      </c>
      <c r="W25" s="411"/>
      <c r="X25" s="428"/>
      <c r="Y25" s="428"/>
      <c r="Z25" s="428"/>
      <c r="AA25" s="428"/>
      <c r="AB25" s="428"/>
      <c r="AC25" s="428"/>
    </row>
    <row r="26" spans="1:29" ht="15" customHeight="1" x14ac:dyDescent="0.2">
      <c r="I26" s="1"/>
      <c r="J26" s="1"/>
      <c r="U26" s="184" t="s">
        <v>175</v>
      </c>
      <c r="V26" s="422" t="s">
        <v>294</v>
      </c>
      <c r="W26" s="411"/>
      <c r="X26" s="428"/>
    </row>
    <row r="27" spans="1:29" ht="15" customHeight="1" x14ac:dyDescent="0.2">
      <c r="B27" s="146"/>
      <c r="C27" s="476" t="s">
        <v>105</v>
      </c>
      <c r="D27" s="476" t="s">
        <v>105</v>
      </c>
      <c r="E27" s="480" t="s">
        <v>105</v>
      </c>
      <c r="G27" s="462" t="s">
        <v>202</v>
      </c>
      <c r="I27" s="1"/>
      <c r="J27" s="1"/>
      <c r="U27" s="184"/>
      <c r="V27" s="411"/>
      <c r="W27" s="411"/>
      <c r="X27" s="428"/>
    </row>
    <row r="28" spans="1:29" ht="15" customHeight="1" x14ac:dyDescent="0.2">
      <c r="B28" s="146"/>
      <c r="C28" s="468" t="s">
        <v>342</v>
      </c>
      <c r="D28" s="468" t="s">
        <v>343</v>
      </c>
      <c r="E28" s="468" t="s">
        <v>108</v>
      </c>
      <c r="G28" s="463" t="s">
        <v>111</v>
      </c>
      <c r="U28" s="422" t="s">
        <v>308</v>
      </c>
      <c r="V28" s="411"/>
      <c r="W28" s="411"/>
      <c r="X28" s="428"/>
    </row>
    <row r="29" spans="1:29" ht="15" customHeight="1" x14ac:dyDescent="0.2">
      <c r="B29" s="147" t="s">
        <v>39</v>
      </c>
      <c r="C29" s="477" t="s">
        <v>106</v>
      </c>
      <c r="D29" s="477" t="s">
        <v>107</v>
      </c>
      <c r="E29" s="475" t="s">
        <v>151</v>
      </c>
      <c r="G29" s="463" t="s">
        <v>112</v>
      </c>
      <c r="U29" s="422" t="s">
        <v>382</v>
      </c>
      <c r="V29" s="411"/>
      <c r="W29" s="411"/>
      <c r="X29" s="428"/>
    </row>
    <row r="30" spans="1:29" ht="15" customHeight="1" x14ac:dyDescent="0.2">
      <c r="B30" s="147">
        <v>1</v>
      </c>
      <c r="C30" s="478">
        <v>2</v>
      </c>
      <c r="D30" s="478">
        <v>0.75</v>
      </c>
      <c r="E30" s="469">
        <f>SUM(C30:D30)/2</f>
        <v>1.375</v>
      </c>
      <c r="G30" s="464">
        <v>1.7</v>
      </c>
      <c r="I30" s="54" t="s">
        <v>367</v>
      </c>
      <c r="U30" s="429"/>
      <c r="V30" s="428"/>
      <c r="W30" s="428"/>
      <c r="X30" s="428"/>
    </row>
    <row r="31" spans="1:29" ht="15" customHeight="1" x14ac:dyDescent="0.2">
      <c r="B31" s="147">
        <v>2</v>
      </c>
      <c r="C31" s="478">
        <v>4</v>
      </c>
      <c r="D31" s="478">
        <v>2</v>
      </c>
      <c r="E31" s="469">
        <f t="shared" ref="E31:E39" si="0">SUM(C31:D31)/2</f>
        <v>3</v>
      </c>
      <c r="G31" s="465">
        <v>4</v>
      </c>
      <c r="I31" t="s">
        <v>366</v>
      </c>
      <c r="U31" s="429"/>
      <c r="V31" s="428"/>
      <c r="W31" s="428"/>
      <c r="X31" s="428"/>
    </row>
    <row r="32" spans="1:29" ht="15" customHeight="1" x14ac:dyDescent="0.2">
      <c r="B32" s="147">
        <v>3</v>
      </c>
      <c r="C32" s="478">
        <v>5.8</v>
      </c>
      <c r="D32" s="478">
        <v>3.3</v>
      </c>
      <c r="E32" s="469">
        <f t="shared" si="0"/>
        <v>4.55</v>
      </c>
      <c r="G32" s="466">
        <v>6.8</v>
      </c>
    </row>
    <row r="33" spans="1:8" ht="15" customHeight="1" x14ac:dyDescent="0.2">
      <c r="B33" s="147">
        <v>4</v>
      </c>
      <c r="C33" s="478">
        <v>7.51</v>
      </c>
      <c r="D33" s="478">
        <v>4.7</v>
      </c>
      <c r="E33" s="469">
        <f t="shared" si="0"/>
        <v>6.1050000000000004</v>
      </c>
      <c r="G33" s="466">
        <v>9.4</v>
      </c>
    </row>
    <row r="34" spans="1:8" ht="15" customHeight="1" x14ac:dyDescent="0.2">
      <c r="B34" s="147">
        <v>5</v>
      </c>
      <c r="C34" s="478">
        <v>9</v>
      </c>
      <c r="D34" s="478">
        <v>5.9</v>
      </c>
      <c r="E34" s="469">
        <f t="shared" si="0"/>
        <v>7.45</v>
      </c>
      <c r="G34" s="465">
        <v>12.1</v>
      </c>
    </row>
    <row r="35" spans="1:8" ht="15" customHeight="1" x14ac:dyDescent="0.2">
      <c r="B35" s="147">
        <v>10</v>
      </c>
      <c r="C35" s="478">
        <v>11.51</v>
      </c>
      <c r="D35" s="478">
        <v>10</v>
      </c>
      <c r="E35" s="469">
        <f t="shared" si="0"/>
        <v>10.754999999999999</v>
      </c>
      <c r="G35" s="466">
        <v>25.1</v>
      </c>
    </row>
    <row r="36" spans="1:8" ht="15" customHeight="1" x14ac:dyDescent="0.2">
      <c r="B36" s="147">
        <v>20</v>
      </c>
      <c r="C36" s="478">
        <v>13</v>
      </c>
      <c r="D36" s="478">
        <v>13</v>
      </c>
      <c r="E36" s="469">
        <f t="shared" si="0"/>
        <v>13</v>
      </c>
      <c r="G36" s="466">
        <v>47.2</v>
      </c>
    </row>
    <row r="37" spans="1:8" ht="15" customHeight="1" x14ac:dyDescent="0.2">
      <c r="B37" s="147">
        <v>30</v>
      </c>
      <c r="C37" s="478">
        <v>13</v>
      </c>
      <c r="D37" s="478">
        <v>13</v>
      </c>
      <c r="E37" s="469">
        <f t="shared" si="0"/>
        <v>13</v>
      </c>
      <c r="G37" s="466">
        <v>65.2</v>
      </c>
    </row>
    <row r="38" spans="1:8" ht="15" customHeight="1" x14ac:dyDescent="0.2">
      <c r="B38" s="147">
        <v>40</v>
      </c>
      <c r="C38" s="478">
        <v>13</v>
      </c>
      <c r="D38" s="478">
        <v>13</v>
      </c>
      <c r="E38" s="469">
        <f t="shared" si="0"/>
        <v>13</v>
      </c>
      <c r="G38" s="466">
        <v>81.099999999999994</v>
      </c>
      <c r="H38" s="1"/>
    </row>
    <row r="39" spans="1:8" ht="15" customHeight="1" x14ac:dyDescent="0.2">
      <c r="B39" s="147">
        <v>50</v>
      </c>
      <c r="C39" s="479">
        <v>13</v>
      </c>
      <c r="D39" s="479">
        <v>13</v>
      </c>
      <c r="E39" s="470">
        <f t="shared" si="0"/>
        <v>13</v>
      </c>
      <c r="G39" s="467">
        <v>95.5</v>
      </c>
    </row>
    <row r="40" spans="1:8" ht="15" customHeight="1" x14ac:dyDescent="0.2"/>
    <row r="41" spans="1:8" ht="15" customHeight="1" x14ac:dyDescent="0.2"/>
    <row r="42" spans="1:8" ht="15" customHeight="1" x14ac:dyDescent="0.2"/>
    <row r="43" spans="1:8" ht="15" customHeight="1" x14ac:dyDescent="0.2"/>
    <row r="44" spans="1:8" ht="15" customHeight="1" x14ac:dyDescent="0.2">
      <c r="A44" s="143" t="s">
        <v>122</v>
      </c>
      <c r="B44" s="143" t="s">
        <v>190</v>
      </c>
    </row>
    <row r="45" spans="1:8" ht="15" customHeight="1" x14ac:dyDescent="0.2">
      <c r="B45" s="169" t="s">
        <v>142</v>
      </c>
    </row>
    <row r="46" spans="1:8" ht="15" customHeight="1" x14ac:dyDescent="0.2">
      <c r="B46" s="169" t="s">
        <v>144</v>
      </c>
    </row>
    <row r="47" spans="1:8" ht="15" customHeight="1" x14ac:dyDescent="0.2"/>
    <row r="48" spans="1:8" ht="15" customHeight="1" x14ac:dyDescent="0.2">
      <c r="B48" s="196" t="s">
        <v>202</v>
      </c>
      <c r="C48" s="196"/>
      <c r="D48" s="196"/>
    </row>
    <row r="49" spans="2:4" ht="15" customHeight="1" x14ac:dyDescent="0.2">
      <c r="B49" s="196" t="s">
        <v>111</v>
      </c>
      <c r="C49" s="196"/>
      <c r="D49" s="196" t="s">
        <v>111</v>
      </c>
    </row>
    <row r="50" spans="2:4" ht="15" customHeight="1" x14ac:dyDescent="0.2">
      <c r="B50" s="196" t="s">
        <v>119</v>
      </c>
      <c r="C50" s="196"/>
      <c r="D50" s="196" t="s">
        <v>119</v>
      </c>
    </row>
    <row r="51" spans="2:4" ht="15" customHeight="1" x14ac:dyDescent="0.2">
      <c r="B51" s="196" t="s">
        <v>120</v>
      </c>
      <c r="C51" s="196" t="s">
        <v>39</v>
      </c>
      <c r="D51" s="196" t="s">
        <v>120</v>
      </c>
    </row>
    <row r="52" spans="2:4" ht="15" customHeight="1" x14ac:dyDescent="0.2">
      <c r="B52" s="326">
        <v>29.7</v>
      </c>
      <c r="C52" s="185">
        <v>1</v>
      </c>
      <c r="D52" s="188">
        <v>29.7</v>
      </c>
    </row>
    <row r="53" spans="2:4" ht="15" customHeight="1" x14ac:dyDescent="0.2">
      <c r="B53" s="327">
        <v>57.5</v>
      </c>
      <c r="C53" s="185">
        <v>2</v>
      </c>
      <c r="D53" s="189">
        <v>57.5</v>
      </c>
    </row>
    <row r="54" spans="2:4" ht="15" customHeight="1" x14ac:dyDescent="0.2">
      <c r="B54" s="94">
        <v>79.5</v>
      </c>
      <c r="C54" s="185">
        <v>3</v>
      </c>
      <c r="D54" s="184">
        <v>79.5</v>
      </c>
    </row>
    <row r="55" spans="2:4" ht="15" customHeight="1" x14ac:dyDescent="0.2">
      <c r="B55" s="94">
        <v>96.4</v>
      </c>
      <c r="C55" s="185">
        <v>4</v>
      </c>
      <c r="D55" s="207">
        <v>98</v>
      </c>
    </row>
    <row r="56" spans="2:4" ht="15" customHeight="1" x14ac:dyDescent="0.2">
      <c r="B56" s="327">
        <v>113.4</v>
      </c>
      <c r="C56" s="185">
        <v>5</v>
      </c>
      <c r="D56" s="189">
        <v>113.4</v>
      </c>
    </row>
    <row r="57" spans="2:4" ht="15" customHeight="1" x14ac:dyDescent="0.2">
      <c r="B57" s="94">
        <v>182</v>
      </c>
      <c r="C57" s="185">
        <v>10</v>
      </c>
      <c r="D57" s="184">
        <v>182</v>
      </c>
    </row>
    <row r="58" spans="2:4" ht="15" customHeight="1" x14ac:dyDescent="0.2">
      <c r="B58" s="94">
        <v>301.5</v>
      </c>
      <c r="C58" s="185">
        <v>20</v>
      </c>
      <c r="D58" s="184">
        <v>301.5</v>
      </c>
    </row>
    <row r="59" spans="2:4" ht="15" customHeight="1" x14ac:dyDescent="0.2">
      <c r="B59" s="94">
        <v>415.9</v>
      </c>
      <c r="C59" s="185">
        <v>30</v>
      </c>
      <c r="D59" s="184">
        <v>415.9</v>
      </c>
    </row>
    <row r="60" spans="2:4" ht="15" customHeight="1" x14ac:dyDescent="0.2">
      <c r="B60" s="94">
        <v>521.1</v>
      </c>
      <c r="C60" s="185">
        <v>40</v>
      </c>
      <c r="D60" s="184">
        <v>521.1</v>
      </c>
    </row>
    <row r="61" spans="2:4" ht="15" customHeight="1" x14ac:dyDescent="0.2">
      <c r="B61" s="327">
        <v>618.79999999999995</v>
      </c>
      <c r="C61" s="185">
        <v>50</v>
      </c>
      <c r="D61" s="189">
        <v>618.79999999999995</v>
      </c>
    </row>
    <row r="62" spans="2:4" ht="15" customHeight="1" x14ac:dyDescent="0.2"/>
    <row r="63" spans="2:4" ht="15" customHeight="1" x14ac:dyDescent="0.2">
      <c r="C63" s="394" t="s">
        <v>203</v>
      </c>
    </row>
    <row r="64" spans="2:4" ht="15" customHeight="1" x14ac:dyDescent="0.2"/>
    <row r="65" spans="1:11" ht="15" customHeight="1" x14ac:dyDescent="0.2"/>
    <row r="66" spans="1:11" ht="15" customHeight="1" x14ac:dyDescent="0.2">
      <c r="A66" s="143" t="s">
        <v>125</v>
      </c>
      <c r="B66" s="143" t="s">
        <v>145</v>
      </c>
    </row>
    <row r="67" spans="1:11" ht="15" customHeight="1" x14ac:dyDescent="0.2">
      <c r="B67" s="169" t="s">
        <v>147</v>
      </c>
    </row>
    <row r="68" spans="1:11" ht="15" customHeight="1" x14ac:dyDescent="0.2">
      <c r="B68" s="169"/>
    </row>
    <row r="69" spans="1:11" ht="15" customHeight="1" x14ac:dyDescent="0.2"/>
    <row r="70" spans="1:11" ht="15" customHeight="1" x14ac:dyDescent="0.2">
      <c r="E70" s="504">
        <f>INDEX(LINEST(D$78:D$83,($C$78:$C$83)^{1,2,3}),1)</f>
        <v>0.17612313950214672</v>
      </c>
      <c r="F70" s="503">
        <f>INDEX(LINEST(D$83:D$87,($C$83:$C$87)^{1,2,3}),1)</f>
        <v>-2.000000000000044E-4</v>
      </c>
      <c r="H70" t="s">
        <v>387</v>
      </c>
    </row>
    <row r="71" spans="1:11" ht="15" customHeight="1" x14ac:dyDescent="0.2">
      <c r="E71" s="504">
        <f>INDEX(LINEST(D$78:D$83,($C$78:$C$83)^{1,2,3}),2)</f>
        <v>-3.6139392300952475</v>
      </c>
      <c r="F71" s="503">
        <f>INDEX(LINEST(D$83:D$87,($C$83:$C$87)^{1,2,3}),2)</f>
        <v>-1.971428571428541E-2</v>
      </c>
      <c r="H71" t="s">
        <v>388</v>
      </c>
    </row>
    <row r="72" spans="1:11" ht="15" customHeight="1" x14ac:dyDescent="0.2">
      <c r="E72" s="504">
        <f>INDEX(LINEST(D$78:D$83,($C$78:$C$83)^{1,2,3}),3)</f>
        <v>37.117948459901037</v>
      </c>
      <c r="F72" s="503">
        <f>INDEX(LINEST(D$83:D$87,($C$83:$C$87)^{1,2,3}),3)</f>
        <v>12.722857142857135</v>
      </c>
    </row>
    <row r="73" spans="1:11" ht="15" customHeight="1" x14ac:dyDescent="0.2">
      <c r="E73" s="504">
        <f>INDEX(LINEST(D$78:D$83,($C$78:$C$83)^{1,2,3}),4)</f>
        <v>-3.9064961204820463</v>
      </c>
      <c r="F73" s="503">
        <f>INDEX(LINEST(D$83:D$87,($C$83:$C$87)^{1,2,3}),4)</f>
        <v>56.860000000000085</v>
      </c>
    </row>
    <row r="74" spans="1:11" ht="15" customHeight="1" x14ac:dyDescent="0.2">
      <c r="E74" s="1"/>
      <c r="F74" s="1"/>
    </row>
    <row r="75" spans="1:11" ht="15" customHeight="1" x14ac:dyDescent="0.2">
      <c r="C75" s="195"/>
      <c r="D75" s="196" t="s">
        <v>146</v>
      </c>
      <c r="E75" s="196"/>
      <c r="F75" s="1"/>
      <c r="H75" s="212"/>
      <c r="I75" s="471" t="s">
        <v>133</v>
      </c>
      <c r="J75" s="212"/>
      <c r="K75" s="212"/>
    </row>
    <row r="76" spans="1:11" ht="15" customHeight="1" x14ac:dyDescent="0.2">
      <c r="C76" s="195"/>
      <c r="D76" s="196" t="s">
        <v>119</v>
      </c>
      <c r="E76" s="196"/>
      <c r="F76" s="1"/>
      <c r="H76" s="212"/>
      <c r="I76" s="472" t="s">
        <v>110</v>
      </c>
      <c r="J76" s="212" t="s">
        <v>111</v>
      </c>
      <c r="K76" s="508" t="s">
        <v>385</v>
      </c>
    </row>
    <row r="77" spans="1:11" ht="15" customHeight="1" x14ac:dyDescent="0.2">
      <c r="C77" s="195" t="s">
        <v>39</v>
      </c>
      <c r="D77" s="196" t="s">
        <v>120</v>
      </c>
      <c r="E77" s="196"/>
      <c r="F77" s="1"/>
      <c r="H77" s="212" t="s">
        <v>39</v>
      </c>
      <c r="I77" s="472" t="s">
        <v>149</v>
      </c>
      <c r="J77" s="212" t="s">
        <v>346</v>
      </c>
      <c r="K77" s="509" t="s">
        <v>386</v>
      </c>
    </row>
    <row r="78" spans="1:11" ht="15" customHeight="1" x14ac:dyDescent="0.2">
      <c r="C78" s="185">
        <v>1</v>
      </c>
      <c r="D78" s="188">
        <f>D52</f>
        <v>29.7</v>
      </c>
      <c r="E78" s="193">
        <f>(E$70*($C78)^3)+(E$71*($C78)^2)+(E$72*($C78)^1)+(E$73)</f>
        <v>29.773636248825888</v>
      </c>
      <c r="F78" s="3"/>
      <c r="H78" s="185">
        <v>1</v>
      </c>
      <c r="I78" s="473">
        <f>E78</f>
        <v>29.773636248825888</v>
      </c>
      <c r="J78" s="188">
        <f>B52</f>
        <v>29.7</v>
      </c>
      <c r="K78" s="505">
        <f>I78-J78</f>
        <v>7.3636248825888373E-2</v>
      </c>
    </row>
    <row r="79" spans="1:11" ht="15" customHeight="1" x14ac:dyDescent="0.2">
      <c r="C79" s="185">
        <v>2</v>
      </c>
      <c r="D79" s="189">
        <f t="shared" ref="D79:D87" si="1">D53</f>
        <v>57.5</v>
      </c>
      <c r="E79" s="193">
        <f t="shared" ref="E79:E83" si="2">(E$70*($C79)^3)+(E$71*($C79)^2)+(E$72*($C79)^1)+(E$73)</f>
        <v>57.282628994956212</v>
      </c>
      <c r="F79" s="3"/>
      <c r="H79" s="185">
        <v>2</v>
      </c>
      <c r="I79" s="473">
        <f>E79</f>
        <v>57.282628994956212</v>
      </c>
      <c r="J79" s="189">
        <f t="shared" ref="J79:J87" si="3">B53</f>
        <v>57.5</v>
      </c>
      <c r="K79" s="506">
        <f t="shared" ref="K79:K87" si="4">I79-J79</f>
        <v>-0.21737100504378759</v>
      </c>
    </row>
    <row r="80" spans="1:11" ht="15" customHeight="1" x14ac:dyDescent="0.2">
      <c r="B80" t="s">
        <v>383</v>
      </c>
      <c r="C80" s="185">
        <v>3</v>
      </c>
      <c r="D80" s="184">
        <f t="shared" si="1"/>
        <v>79.5</v>
      </c>
      <c r="E80" s="193">
        <f t="shared" si="2"/>
        <v>79.677220954921793</v>
      </c>
      <c r="F80" s="3"/>
      <c r="H80" s="185">
        <v>3</v>
      </c>
      <c r="I80" s="473">
        <f>E80</f>
        <v>79.677220954921793</v>
      </c>
      <c r="J80" s="184">
        <f t="shared" si="3"/>
        <v>79.5</v>
      </c>
      <c r="K80" s="507">
        <f t="shared" si="4"/>
        <v>0.17722095492179335</v>
      </c>
    </row>
    <row r="81" spans="1:11" ht="15" customHeight="1" x14ac:dyDescent="0.2">
      <c r="C81" s="185">
        <v>4</v>
      </c>
      <c r="D81" s="184">
        <f t="shared" si="1"/>
        <v>98</v>
      </c>
      <c r="E81" s="193">
        <f t="shared" si="2"/>
        <v>98.014150965735524</v>
      </c>
      <c r="F81" s="3"/>
      <c r="H81" s="185">
        <v>4</v>
      </c>
      <c r="I81" s="473">
        <f>E81</f>
        <v>98.014150965735524</v>
      </c>
      <c r="J81" s="184">
        <f t="shared" si="3"/>
        <v>96.4</v>
      </c>
      <c r="K81" s="507">
        <f t="shared" si="4"/>
        <v>1.6141509657355186</v>
      </c>
    </row>
    <row r="82" spans="1:11" ht="15" customHeight="1" x14ac:dyDescent="0.2">
      <c r="C82" s="185">
        <v>5</v>
      </c>
      <c r="D82" s="189">
        <f t="shared" si="1"/>
        <v>113.4</v>
      </c>
      <c r="E82" s="193">
        <f t="shared" si="2"/>
        <v>113.35015786441029</v>
      </c>
      <c r="F82" s="3"/>
      <c r="H82" s="185">
        <v>5</v>
      </c>
      <c r="I82" s="473">
        <f>E82</f>
        <v>113.35015786441029</v>
      </c>
      <c r="J82" s="189">
        <f t="shared" si="3"/>
        <v>113.4</v>
      </c>
      <c r="K82" s="506">
        <f t="shared" si="4"/>
        <v>-4.9842135589713621E-2</v>
      </c>
    </row>
    <row r="83" spans="1:11" ht="15" customHeight="1" x14ac:dyDescent="0.2">
      <c r="C83" s="185">
        <v>10</v>
      </c>
      <c r="D83" s="184">
        <f t="shared" si="1"/>
        <v>182</v>
      </c>
      <c r="E83" s="193">
        <f t="shared" si="2"/>
        <v>182.00220497115029</v>
      </c>
      <c r="F83" s="194">
        <f>(F$70*($C83)^3)+(F$71*($C83)^2)+(F$72*($C83)^1)+(F$73)</f>
        <v>181.91714285714289</v>
      </c>
      <c r="H83" s="185">
        <v>10</v>
      </c>
      <c r="I83" s="473">
        <f>(E83+F83)/2</f>
        <v>181.95967391414661</v>
      </c>
      <c r="J83" s="184">
        <f t="shared" si="3"/>
        <v>182</v>
      </c>
      <c r="K83" s="507">
        <f t="shared" si="4"/>
        <v>-4.0326085853394034E-2</v>
      </c>
    </row>
    <row r="84" spans="1:11" ht="15" customHeight="1" x14ac:dyDescent="0.2">
      <c r="C84" s="185">
        <v>20</v>
      </c>
      <c r="D84" s="184">
        <f t="shared" si="1"/>
        <v>301.5</v>
      </c>
      <c r="E84" s="3"/>
      <c r="F84" s="194">
        <f t="shared" ref="F84:F87" si="5">(F$70*($C84)^3)+(F$71*($C84)^2)+(F$72*($C84)^1)+(F$73)</f>
        <v>301.8314285714286</v>
      </c>
      <c r="H84" s="185">
        <v>20</v>
      </c>
      <c r="I84" s="473">
        <f>F84</f>
        <v>301.8314285714286</v>
      </c>
      <c r="J84" s="184">
        <f t="shared" si="3"/>
        <v>301.5</v>
      </c>
      <c r="K84" s="507">
        <f t="shared" si="4"/>
        <v>0.33142857142860294</v>
      </c>
    </row>
    <row r="85" spans="1:11" ht="15" customHeight="1" x14ac:dyDescent="0.2">
      <c r="B85" s="54" t="s">
        <v>384</v>
      </c>
      <c r="C85" s="185">
        <v>30</v>
      </c>
      <c r="D85" s="184">
        <f t="shared" si="1"/>
        <v>415.9</v>
      </c>
      <c r="E85" s="3"/>
      <c r="F85" s="194">
        <f t="shared" si="5"/>
        <v>415.40285714285716</v>
      </c>
      <c r="H85" s="185">
        <v>30</v>
      </c>
      <c r="I85" s="473">
        <f>F85</f>
        <v>415.40285714285716</v>
      </c>
      <c r="J85" s="184">
        <f t="shared" si="3"/>
        <v>415.9</v>
      </c>
      <c r="K85" s="507">
        <f t="shared" si="4"/>
        <v>-0.49714285714281914</v>
      </c>
    </row>
    <row r="86" spans="1:11" ht="15" customHeight="1" x14ac:dyDescent="0.2">
      <c r="C86" s="185">
        <v>40</v>
      </c>
      <c r="D86" s="184">
        <f t="shared" si="1"/>
        <v>521.1</v>
      </c>
      <c r="E86" s="3"/>
      <c r="F86" s="194">
        <f t="shared" si="5"/>
        <v>521.43142857142857</v>
      </c>
      <c r="H86" s="185">
        <v>40</v>
      </c>
      <c r="I86" s="473">
        <f>F86</f>
        <v>521.43142857142857</v>
      </c>
      <c r="J86" s="184">
        <f t="shared" si="3"/>
        <v>521.1</v>
      </c>
      <c r="K86" s="507">
        <f t="shared" si="4"/>
        <v>0.33142857142854609</v>
      </c>
    </row>
    <row r="87" spans="1:11" ht="15" customHeight="1" x14ac:dyDescent="0.2">
      <c r="C87" s="185">
        <v>50</v>
      </c>
      <c r="D87" s="189">
        <f t="shared" si="1"/>
        <v>618.79999999999995</v>
      </c>
      <c r="E87" s="3"/>
      <c r="F87" s="194">
        <f t="shared" si="5"/>
        <v>618.71714285714279</v>
      </c>
      <c r="H87" s="185">
        <v>50</v>
      </c>
      <c r="I87" s="474">
        <f>F87</f>
        <v>618.71714285714279</v>
      </c>
      <c r="J87" s="189">
        <f t="shared" si="3"/>
        <v>618.79999999999995</v>
      </c>
      <c r="K87" s="506">
        <f t="shared" si="4"/>
        <v>-8.2857142857164945E-2</v>
      </c>
    </row>
    <row r="88" spans="1:11" ht="15" customHeight="1" x14ac:dyDescent="0.2">
      <c r="I88" s="72"/>
    </row>
    <row r="89" spans="1:11" ht="15" customHeight="1" x14ac:dyDescent="0.2"/>
    <row r="90" spans="1:11" ht="15" customHeight="1" x14ac:dyDescent="0.2"/>
    <row r="91" spans="1:11" ht="15" customHeight="1" x14ac:dyDescent="0.2">
      <c r="I91" s="72"/>
    </row>
    <row r="92" spans="1:11" ht="15" customHeight="1" x14ac:dyDescent="0.2">
      <c r="A92" s="143" t="s">
        <v>152</v>
      </c>
      <c r="B92" s="143" t="s">
        <v>150</v>
      </c>
    </row>
    <row r="93" spans="1:11" ht="15" customHeight="1" x14ac:dyDescent="0.2">
      <c r="A93" s="143"/>
      <c r="B93" s="143"/>
    </row>
    <row r="94" spans="1:11" ht="15" customHeight="1" x14ac:dyDescent="0.2">
      <c r="A94" s="143"/>
      <c r="B94" s="143" t="s">
        <v>153</v>
      </c>
    </row>
    <row r="95" spans="1:11" ht="15" customHeight="1" x14ac:dyDescent="0.2">
      <c r="A95" s="143"/>
      <c r="B95" s="143"/>
      <c r="K95" s="169" t="s">
        <v>155</v>
      </c>
    </row>
    <row r="96" spans="1:11" ht="15" customHeight="1" x14ac:dyDescent="0.2">
      <c r="I96" s="72"/>
    </row>
    <row r="97" spans="2:18" ht="15" customHeight="1" x14ac:dyDescent="0.2">
      <c r="G97" s="448"/>
      <c r="H97" s="449" t="s">
        <v>112</v>
      </c>
      <c r="I97" s="72"/>
      <c r="J97" s="50"/>
      <c r="M97" t="s">
        <v>171</v>
      </c>
    </row>
    <row r="98" spans="2:18" ht="15" customHeight="1" x14ac:dyDescent="0.2">
      <c r="B98" s="212"/>
      <c r="C98" s="392"/>
      <c r="D98" s="471" t="s">
        <v>133</v>
      </c>
      <c r="E98" s="471" t="s">
        <v>133</v>
      </c>
      <c r="F98" s="212"/>
      <c r="G98" s="450" t="s">
        <v>111</v>
      </c>
      <c r="H98" s="451" t="s">
        <v>368</v>
      </c>
      <c r="J98" s="498" t="s">
        <v>105</v>
      </c>
      <c r="K98" s="226"/>
      <c r="M98" s="498"/>
      <c r="N98" s="218" t="s">
        <v>156</v>
      </c>
    </row>
    <row r="99" spans="2:18" ht="15" customHeight="1" x14ac:dyDescent="0.2">
      <c r="B99" s="212"/>
      <c r="C99" s="196" t="s">
        <v>109</v>
      </c>
      <c r="D99" s="472" t="s">
        <v>110</v>
      </c>
      <c r="E99" s="472" t="s">
        <v>112</v>
      </c>
      <c r="F99" s="212" t="s">
        <v>105</v>
      </c>
      <c r="G99" s="450" t="s">
        <v>112</v>
      </c>
      <c r="H99" s="451" t="s">
        <v>369</v>
      </c>
      <c r="J99" s="499" t="s">
        <v>342</v>
      </c>
      <c r="K99" s="227" t="s">
        <v>154</v>
      </c>
      <c r="M99" s="181" t="s">
        <v>129</v>
      </c>
      <c r="N99" s="219" t="s">
        <v>119</v>
      </c>
    </row>
    <row r="100" spans="2:18" ht="15" customHeight="1" x14ac:dyDescent="0.2">
      <c r="B100" s="212" t="s">
        <v>39</v>
      </c>
      <c r="C100" s="502" t="s">
        <v>130</v>
      </c>
      <c r="D100" s="331" t="s">
        <v>130</v>
      </c>
      <c r="E100" s="331" t="s">
        <v>237</v>
      </c>
      <c r="F100" s="447" t="s">
        <v>235</v>
      </c>
      <c r="G100" s="452" t="s">
        <v>130</v>
      </c>
      <c r="H100" s="453" t="s">
        <v>235</v>
      </c>
      <c r="J100" s="500" t="s">
        <v>151</v>
      </c>
      <c r="K100" s="501" t="s">
        <v>375</v>
      </c>
      <c r="M100" s="181" t="s">
        <v>113</v>
      </c>
      <c r="N100" s="219"/>
      <c r="O100" s="344" t="s">
        <v>205</v>
      </c>
      <c r="P100" s="72" t="s">
        <v>213</v>
      </c>
      <c r="Q100" s="293" t="s">
        <v>214</v>
      </c>
    </row>
    <row r="101" spans="2:18" ht="15" customHeight="1" x14ac:dyDescent="0.2">
      <c r="B101" s="185">
        <v>1</v>
      </c>
      <c r="C101" s="198">
        <f>D101+E101</f>
        <v>30.381636248825888</v>
      </c>
      <c r="D101" s="198">
        <f t="shared" ref="D101:D110" si="6">I78</f>
        <v>29.773636248825888</v>
      </c>
      <c r="E101" s="197">
        <v>0.60799999999999998</v>
      </c>
      <c r="F101" s="231">
        <f>E101/C101</f>
        <v>2.0012088717687036E-2</v>
      </c>
      <c r="G101" s="454">
        <f t="shared" ref="G101:G110" si="7">G30</f>
        <v>1.7</v>
      </c>
      <c r="H101" s="455">
        <f>E101-G101</f>
        <v>-1.0920000000000001</v>
      </c>
      <c r="J101" s="496">
        <f>C30/100</f>
        <v>0.02</v>
      </c>
      <c r="K101" s="229">
        <f t="shared" ref="K101:K110" si="8">J101-F101</f>
        <v>-1.2088717687035178E-5</v>
      </c>
      <c r="M101" s="496">
        <f t="shared" ref="M101:M110" si="9">C101/D101</f>
        <v>1.0204207505901794</v>
      </c>
      <c r="N101" s="222">
        <f t="shared" ref="N101:N110" si="10">D101*M101</f>
        <v>30.381636248825888</v>
      </c>
      <c r="O101" s="366">
        <f t="shared" ref="O101:O110" si="11">N101-C101</f>
        <v>0</v>
      </c>
      <c r="P101" s="367">
        <f t="shared" ref="P101:P110" si="12">J101/F101</f>
        <v>0.99939592923769371</v>
      </c>
      <c r="Q101" s="368">
        <f t="shared" ref="Q101:Q110" si="13">P101*E101</f>
        <v>0.60763272497651777</v>
      </c>
      <c r="R101" s="346" t="s">
        <v>282</v>
      </c>
    </row>
    <row r="102" spans="2:18" ht="15" customHeight="1" x14ac:dyDescent="0.2">
      <c r="B102" s="185">
        <v>2</v>
      </c>
      <c r="C102" s="199">
        <f t="shared" ref="C102:C110" si="14">D102+E102</f>
        <v>59.668628994956215</v>
      </c>
      <c r="D102" s="199">
        <f t="shared" si="6"/>
        <v>57.282628994956212</v>
      </c>
      <c r="E102" s="197">
        <v>2.3860000000000001</v>
      </c>
      <c r="F102" s="232">
        <f t="shared" ref="F102:F110" si="15">E102/C102</f>
        <v>3.9987511699015051E-2</v>
      </c>
      <c r="G102" s="456">
        <f t="shared" si="7"/>
        <v>4</v>
      </c>
      <c r="H102" s="457">
        <f t="shared" ref="H102:H110" si="16">E102-G102</f>
        <v>-1.6139999999999999</v>
      </c>
      <c r="J102" s="496">
        <f t="shared" ref="J102:J110" si="17">C31/100</f>
        <v>0.04</v>
      </c>
      <c r="K102" s="229">
        <f t="shared" si="8"/>
        <v>1.248830098495024E-5</v>
      </c>
      <c r="M102" s="496">
        <f t="shared" si="9"/>
        <v>1.0416531161691285</v>
      </c>
      <c r="N102" s="223">
        <f t="shared" si="10"/>
        <v>59.668628994956208</v>
      </c>
      <c r="O102" s="366">
        <f t="shared" si="11"/>
        <v>0</v>
      </c>
      <c r="P102" s="367">
        <f t="shared" si="12"/>
        <v>1.0003123050286036</v>
      </c>
      <c r="Q102" s="369">
        <f t="shared" si="13"/>
        <v>2.3867451597982483</v>
      </c>
      <c r="R102" s="346" t="s">
        <v>218</v>
      </c>
    </row>
    <row r="103" spans="2:18" ht="15" customHeight="1" x14ac:dyDescent="0.2">
      <c r="B103" s="185">
        <v>3</v>
      </c>
      <c r="C103" s="200">
        <f t="shared" si="14"/>
        <v>84.579220954921794</v>
      </c>
      <c r="D103" s="200">
        <f t="shared" si="6"/>
        <v>79.677220954921793</v>
      </c>
      <c r="E103" s="197">
        <v>4.9020000000000001</v>
      </c>
      <c r="F103" s="233">
        <f t="shared" si="15"/>
        <v>5.79574976531484E-2</v>
      </c>
      <c r="G103" s="458">
        <f t="shared" si="7"/>
        <v>6.8</v>
      </c>
      <c r="H103" s="459">
        <f t="shared" si="16"/>
        <v>-1.8979999999999997</v>
      </c>
      <c r="J103" s="496">
        <f t="shared" si="17"/>
        <v>5.7999999999999996E-2</v>
      </c>
      <c r="K103" s="229">
        <f t="shared" si="8"/>
        <v>4.2502346851595874E-5</v>
      </c>
      <c r="M103" s="496">
        <f t="shared" si="9"/>
        <v>1.0615232301183466</v>
      </c>
      <c r="N103" s="224">
        <f t="shared" si="10"/>
        <v>84.579220954921794</v>
      </c>
      <c r="O103" s="366">
        <f t="shared" si="11"/>
        <v>0</v>
      </c>
      <c r="P103" s="367">
        <f t="shared" si="12"/>
        <v>1.0007333364719428</v>
      </c>
      <c r="Q103" s="367">
        <f t="shared" si="13"/>
        <v>4.9055948153854638</v>
      </c>
      <c r="R103" s="346" t="s">
        <v>220</v>
      </c>
    </row>
    <row r="104" spans="2:18" ht="15" customHeight="1" x14ac:dyDescent="0.2">
      <c r="B104" s="185">
        <v>4</v>
      </c>
      <c r="C104" s="200">
        <f t="shared" si="14"/>
        <v>105.97215096573552</v>
      </c>
      <c r="D104" s="200">
        <f t="shared" si="6"/>
        <v>98.014150965735524</v>
      </c>
      <c r="E104" s="197">
        <v>7.9580000000000002</v>
      </c>
      <c r="F104" s="233">
        <f t="shared" si="15"/>
        <v>7.5095201215393828E-2</v>
      </c>
      <c r="G104" s="458">
        <f t="shared" si="7"/>
        <v>9.4</v>
      </c>
      <c r="H104" s="459">
        <f t="shared" si="16"/>
        <v>-1.4420000000000002</v>
      </c>
      <c r="J104" s="496">
        <f t="shared" si="17"/>
        <v>7.51E-2</v>
      </c>
      <c r="K104" s="229">
        <f t="shared" si="8"/>
        <v>4.7987846061720019E-6</v>
      </c>
      <c r="M104" s="496">
        <f t="shared" si="9"/>
        <v>1.0811923576502949</v>
      </c>
      <c r="N104" s="224">
        <f t="shared" si="10"/>
        <v>105.97215096573552</v>
      </c>
      <c r="O104" s="366">
        <f t="shared" si="11"/>
        <v>0</v>
      </c>
      <c r="P104" s="367">
        <f t="shared" si="12"/>
        <v>1.0000639026799116</v>
      </c>
      <c r="Q104" s="367">
        <f t="shared" si="13"/>
        <v>7.958508537526737</v>
      </c>
      <c r="R104" s="167" t="s">
        <v>219</v>
      </c>
    </row>
    <row r="105" spans="2:18" ht="15" customHeight="1" x14ac:dyDescent="0.2">
      <c r="B105" s="185">
        <v>5</v>
      </c>
      <c r="C105" s="199">
        <f t="shared" si="14"/>
        <v>124.5591578644103</v>
      </c>
      <c r="D105" s="199">
        <f t="shared" si="6"/>
        <v>113.35015786441029</v>
      </c>
      <c r="E105" s="197">
        <v>11.209</v>
      </c>
      <c r="F105" s="232">
        <f t="shared" si="15"/>
        <v>8.9989368844333645E-2</v>
      </c>
      <c r="G105" s="456">
        <f t="shared" si="7"/>
        <v>12.1</v>
      </c>
      <c r="H105" s="457">
        <f t="shared" si="16"/>
        <v>-0.89100000000000001</v>
      </c>
      <c r="J105" s="496">
        <f t="shared" si="17"/>
        <v>0.09</v>
      </c>
      <c r="K105" s="229">
        <f t="shared" si="8"/>
        <v>1.0631155666351866E-5</v>
      </c>
      <c r="M105" s="496">
        <f t="shared" si="9"/>
        <v>1.0988882610415791</v>
      </c>
      <c r="N105" s="223">
        <f t="shared" si="10"/>
        <v>124.5591578644103</v>
      </c>
      <c r="O105" s="366">
        <f t="shared" si="11"/>
        <v>0</v>
      </c>
      <c r="P105" s="367">
        <f t="shared" si="12"/>
        <v>1.0001181379067647</v>
      </c>
      <c r="Q105" s="369">
        <f t="shared" si="13"/>
        <v>11.210324207796926</v>
      </c>
    </row>
    <row r="106" spans="2:18" ht="15" customHeight="1" x14ac:dyDescent="0.2">
      <c r="B106" s="185">
        <v>10</v>
      </c>
      <c r="C106" s="200">
        <f t="shared" si="14"/>
        <v>205.62967391414662</v>
      </c>
      <c r="D106" s="200">
        <f t="shared" si="6"/>
        <v>181.95967391414661</v>
      </c>
      <c r="E106" s="197">
        <v>23.67</v>
      </c>
      <c r="F106" s="233">
        <f t="shared" si="15"/>
        <v>0.1151098455268794</v>
      </c>
      <c r="G106" s="458">
        <f t="shared" si="7"/>
        <v>25.1</v>
      </c>
      <c r="H106" s="459">
        <f t="shared" si="16"/>
        <v>-1.4299999999999997</v>
      </c>
      <c r="J106" s="496">
        <f t="shared" si="17"/>
        <v>0.11509999999999999</v>
      </c>
      <c r="K106" s="229">
        <f t="shared" si="8"/>
        <v>-9.8455268794095385E-6</v>
      </c>
      <c r="M106" s="496">
        <f t="shared" si="9"/>
        <v>1.1300837679626099</v>
      </c>
      <c r="N106" s="224">
        <f t="shared" si="10"/>
        <v>205.62967391414662</v>
      </c>
      <c r="O106" s="366">
        <f t="shared" si="11"/>
        <v>0</v>
      </c>
      <c r="P106" s="367">
        <f t="shared" si="12"/>
        <v>0.99991446842071285</v>
      </c>
      <c r="Q106" s="367">
        <f t="shared" si="13"/>
        <v>23.667975467518275</v>
      </c>
    </row>
    <row r="107" spans="2:18" ht="15" customHeight="1" x14ac:dyDescent="0.2">
      <c r="B107" s="185">
        <v>20</v>
      </c>
      <c r="C107" s="200">
        <f t="shared" si="14"/>
        <v>346.95242857142858</v>
      </c>
      <c r="D107" s="200">
        <f t="shared" si="6"/>
        <v>301.8314285714286</v>
      </c>
      <c r="E107" s="197">
        <v>45.121000000000002</v>
      </c>
      <c r="F107" s="233">
        <f t="shared" si="15"/>
        <v>0.13004952922734983</v>
      </c>
      <c r="G107" s="458">
        <f t="shared" si="7"/>
        <v>47.2</v>
      </c>
      <c r="H107" s="459">
        <f t="shared" si="16"/>
        <v>-2.0790000000000006</v>
      </c>
      <c r="J107" s="496">
        <f t="shared" si="17"/>
        <v>0.13</v>
      </c>
      <c r="K107" s="229">
        <f t="shared" si="8"/>
        <v>-4.952922734982601E-5</v>
      </c>
      <c r="M107" s="496">
        <f t="shared" si="9"/>
        <v>1.1494907280317301</v>
      </c>
      <c r="N107" s="224">
        <f t="shared" si="10"/>
        <v>346.95242857142864</v>
      </c>
      <c r="O107" s="366">
        <f t="shared" si="11"/>
        <v>0</v>
      </c>
      <c r="P107" s="367">
        <f t="shared" si="12"/>
        <v>0.99961915104465127</v>
      </c>
      <c r="Q107" s="367">
        <f t="shared" si="13"/>
        <v>45.103815714285709</v>
      </c>
    </row>
    <row r="108" spans="2:18" ht="15" customHeight="1" x14ac:dyDescent="0.2">
      <c r="B108" s="185">
        <v>30</v>
      </c>
      <c r="C108" s="200">
        <f>D108+E108</f>
        <v>477.46585714285715</v>
      </c>
      <c r="D108" s="200">
        <f t="shared" si="6"/>
        <v>415.40285714285716</v>
      </c>
      <c r="E108" s="197">
        <v>62.063000000000002</v>
      </c>
      <c r="F108" s="233">
        <f t="shared" si="15"/>
        <v>0.12998416341512528</v>
      </c>
      <c r="G108" s="458">
        <f t="shared" si="7"/>
        <v>65.2</v>
      </c>
      <c r="H108" s="459">
        <f t="shared" si="16"/>
        <v>-3.1370000000000005</v>
      </c>
      <c r="J108" s="496">
        <f t="shared" si="17"/>
        <v>0.13</v>
      </c>
      <c r="K108" s="229">
        <f t="shared" si="8"/>
        <v>1.5836584874723281E-5</v>
      </c>
      <c r="M108" s="496">
        <f t="shared" si="9"/>
        <v>1.1494043647818641</v>
      </c>
      <c r="N108" s="224">
        <f t="shared" si="10"/>
        <v>477.4658571428572</v>
      </c>
      <c r="O108" s="366">
        <f t="shared" si="11"/>
        <v>0</v>
      </c>
      <c r="P108" s="367">
        <f t="shared" si="12"/>
        <v>1.0001218347255438</v>
      </c>
      <c r="Q108" s="367">
        <f t="shared" si="13"/>
        <v>62.07056142857143</v>
      </c>
    </row>
    <row r="109" spans="2:18" ht="15" customHeight="1" x14ac:dyDescent="0.2">
      <c r="B109" s="185">
        <v>40</v>
      </c>
      <c r="C109" s="200">
        <f t="shared" si="14"/>
        <v>599.32842857142862</v>
      </c>
      <c r="D109" s="200">
        <f t="shared" si="6"/>
        <v>521.43142857142857</v>
      </c>
      <c r="E109" s="197">
        <v>77.897000000000006</v>
      </c>
      <c r="F109" s="233">
        <f t="shared" si="15"/>
        <v>0.12997381116339979</v>
      </c>
      <c r="G109" s="458">
        <f t="shared" si="7"/>
        <v>81.099999999999994</v>
      </c>
      <c r="H109" s="459">
        <f t="shared" si="16"/>
        <v>-3.2029999999999887</v>
      </c>
      <c r="J109" s="496">
        <f t="shared" si="17"/>
        <v>0.13</v>
      </c>
      <c r="K109" s="229">
        <f t="shared" si="8"/>
        <v>2.6188836600216092E-5</v>
      </c>
      <c r="M109" s="496">
        <f t="shared" si="9"/>
        <v>1.1493906882702014</v>
      </c>
      <c r="N109" s="224">
        <f t="shared" si="10"/>
        <v>599.32842857142862</v>
      </c>
      <c r="O109" s="366">
        <f t="shared" si="11"/>
        <v>0</v>
      </c>
      <c r="P109" s="367">
        <f t="shared" si="12"/>
        <v>1.0002014931805554</v>
      </c>
      <c r="Q109" s="367">
        <f t="shared" si="13"/>
        <v>77.912695714285732</v>
      </c>
    </row>
    <row r="110" spans="2:18" ht="15" customHeight="1" x14ac:dyDescent="0.2">
      <c r="B110" s="185">
        <v>50</v>
      </c>
      <c r="C110" s="199">
        <f t="shared" si="14"/>
        <v>711.19914285714276</v>
      </c>
      <c r="D110" s="199">
        <f t="shared" si="6"/>
        <v>618.71714285714279</v>
      </c>
      <c r="E110" s="197">
        <v>92.481999999999999</v>
      </c>
      <c r="F110" s="232">
        <f t="shared" si="15"/>
        <v>0.13003671465135144</v>
      </c>
      <c r="G110" s="460">
        <f t="shared" si="7"/>
        <v>95.5</v>
      </c>
      <c r="H110" s="461">
        <f t="shared" si="16"/>
        <v>-3.0180000000000007</v>
      </c>
      <c r="J110" s="497">
        <f t="shared" si="17"/>
        <v>0.13</v>
      </c>
      <c r="K110" s="230">
        <f t="shared" si="8"/>
        <v>-3.6714651351438254E-5</v>
      </c>
      <c r="M110" s="497">
        <f t="shared" si="9"/>
        <v>1.1494737960111012</v>
      </c>
      <c r="N110" s="225">
        <f t="shared" si="10"/>
        <v>711.19914285714276</v>
      </c>
      <c r="O110" s="366">
        <f t="shared" si="11"/>
        <v>0</v>
      </c>
      <c r="P110" s="367">
        <f t="shared" si="12"/>
        <v>0.99971765934374857</v>
      </c>
      <c r="Q110" s="369">
        <f t="shared" si="13"/>
        <v>92.455888571428559</v>
      </c>
    </row>
    <row r="111" spans="2:18" ht="15" customHeight="1" x14ac:dyDescent="0.2">
      <c r="K111" s="72"/>
    </row>
    <row r="112" spans="2:18" ht="15" customHeight="1" x14ac:dyDescent="0.2">
      <c r="K112" s="72"/>
    </row>
    <row r="113" spans="1:19" ht="15" customHeight="1" x14ac:dyDescent="0.2">
      <c r="A113" s="169" t="s">
        <v>157</v>
      </c>
      <c r="B113" s="143" t="s">
        <v>158</v>
      </c>
      <c r="I113" s="72"/>
    </row>
    <row r="114" spans="1:19" ht="15" customHeight="1" x14ac:dyDescent="0.2">
      <c r="A114" s="169"/>
      <c r="B114" s="54" t="s">
        <v>272</v>
      </c>
      <c r="I114" s="72"/>
    </row>
    <row r="115" spans="1:19" ht="15" customHeight="1" x14ac:dyDescent="0.2">
      <c r="A115" s="169"/>
      <c r="B115" s="54" t="s">
        <v>271</v>
      </c>
      <c r="I115" s="72"/>
    </row>
    <row r="116" spans="1:19" ht="15" customHeight="1" x14ac:dyDescent="0.2">
      <c r="A116" s="169"/>
      <c r="B116" s="54" t="s">
        <v>270</v>
      </c>
      <c r="I116" s="72"/>
    </row>
    <row r="117" spans="1:19" ht="15" customHeight="1" x14ac:dyDescent="0.2">
      <c r="A117" s="169"/>
      <c r="B117" s="54" t="s">
        <v>269</v>
      </c>
      <c r="I117" s="72"/>
    </row>
    <row r="118" spans="1:19" ht="15" customHeight="1" x14ac:dyDescent="0.2">
      <c r="A118" s="169"/>
      <c r="B118" s="54" t="s">
        <v>273</v>
      </c>
      <c r="I118" s="72"/>
    </row>
    <row r="119" spans="1:19" ht="15" customHeight="1" x14ac:dyDescent="0.2">
      <c r="A119" s="169"/>
      <c r="B119" s="54" t="s">
        <v>274</v>
      </c>
      <c r="I119" s="72"/>
    </row>
    <row r="120" spans="1:19" ht="15" customHeight="1" x14ac:dyDescent="0.2">
      <c r="B120" s="54" t="s">
        <v>275</v>
      </c>
      <c r="I120" s="72"/>
    </row>
    <row r="121" spans="1:19" ht="15" customHeight="1" x14ac:dyDescent="0.2">
      <c r="B121" s="54" t="s">
        <v>241</v>
      </c>
      <c r="I121" s="72"/>
    </row>
    <row r="122" spans="1:19" ht="15" customHeight="1" x14ac:dyDescent="0.2">
      <c r="I122" s="72"/>
      <c r="P122" s="387" t="s">
        <v>231</v>
      </c>
    </row>
    <row r="123" spans="1:19" ht="15" customHeight="1" x14ac:dyDescent="0.2">
      <c r="I123" s="72"/>
      <c r="M123" s="386" t="s">
        <v>229</v>
      </c>
    </row>
    <row r="124" spans="1:19" ht="15" customHeight="1" x14ac:dyDescent="0.2">
      <c r="D124" s="293" t="s">
        <v>240</v>
      </c>
      <c r="I124" s="72"/>
    </row>
    <row r="125" spans="1:19" ht="15" customHeight="1" x14ac:dyDescent="0.2">
      <c r="F125" s="72"/>
      <c r="G125" s="72"/>
      <c r="H125" s="72"/>
      <c r="I125" s="72"/>
      <c r="J125" s="439" t="s">
        <v>351</v>
      </c>
      <c r="K125" s="293"/>
      <c r="L125" s="293"/>
      <c r="M125" s="196" t="s">
        <v>276</v>
      </c>
      <c r="O125" s="72"/>
      <c r="P125" s="72"/>
      <c r="Q125" s="72"/>
    </row>
    <row r="126" spans="1:19" ht="15" customHeight="1" x14ac:dyDescent="0.2">
      <c r="B126" s="195"/>
      <c r="C126" s="170" t="s">
        <v>133</v>
      </c>
      <c r="D126" s="170" t="s">
        <v>133</v>
      </c>
      <c r="E126" s="284" t="s">
        <v>133</v>
      </c>
      <c r="F126" s="278" t="s">
        <v>133</v>
      </c>
      <c r="G126" s="278" t="s">
        <v>133</v>
      </c>
      <c r="H126" s="332" t="str">
        <f>J99</f>
        <v>stiff</v>
      </c>
      <c r="I126" s="196" t="s">
        <v>111</v>
      </c>
      <c r="J126" s="388" t="s">
        <v>180</v>
      </c>
      <c r="K126" s="388" t="s">
        <v>181</v>
      </c>
      <c r="L126" s="170" t="s">
        <v>50</v>
      </c>
      <c r="M126" s="196" t="s">
        <v>50</v>
      </c>
      <c r="O126" s="170" t="s">
        <v>111</v>
      </c>
      <c r="P126" s="170" t="s">
        <v>111</v>
      </c>
      <c r="Q126" s="284" t="s">
        <v>111</v>
      </c>
      <c r="R126" s="495" t="s">
        <v>374</v>
      </c>
      <c r="S126" s="482" t="s">
        <v>372</v>
      </c>
    </row>
    <row r="127" spans="1:19" ht="15" customHeight="1" x14ac:dyDescent="0.2">
      <c r="B127" s="195"/>
      <c r="C127" s="174" t="s">
        <v>117</v>
      </c>
      <c r="D127" s="163" t="s">
        <v>118</v>
      </c>
      <c r="E127" s="196" t="s">
        <v>109</v>
      </c>
      <c r="F127" s="183" t="s">
        <v>110</v>
      </c>
      <c r="G127" s="183" t="s">
        <v>112</v>
      </c>
      <c r="H127" s="332" t="s">
        <v>105</v>
      </c>
      <c r="I127" s="388" t="s">
        <v>232</v>
      </c>
      <c r="J127" s="388" t="s">
        <v>232</v>
      </c>
      <c r="K127" s="388" t="s">
        <v>239</v>
      </c>
      <c r="L127" s="174" t="s">
        <v>233</v>
      </c>
      <c r="M127" s="196" t="s">
        <v>232</v>
      </c>
      <c r="O127" s="174" t="s">
        <v>232</v>
      </c>
      <c r="P127" s="174" t="s">
        <v>233</v>
      </c>
      <c r="Q127" s="481" t="s">
        <v>118</v>
      </c>
      <c r="R127" s="483" t="s">
        <v>370</v>
      </c>
      <c r="S127" s="484" t="s">
        <v>112</v>
      </c>
    </row>
    <row r="128" spans="1:19" ht="15" customHeight="1" x14ac:dyDescent="0.2">
      <c r="B128" s="195" t="s">
        <v>39</v>
      </c>
      <c r="C128" s="192" t="s">
        <v>235</v>
      </c>
      <c r="D128" s="192" t="s">
        <v>235</v>
      </c>
      <c r="E128" s="192" t="s">
        <v>235</v>
      </c>
      <c r="F128" s="331" t="s">
        <v>130</v>
      </c>
      <c r="G128" s="331" t="s">
        <v>130</v>
      </c>
      <c r="H128" s="391" t="s">
        <v>235</v>
      </c>
      <c r="I128" s="192" t="s">
        <v>234</v>
      </c>
      <c r="J128" s="192" t="s">
        <v>238</v>
      </c>
      <c r="K128" s="192" t="s">
        <v>235</v>
      </c>
      <c r="L128" s="192" t="s">
        <v>238</v>
      </c>
      <c r="M128" s="192" t="s">
        <v>238</v>
      </c>
      <c r="O128" s="192" t="s">
        <v>234</v>
      </c>
      <c r="P128" s="192" t="s">
        <v>234</v>
      </c>
      <c r="Q128" s="285" t="s">
        <v>234</v>
      </c>
      <c r="R128" s="485" t="s">
        <v>371</v>
      </c>
      <c r="S128" s="486" t="s">
        <v>373</v>
      </c>
    </row>
    <row r="129" spans="1:23" ht="15" customHeight="1" x14ac:dyDescent="0.2">
      <c r="B129" s="185">
        <v>1</v>
      </c>
      <c r="C129" s="198">
        <f>(D129-J129)</f>
        <v>51.181636248825882</v>
      </c>
      <c r="D129" s="198">
        <f>(F129+G129+J129+K129+L129)</f>
        <v>120.18163624882588</v>
      </c>
      <c r="E129" s="198">
        <f>F129+G129</f>
        <v>30.381636248825888</v>
      </c>
      <c r="F129" s="198">
        <f t="shared" ref="F129:G138" si="18">D101</f>
        <v>29.773636248825888</v>
      </c>
      <c r="G129" s="254">
        <f t="shared" si="18"/>
        <v>0.60799999999999998</v>
      </c>
      <c r="H129" s="234">
        <f>G129/E129</f>
        <v>2.0012088717687036E-2</v>
      </c>
      <c r="I129" s="198">
        <f>O129</f>
        <v>73.8</v>
      </c>
      <c r="J129" s="320">
        <v>69</v>
      </c>
      <c r="K129" s="395">
        <f>I129-J129</f>
        <v>4.7999999999999972</v>
      </c>
      <c r="L129" s="320">
        <v>16</v>
      </c>
      <c r="M129" s="320">
        <v>73</v>
      </c>
      <c r="O129" s="389">
        <v>73.8</v>
      </c>
      <c r="P129" s="320">
        <v>13.9</v>
      </c>
      <c r="Q129" s="323">
        <v>119</v>
      </c>
      <c r="R129" s="487">
        <f>D129-Q129</f>
        <v>1.1816362488258818</v>
      </c>
      <c r="S129" s="488">
        <f>G129-G30</f>
        <v>-1.0920000000000001</v>
      </c>
    </row>
    <row r="130" spans="1:23" ht="15" customHeight="1" x14ac:dyDescent="0.2">
      <c r="B130" s="185">
        <v>2</v>
      </c>
      <c r="C130" s="199">
        <f t="shared" ref="C130:C138" si="19">(D130-J130)</f>
        <v>80.268628994956202</v>
      </c>
      <c r="D130" s="199">
        <f t="shared" ref="D130:D138" si="20">(F130+G130+J130+K130+L130)</f>
        <v>149.2686289949562</v>
      </c>
      <c r="E130" s="199">
        <f t="shared" ref="E130:E135" si="21">F130+G130</f>
        <v>59.668628994956215</v>
      </c>
      <c r="F130" s="199">
        <f t="shared" si="18"/>
        <v>57.282628994956212</v>
      </c>
      <c r="G130" s="255">
        <f t="shared" si="18"/>
        <v>2.3860000000000001</v>
      </c>
      <c r="H130" s="235">
        <f t="shared" ref="H130:H138" si="22">G130/E130</f>
        <v>3.9987511699015051E-2</v>
      </c>
      <c r="I130" s="199">
        <f t="shared" ref="I130:I138" si="23">O130</f>
        <v>73.599999999999994</v>
      </c>
      <c r="J130" s="321">
        <v>69</v>
      </c>
      <c r="K130" s="396">
        <f t="shared" ref="K130:K138" si="24">I130-J130</f>
        <v>4.5999999999999943</v>
      </c>
      <c r="L130" s="321">
        <v>16</v>
      </c>
      <c r="M130" s="321">
        <v>73</v>
      </c>
      <c r="O130" s="321">
        <v>73.599999999999994</v>
      </c>
      <c r="P130" s="321">
        <v>15.9</v>
      </c>
      <c r="Q130" s="324">
        <v>151</v>
      </c>
      <c r="R130" s="489">
        <f t="shared" ref="R130:R138" si="25">D130-Q130</f>
        <v>-1.7313710050437976</v>
      </c>
      <c r="S130" s="490">
        <f t="shared" ref="S130:S138" si="26">G130-G31</f>
        <v>-1.6139999999999999</v>
      </c>
    </row>
    <row r="131" spans="1:23" ht="15" customHeight="1" x14ac:dyDescent="0.2">
      <c r="B131" s="185">
        <v>3</v>
      </c>
      <c r="C131" s="200">
        <f t="shared" si="19"/>
        <v>104.87922095492178</v>
      </c>
      <c r="D131" s="200">
        <f t="shared" si="20"/>
        <v>173.87922095492178</v>
      </c>
      <c r="E131" s="200">
        <f t="shared" si="21"/>
        <v>84.579220954921794</v>
      </c>
      <c r="F131" s="200">
        <f t="shared" si="18"/>
        <v>79.677220954921793</v>
      </c>
      <c r="G131" s="256">
        <f t="shared" si="18"/>
        <v>4.9020000000000001</v>
      </c>
      <c r="H131" s="236">
        <f t="shared" si="22"/>
        <v>5.79574976531484E-2</v>
      </c>
      <c r="I131" s="200">
        <f t="shared" si="23"/>
        <v>73.3</v>
      </c>
      <c r="J131" s="322">
        <v>69</v>
      </c>
      <c r="K131" s="397">
        <f t="shared" si="24"/>
        <v>4.2999999999999972</v>
      </c>
      <c r="L131" s="322">
        <v>16</v>
      </c>
      <c r="M131" s="322">
        <v>73</v>
      </c>
      <c r="O131" s="322">
        <v>73.3</v>
      </c>
      <c r="P131" s="322">
        <v>17.399999999999999</v>
      </c>
      <c r="Q131" s="325">
        <v>177</v>
      </c>
      <c r="R131" s="491">
        <f t="shared" si="25"/>
        <v>-3.1207790450782227</v>
      </c>
      <c r="S131" s="492">
        <f t="shared" si="26"/>
        <v>-1.8979999999999997</v>
      </c>
    </row>
    <row r="132" spans="1:23" ht="15" customHeight="1" x14ac:dyDescent="0.2">
      <c r="B132" s="185">
        <v>4</v>
      </c>
      <c r="C132" s="200">
        <f t="shared" si="19"/>
        <v>126.37215096573553</v>
      </c>
      <c r="D132" s="200">
        <f t="shared" si="20"/>
        <v>195.37215096573553</v>
      </c>
      <c r="E132" s="200">
        <f t="shared" si="21"/>
        <v>105.97215096573552</v>
      </c>
      <c r="F132" s="200">
        <f t="shared" si="18"/>
        <v>98.014150965735524</v>
      </c>
      <c r="G132" s="256">
        <f t="shared" si="18"/>
        <v>7.9580000000000002</v>
      </c>
      <c r="H132" s="236">
        <f t="shared" si="22"/>
        <v>7.5095201215393828E-2</v>
      </c>
      <c r="I132" s="200">
        <f t="shared" si="23"/>
        <v>73.400000000000006</v>
      </c>
      <c r="J132" s="322">
        <v>69</v>
      </c>
      <c r="K132" s="397">
        <f t="shared" si="24"/>
        <v>4.4000000000000057</v>
      </c>
      <c r="L132" s="322">
        <v>16</v>
      </c>
      <c r="M132" s="322">
        <v>73</v>
      </c>
      <c r="O132" s="322">
        <v>73.400000000000006</v>
      </c>
      <c r="P132" s="322">
        <v>16.8</v>
      </c>
      <c r="Q132" s="325">
        <v>196</v>
      </c>
      <c r="R132" s="491">
        <f t="shared" si="25"/>
        <v>-0.62784903426447158</v>
      </c>
      <c r="S132" s="492">
        <f t="shared" si="26"/>
        <v>-1.4420000000000002</v>
      </c>
    </row>
    <row r="133" spans="1:23" ht="15" customHeight="1" x14ac:dyDescent="0.2">
      <c r="B133" s="185">
        <v>5</v>
      </c>
      <c r="C133" s="199">
        <f t="shared" si="19"/>
        <v>144.95915786441029</v>
      </c>
      <c r="D133" s="199">
        <f t="shared" si="20"/>
        <v>213.95915786441029</v>
      </c>
      <c r="E133" s="199">
        <f t="shared" si="21"/>
        <v>124.5591578644103</v>
      </c>
      <c r="F133" s="199">
        <f t="shared" si="18"/>
        <v>113.35015786441029</v>
      </c>
      <c r="G133" s="255">
        <f t="shared" si="18"/>
        <v>11.209</v>
      </c>
      <c r="H133" s="235">
        <f t="shared" si="22"/>
        <v>8.9989368844333645E-2</v>
      </c>
      <c r="I133" s="199">
        <f t="shared" si="23"/>
        <v>73.400000000000006</v>
      </c>
      <c r="J133" s="321">
        <v>69</v>
      </c>
      <c r="K133" s="396">
        <f t="shared" si="24"/>
        <v>4.4000000000000057</v>
      </c>
      <c r="L133" s="321">
        <v>16</v>
      </c>
      <c r="M133" s="321">
        <v>73</v>
      </c>
      <c r="O133" s="321">
        <v>73.400000000000006</v>
      </c>
      <c r="P133" s="321">
        <v>17.100000000000001</v>
      </c>
      <c r="Q133" s="324">
        <v>216</v>
      </c>
      <c r="R133" s="489">
        <f t="shared" si="25"/>
        <v>-2.0408421355897133</v>
      </c>
      <c r="S133" s="490">
        <f t="shared" si="26"/>
        <v>-0.89100000000000001</v>
      </c>
    </row>
    <row r="134" spans="1:23" ht="15" customHeight="1" x14ac:dyDescent="0.2">
      <c r="B134" s="185">
        <v>10</v>
      </c>
      <c r="C134" s="200">
        <f t="shared" si="19"/>
        <v>226.12967391414662</v>
      </c>
      <c r="D134" s="200">
        <f t="shared" si="20"/>
        <v>295.12967391414662</v>
      </c>
      <c r="E134" s="200">
        <f t="shared" si="21"/>
        <v>205.62967391414662</v>
      </c>
      <c r="F134" s="200">
        <f t="shared" si="18"/>
        <v>181.95967391414661</v>
      </c>
      <c r="G134" s="256">
        <f t="shared" si="18"/>
        <v>23.67</v>
      </c>
      <c r="H134" s="236">
        <f t="shared" si="22"/>
        <v>0.1151098455268794</v>
      </c>
      <c r="I134" s="200">
        <f t="shared" si="23"/>
        <v>73.5</v>
      </c>
      <c r="J134" s="322">
        <v>69</v>
      </c>
      <c r="K134" s="397">
        <f t="shared" si="24"/>
        <v>4.5</v>
      </c>
      <c r="L134" s="322">
        <v>16</v>
      </c>
      <c r="M134" s="322">
        <v>73</v>
      </c>
      <c r="O134" s="322">
        <v>73.5</v>
      </c>
      <c r="P134" s="322">
        <v>15.4</v>
      </c>
      <c r="Q134" s="325">
        <v>296</v>
      </c>
      <c r="R134" s="491">
        <f t="shared" si="25"/>
        <v>-0.87032608585337812</v>
      </c>
      <c r="S134" s="492">
        <f t="shared" si="26"/>
        <v>-1.4299999999999997</v>
      </c>
    </row>
    <row r="135" spans="1:23" ht="15" customHeight="1" x14ac:dyDescent="0.2">
      <c r="B135" s="185">
        <v>20</v>
      </c>
      <c r="C135" s="200">
        <f t="shared" si="19"/>
        <v>367.45242857142858</v>
      </c>
      <c r="D135" s="200">
        <f t="shared" si="20"/>
        <v>436.45242857142858</v>
      </c>
      <c r="E135" s="200">
        <f t="shared" si="21"/>
        <v>346.95242857142858</v>
      </c>
      <c r="F135" s="200">
        <f t="shared" si="18"/>
        <v>301.8314285714286</v>
      </c>
      <c r="G135" s="256">
        <f t="shared" si="18"/>
        <v>45.121000000000002</v>
      </c>
      <c r="H135" s="236">
        <f t="shared" si="22"/>
        <v>0.13004952922734983</v>
      </c>
      <c r="I135" s="200">
        <f t="shared" si="23"/>
        <v>73.5</v>
      </c>
      <c r="J135" s="322">
        <v>69</v>
      </c>
      <c r="K135" s="397">
        <f t="shared" si="24"/>
        <v>4.5</v>
      </c>
      <c r="L135" s="322">
        <v>16</v>
      </c>
      <c r="M135" s="322">
        <v>73</v>
      </c>
      <c r="O135" s="322">
        <v>73.5</v>
      </c>
      <c r="P135" s="322">
        <v>13.9</v>
      </c>
      <c r="Q135" s="325">
        <v>436</v>
      </c>
      <c r="R135" s="491">
        <f t="shared" si="25"/>
        <v>0.45242857142858384</v>
      </c>
      <c r="S135" s="492">
        <f t="shared" si="26"/>
        <v>-2.0790000000000006</v>
      </c>
    </row>
    <row r="136" spans="1:23" ht="15" customHeight="1" x14ac:dyDescent="0.2">
      <c r="B136" s="185">
        <v>30</v>
      </c>
      <c r="C136" s="200">
        <f t="shared" si="19"/>
        <v>498.26585714285716</v>
      </c>
      <c r="D136" s="200">
        <f t="shared" si="20"/>
        <v>567.26585714285716</v>
      </c>
      <c r="E136" s="200">
        <f>F136+G136</f>
        <v>477.46585714285715</v>
      </c>
      <c r="F136" s="200">
        <f t="shared" si="18"/>
        <v>415.40285714285716</v>
      </c>
      <c r="G136" s="256">
        <f t="shared" si="18"/>
        <v>62.063000000000002</v>
      </c>
      <c r="H136" s="236">
        <f t="shared" si="22"/>
        <v>0.12998416341512528</v>
      </c>
      <c r="I136" s="200">
        <f t="shared" si="23"/>
        <v>73.8</v>
      </c>
      <c r="J136" s="322">
        <v>69</v>
      </c>
      <c r="K136" s="397">
        <f t="shared" si="24"/>
        <v>4.7999999999999972</v>
      </c>
      <c r="L136" s="322">
        <v>16</v>
      </c>
      <c r="M136" s="322">
        <v>73</v>
      </c>
      <c r="O136" s="322">
        <v>73.8</v>
      </c>
      <c r="P136" s="322">
        <v>11.1</v>
      </c>
      <c r="Q136" s="325">
        <v>566</v>
      </c>
      <c r="R136" s="491">
        <f t="shared" si="25"/>
        <v>1.2658571428571577</v>
      </c>
      <c r="S136" s="492">
        <f t="shared" si="26"/>
        <v>-3.1370000000000005</v>
      </c>
    </row>
    <row r="137" spans="1:23" ht="15" customHeight="1" x14ac:dyDescent="0.2">
      <c r="B137" s="185">
        <v>40</v>
      </c>
      <c r="C137" s="200">
        <f t="shared" si="19"/>
        <v>620.62842857142857</v>
      </c>
      <c r="D137" s="200">
        <f t="shared" si="20"/>
        <v>689.62842857142857</v>
      </c>
      <c r="E137" s="200">
        <f t="shared" ref="E137:E138" si="27">F137+G137</f>
        <v>599.32842857142862</v>
      </c>
      <c r="F137" s="200">
        <f t="shared" si="18"/>
        <v>521.43142857142857</v>
      </c>
      <c r="G137" s="256">
        <f t="shared" si="18"/>
        <v>77.897000000000006</v>
      </c>
      <c r="H137" s="236">
        <f t="shared" si="22"/>
        <v>0.12997381116339979</v>
      </c>
      <c r="I137" s="200">
        <f t="shared" si="23"/>
        <v>74.3</v>
      </c>
      <c r="J137" s="322">
        <v>69</v>
      </c>
      <c r="K137" s="397">
        <f t="shared" si="24"/>
        <v>5.2999999999999972</v>
      </c>
      <c r="L137" s="322">
        <v>16</v>
      </c>
      <c r="M137" s="322">
        <v>74</v>
      </c>
      <c r="O137" s="322">
        <v>74.3</v>
      </c>
      <c r="P137" s="322">
        <v>10.6</v>
      </c>
      <c r="Q137" s="325">
        <v>687</v>
      </c>
      <c r="R137" s="491">
        <f t="shared" si="25"/>
        <v>2.6284285714285716</v>
      </c>
      <c r="S137" s="492">
        <f t="shared" si="26"/>
        <v>-3.2029999999999887</v>
      </c>
    </row>
    <row r="138" spans="1:23" ht="15" customHeight="1" x14ac:dyDescent="0.2">
      <c r="B138" s="185">
        <v>50</v>
      </c>
      <c r="C138" s="199">
        <f t="shared" si="19"/>
        <v>733.59914285714274</v>
      </c>
      <c r="D138" s="199">
        <f t="shared" si="20"/>
        <v>802.59914285714274</v>
      </c>
      <c r="E138" s="199">
        <f t="shared" si="27"/>
        <v>711.19914285714276</v>
      </c>
      <c r="F138" s="199">
        <f t="shared" si="18"/>
        <v>618.71714285714279</v>
      </c>
      <c r="G138" s="255">
        <f t="shared" si="18"/>
        <v>92.481999999999999</v>
      </c>
      <c r="H138" s="235">
        <f t="shared" si="22"/>
        <v>0.13003671465135144</v>
      </c>
      <c r="I138" s="199">
        <f t="shared" si="23"/>
        <v>75.400000000000006</v>
      </c>
      <c r="J138" s="321">
        <v>69</v>
      </c>
      <c r="K138" s="396">
        <f t="shared" si="24"/>
        <v>6.4000000000000057</v>
      </c>
      <c r="L138" s="321">
        <v>16</v>
      </c>
      <c r="M138" s="321">
        <v>75</v>
      </c>
      <c r="O138" s="321">
        <v>75.400000000000006</v>
      </c>
      <c r="P138" s="321">
        <v>13.3</v>
      </c>
      <c r="Q138" s="324">
        <v>803</v>
      </c>
      <c r="R138" s="493">
        <f t="shared" si="25"/>
        <v>-0.40085714285726226</v>
      </c>
      <c r="S138" s="494">
        <f t="shared" si="26"/>
        <v>-3.0180000000000007</v>
      </c>
    </row>
    <row r="139" spans="1:23" ht="15" customHeight="1" x14ac:dyDescent="0.2">
      <c r="I139" s="72"/>
    </row>
    <row r="140" spans="1:23" ht="15" customHeight="1" x14ac:dyDescent="0.2">
      <c r="I140" s="72"/>
      <c r="P140" s="513">
        <f>SUM(P129:P133)/5</f>
        <v>16.22</v>
      </c>
      <c r="Q140" s="510" t="s">
        <v>389</v>
      </c>
    </row>
    <row r="141" spans="1:23" x14ac:dyDescent="0.2">
      <c r="A141" s="169" t="s">
        <v>159</v>
      </c>
      <c r="B141" s="143" t="s">
        <v>160</v>
      </c>
      <c r="I141" s="72"/>
    </row>
    <row r="142" spans="1:23" ht="15" customHeight="1" x14ac:dyDescent="0.2">
      <c r="Q142" s="50" t="s">
        <v>247</v>
      </c>
    </row>
    <row r="143" spans="1:23" ht="15" customHeight="1" x14ac:dyDescent="0.2">
      <c r="B143" s="169" t="s">
        <v>168</v>
      </c>
      <c r="C143" s="83"/>
      <c r="I143" s="72"/>
      <c r="W143" t="s">
        <v>254</v>
      </c>
    </row>
    <row r="144" spans="1:23" ht="15" customHeight="1" x14ac:dyDescent="0.2">
      <c r="B144" s="143" t="s">
        <v>169</v>
      </c>
      <c r="C144" s="83"/>
      <c r="D144" s="83"/>
      <c r="E144" s="83"/>
      <c r="F144" s="83"/>
      <c r="G144" s="83"/>
      <c r="H144" s="83"/>
      <c r="I144" s="83"/>
      <c r="J144" s="83"/>
      <c r="K144" s="83"/>
      <c r="L144" s="83"/>
      <c r="Q144" s="54" t="s">
        <v>245</v>
      </c>
    </row>
    <row r="145" spans="2:30" ht="15" customHeight="1" x14ac:dyDescent="0.2">
      <c r="B145" s="169" t="s">
        <v>170</v>
      </c>
      <c r="C145" s="83"/>
      <c r="D145" s="83"/>
      <c r="E145" s="83"/>
      <c r="F145" s="385" t="s">
        <v>230</v>
      </c>
      <c r="G145" s="83"/>
      <c r="H145" s="83"/>
      <c r="I145" s="54" t="s">
        <v>62</v>
      </c>
      <c r="J145" s="83"/>
      <c r="K145" s="83"/>
      <c r="Q145" s="54" t="s">
        <v>246</v>
      </c>
    </row>
    <row r="146" spans="2:30" ht="15" customHeight="1" x14ac:dyDescent="0.2">
      <c r="D146" s="118"/>
      <c r="H146" s="59" t="s">
        <v>23</v>
      </c>
      <c r="I146" s="60"/>
      <c r="J146" s="60"/>
      <c r="K146" s="61"/>
      <c r="L146" s="59" t="s">
        <v>29</v>
      </c>
      <c r="M146" s="60"/>
      <c r="N146" s="61"/>
      <c r="O146" s="163"/>
      <c r="P146" s="170" t="s">
        <v>133</v>
      </c>
      <c r="Q146" t="s">
        <v>194</v>
      </c>
    </row>
    <row r="147" spans="2:30" ht="15" customHeight="1" x14ac:dyDescent="0.2">
      <c r="C147" s="84"/>
      <c r="D147" s="119"/>
      <c r="F147" s="383" t="s">
        <v>161</v>
      </c>
      <c r="G147" s="380" t="s">
        <v>196</v>
      </c>
      <c r="H147" s="35" t="s">
        <v>24</v>
      </c>
      <c r="I147" s="238" t="s">
        <v>104</v>
      </c>
      <c r="J147" s="21"/>
      <c r="K147" s="22"/>
      <c r="L147" s="35" t="s">
        <v>30</v>
      </c>
      <c r="M147" s="238" t="s">
        <v>117</v>
      </c>
      <c r="N147" s="43"/>
      <c r="O147" s="163"/>
      <c r="P147" s="174" t="s">
        <v>117</v>
      </c>
      <c r="Q147" s="333" t="e">
        <f>P147/M147</f>
        <v>#DIV/0!</v>
      </c>
      <c r="R147" s="333" t="e">
        <f>G147*Q147</f>
        <v>#DIV/0!</v>
      </c>
      <c r="S147" s="346" t="s">
        <v>207</v>
      </c>
      <c r="W147" t="s">
        <v>251</v>
      </c>
      <c r="Y147" t="s">
        <v>252</v>
      </c>
      <c r="AA147" t="s">
        <v>253</v>
      </c>
    </row>
    <row r="148" spans="2:30" ht="15" customHeight="1" x14ac:dyDescent="0.2">
      <c r="B148" s="335" t="s">
        <v>15</v>
      </c>
      <c r="C148" s="336"/>
      <c r="D148" s="337"/>
      <c r="E148" s="382" t="s">
        <v>39</v>
      </c>
      <c r="F148" s="384" t="s">
        <v>61</v>
      </c>
      <c r="G148" s="381" t="s">
        <v>197</v>
      </c>
      <c r="H148" s="37" t="s">
        <v>25</v>
      </c>
      <c r="I148" s="38" t="s">
        <v>27</v>
      </c>
      <c r="J148" s="1"/>
      <c r="K148" s="39"/>
      <c r="L148" s="37" t="s">
        <v>31</v>
      </c>
      <c r="M148" s="38" t="s">
        <v>33</v>
      </c>
      <c r="N148" s="25"/>
      <c r="O148" s="163" t="s">
        <v>39</v>
      </c>
      <c r="P148" s="192" t="s">
        <v>131</v>
      </c>
      <c r="Q148" s="344" t="s">
        <v>192</v>
      </c>
      <c r="R148" s="344" t="s">
        <v>193</v>
      </c>
      <c r="W148" t="s">
        <v>248</v>
      </c>
      <c r="Y148" t="s">
        <v>249</v>
      </c>
      <c r="AA148" t="s">
        <v>250</v>
      </c>
    </row>
    <row r="149" spans="2:30" ht="15" customHeight="1" x14ac:dyDescent="0.2">
      <c r="B149" s="338" t="s">
        <v>16</v>
      </c>
      <c r="C149" s="24" t="s">
        <v>19</v>
      </c>
      <c r="D149" s="339">
        <v>2.46</v>
      </c>
      <c r="E149" s="334">
        <v>1</v>
      </c>
      <c r="F149" s="328">
        <v>1.374510155469604</v>
      </c>
      <c r="G149" s="201">
        <v>1.3888371862908135</v>
      </c>
      <c r="H149" s="62">
        <f>(D150*2.20462*25.4*12)</f>
        <v>3124.6520184000001</v>
      </c>
      <c r="I149" s="14">
        <f>F149*D$149*SQRT(4*D$151*H$149/32.2)/12</f>
        <v>51.181636248825889</v>
      </c>
      <c r="J149" s="1"/>
      <c r="K149" s="39"/>
      <c r="L149" s="175">
        <v>1</v>
      </c>
      <c r="M149" s="171">
        <f>L149*I149</f>
        <v>51.181636248825889</v>
      </c>
      <c r="N149" s="25"/>
      <c r="O149" s="163">
        <v>1</v>
      </c>
      <c r="P149" s="171">
        <f>C129</f>
        <v>51.181636248825882</v>
      </c>
      <c r="Q149" s="333">
        <v>0.98968415379237284</v>
      </c>
      <c r="R149" s="333">
        <v>1.374510155469604</v>
      </c>
      <c r="S149" s="346" t="s">
        <v>215</v>
      </c>
      <c r="W149" s="58">
        <v>1</v>
      </c>
      <c r="X149" s="328">
        <v>1.2719377964304703</v>
      </c>
      <c r="Y149" s="334">
        <v>1</v>
      </c>
      <c r="Z149" s="328">
        <v>1.214204604920285</v>
      </c>
      <c r="AA149" s="334">
        <v>1</v>
      </c>
      <c r="AB149" s="328">
        <v>1.0520690888441584</v>
      </c>
    </row>
    <row r="150" spans="2:30" ht="15" customHeight="1" x14ac:dyDescent="0.2">
      <c r="B150" s="338" t="s">
        <v>17</v>
      </c>
      <c r="C150" s="24" t="s">
        <v>20</v>
      </c>
      <c r="D150" s="339">
        <v>4.6500000000000004</v>
      </c>
      <c r="E150" s="334">
        <v>2</v>
      </c>
      <c r="F150" s="329">
        <v>1.0778284342337745</v>
      </c>
      <c r="G150" s="202">
        <v>1.0342004042915363</v>
      </c>
      <c r="H150" s="63"/>
      <c r="I150" s="14">
        <f t="shared" ref="I150:I158" si="28">F150*D$149*SQRT(4*D$151*H$149/32.2)/12</f>
        <v>40.134314497478094</v>
      </c>
      <c r="J150" s="1"/>
      <c r="K150" s="39"/>
      <c r="L150" s="176">
        <v>2</v>
      </c>
      <c r="M150" s="172">
        <f>L150*I150</f>
        <v>80.268628994956188</v>
      </c>
      <c r="N150" s="25"/>
      <c r="O150" s="163">
        <v>2</v>
      </c>
      <c r="P150" s="172">
        <f t="shared" ref="P150:P158" si="29">C130</f>
        <v>80.268628994956202</v>
      </c>
      <c r="Q150" s="333">
        <v>1.0421852764330768</v>
      </c>
      <c r="R150" s="333">
        <v>1.0778284342337745</v>
      </c>
      <c r="S150" s="346" t="s">
        <v>216</v>
      </c>
      <c r="W150" s="58">
        <v>2</v>
      </c>
      <c r="X150" s="329">
        <v>0.96145357598157333</v>
      </c>
      <c r="Y150" s="334">
        <v>2</v>
      </c>
      <c r="Z150" s="329">
        <v>0.94178558278660662</v>
      </c>
      <c r="AA150" s="334">
        <v>2</v>
      </c>
      <c r="AB150" s="329">
        <v>0.81696163592350124</v>
      </c>
    </row>
    <row r="151" spans="2:30" ht="15" customHeight="1" x14ac:dyDescent="0.2">
      <c r="B151" s="340" t="s">
        <v>18</v>
      </c>
      <c r="C151" s="341" t="s">
        <v>28</v>
      </c>
      <c r="D151" s="342">
        <v>85</v>
      </c>
      <c r="E151" s="334">
        <v>3</v>
      </c>
      <c r="F151" s="328">
        <v>0.93886248314688914</v>
      </c>
      <c r="G151" s="201">
        <v>0.89719463247261089</v>
      </c>
      <c r="H151" s="63"/>
      <c r="I151" s="14">
        <f t="shared" si="28"/>
        <v>34.959740318307261</v>
      </c>
      <c r="J151" s="1"/>
      <c r="K151" s="39"/>
      <c r="L151" s="177">
        <v>3</v>
      </c>
      <c r="M151" s="173">
        <f t="shared" ref="M151:M157" si="30">L151*I151</f>
        <v>104.87922095492178</v>
      </c>
      <c r="N151" s="25"/>
      <c r="O151" s="163">
        <v>3</v>
      </c>
      <c r="P151" s="173">
        <f t="shared" si="29"/>
        <v>104.87922095492178</v>
      </c>
      <c r="Q151" s="333">
        <v>1.0464423762316146</v>
      </c>
      <c r="R151" s="333">
        <v>0.93886248314688914</v>
      </c>
      <c r="W151" s="58">
        <v>3</v>
      </c>
      <c r="X151" s="328">
        <v>0.82946548223307215</v>
      </c>
      <c r="Y151" s="334">
        <v>3</v>
      </c>
      <c r="Z151" s="328">
        <v>0.83143438654578949</v>
      </c>
      <c r="AA151" s="334">
        <v>3</v>
      </c>
      <c r="AB151" s="328">
        <v>0.71089158053897417</v>
      </c>
    </row>
    <row r="152" spans="2:30" ht="15" customHeight="1" x14ac:dyDescent="0.2">
      <c r="E152" s="58">
        <v>4</v>
      </c>
      <c r="F152" s="328">
        <v>0.84844788874313337</v>
      </c>
      <c r="G152" s="201">
        <v>0.81785549927044798</v>
      </c>
      <c r="H152" s="63"/>
      <c r="I152" s="14">
        <f t="shared" si="28"/>
        <v>31.593037741433879</v>
      </c>
      <c r="J152" s="1"/>
      <c r="K152" s="39"/>
      <c r="L152" s="177">
        <v>4</v>
      </c>
      <c r="M152" s="173">
        <f t="shared" si="30"/>
        <v>126.37215096573551</v>
      </c>
      <c r="N152" s="25"/>
      <c r="O152" s="163">
        <v>4</v>
      </c>
      <c r="P152" s="173">
        <f t="shared" si="29"/>
        <v>126.37215096573553</v>
      </c>
      <c r="Q152" s="333">
        <v>1.0374056168846144</v>
      </c>
      <c r="R152" s="333">
        <v>0.84844788874313337</v>
      </c>
      <c r="W152" s="58">
        <v>4</v>
      </c>
      <c r="X152" s="328">
        <v>0.74932421258594284</v>
      </c>
      <c r="Y152" s="58">
        <v>4</v>
      </c>
      <c r="Z152" s="328">
        <v>0.76534004310976567</v>
      </c>
      <c r="AA152" s="58">
        <v>4</v>
      </c>
      <c r="AB152" s="328">
        <v>0.64386512626185421</v>
      </c>
    </row>
    <row r="153" spans="2:30" ht="15" customHeight="1" x14ac:dyDescent="0.2">
      <c r="B153" s="347" t="s">
        <v>209</v>
      </c>
      <c r="E153" s="58">
        <v>5</v>
      </c>
      <c r="F153" s="329">
        <v>0.77859110890587913</v>
      </c>
      <c r="G153" s="202">
        <v>0.76262465808846736</v>
      </c>
      <c r="H153" s="63"/>
      <c r="I153" s="14">
        <f t="shared" si="28"/>
        <v>28.991831572882052</v>
      </c>
      <c r="J153" s="1"/>
      <c r="K153" s="39"/>
      <c r="L153" s="176">
        <v>5</v>
      </c>
      <c r="M153" s="172">
        <f t="shared" si="30"/>
        <v>144.95915786441026</v>
      </c>
      <c r="N153" s="25"/>
      <c r="O153" s="163">
        <v>5</v>
      </c>
      <c r="P153" s="172">
        <f t="shared" si="29"/>
        <v>144.95915786441029</v>
      </c>
      <c r="Q153" s="333">
        <v>1.0209361848559053</v>
      </c>
      <c r="R153" s="333">
        <v>0.77859110890587913</v>
      </c>
      <c r="W153" s="58">
        <v>5</v>
      </c>
      <c r="X153" s="329">
        <v>0.69127712745711423</v>
      </c>
      <c r="Y153" s="58">
        <v>5</v>
      </c>
      <c r="Z153" s="329">
        <v>0.71786624837291457</v>
      </c>
      <c r="AA153" s="58">
        <v>5</v>
      </c>
      <c r="AB153" s="329">
        <v>0.59470835295325186</v>
      </c>
    </row>
    <row r="154" spans="2:30" ht="15" customHeight="1" x14ac:dyDescent="0.2">
      <c r="B154" s="85" t="s">
        <v>208</v>
      </c>
      <c r="E154" s="58">
        <v>10</v>
      </c>
      <c r="F154" s="328">
        <v>0.6072833071161432</v>
      </c>
      <c r="G154" s="201">
        <v>0.60019353355614069</v>
      </c>
      <c r="H154" s="63"/>
      <c r="I154" s="14">
        <f t="shared" si="28"/>
        <v>22.612967391414667</v>
      </c>
      <c r="J154" s="1"/>
      <c r="K154" s="39"/>
      <c r="L154" s="177">
        <v>10</v>
      </c>
      <c r="M154" s="173">
        <f t="shared" si="30"/>
        <v>226.12967391414668</v>
      </c>
      <c r="N154" s="25"/>
      <c r="O154" s="163">
        <v>10</v>
      </c>
      <c r="P154" s="173">
        <f t="shared" si="29"/>
        <v>226.12967391414662</v>
      </c>
      <c r="Q154" s="333">
        <v>1.0118124790815317</v>
      </c>
      <c r="R154" s="333">
        <v>0.6072833071161432</v>
      </c>
      <c r="W154" s="58">
        <v>10</v>
      </c>
      <c r="X154" s="328">
        <v>0.53698545571268352</v>
      </c>
      <c r="Y154" s="58">
        <v>10</v>
      </c>
      <c r="Z154" s="328">
        <v>0.57439876697917092</v>
      </c>
      <c r="AA154" s="58">
        <v>10</v>
      </c>
      <c r="AB154" s="328">
        <v>0.47969906728214473</v>
      </c>
    </row>
    <row r="155" spans="2:30" ht="15" customHeight="1" x14ac:dyDescent="0.2">
      <c r="E155" s="58">
        <v>20</v>
      </c>
      <c r="F155" s="328">
        <v>0.49340655334654737</v>
      </c>
      <c r="G155" s="201">
        <v>0.47690914197366402</v>
      </c>
      <c r="H155" s="63"/>
      <c r="I155" s="14">
        <f t="shared" si="28"/>
        <v>18.372621428571431</v>
      </c>
      <c r="J155" s="1"/>
      <c r="K155" s="39"/>
      <c r="L155" s="177">
        <v>20</v>
      </c>
      <c r="M155" s="173">
        <f t="shared" si="30"/>
        <v>367.45242857142864</v>
      </c>
      <c r="N155" s="25"/>
      <c r="O155" s="163">
        <v>20</v>
      </c>
      <c r="P155" s="173">
        <f t="shared" si="29"/>
        <v>367.45242857142858</v>
      </c>
      <c r="Q155" s="333">
        <v>1.0345923571618059</v>
      </c>
      <c r="R155" s="333">
        <v>0.49340655334654737</v>
      </c>
      <c r="W155" s="58">
        <v>20</v>
      </c>
      <c r="X155" s="328">
        <v>0.43470787984188836</v>
      </c>
      <c r="Y155" s="58">
        <v>20</v>
      </c>
      <c r="Z155" s="328">
        <v>0.47089010691917027</v>
      </c>
      <c r="AA155" s="58">
        <v>20</v>
      </c>
      <c r="AB155" s="328">
        <v>0.39728546236880097</v>
      </c>
    </row>
    <row r="156" spans="2:30" ht="15" customHeight="1" x14ac:dyDescent="0.2">
      <c r="E156" s="58">
        <v>30</v>
      </c>
      <c r="F156" s="328">
        <v>0.44603985007242059</v>
      </c>
      <c r="G156" s="201">
        <v>0.42394668757173437</v>
      </c>
      <c r="H156" s="63"/>
      <c r="I156" s="14">
        <f t="shared" si="28"/>
        <v>16.608861904761902</v>
      </c>
      <c r="J156" s="1"/>
      <c r="K156" s="39"/>
      <c r="L156" s="177">
        <v>30</v>
      </c>
      <c r="M156" s="173">
        <f>L156*I156</f>
        <v>498.26585714285704</v>
      </c>
      <c r="N156" s="25"/>
      <c r="O156" s="163">
        <v>30</v>
      </c>
      <c r="P156" s="173">
        <f t="shared" si="29"/>
        <v>498.26585714285716</v>
      </c>
      <c r="Q156" s="333">
        <v>1.0521130678652795</v>
      </c>
      <c r="R156" s="333">
        <v>0.44603985007242059</v>
      </c>
      <c r="W156" s="58">
        <v>30</v>
      </c>
      <c r="X156" s="328">
        <v>0.38179437755434958</v>
      </c>
      <c r="Y156" s="58">
        <v>30</v>
      </c>
      <c r="Z156" s="328">
        <v>0.41902719697489649</v>
      </c>
      <c r="AA156" s="58">
        <v>30</v>
      </c>
      <c r="AB156" s="328">
        <v>0.35234672795609262</v>
      </c>
    </row>
    <row r="157" spans="2:30" ht="15" customHeight="1" x14ac:dyDescent="0.2">
      <c r="E157" s="58">
        <v>40</v>
      </c>
      <c r="F157" s="328">
        <v>0.41668269147224635</v>
      </c>
      <c r="G157" s="201">
        <v>0.38953324298813469</v>
      </c>
      <c r="H157" s="63"/>
      <c r="I157" s="14">
        <f t="shared" si="28"/>
        <v>15.515710714285712</v>
      </c>
      <c r="J157" s="1"/>
      <c r="K157" s="39"/>
      <c r="L157" s="177">
        <v>40</v>
      </c>
      <c r="M157" s="173">
        <f t="shared" si="30"/>
        <v>620.62842857142846</v>
      </c>
      <c r="N157" s="25"/>
      <c r="O157" s="163">
        <v>40</v>
      </c>
      <c r="P157" s="205">
        <f t="shared" si="29"/>
        <v>620.62842857142857</v>
      </c>
      <c r="Q157" s="333">
        <v>1.0696973851983633</v>
      </c>
      <c r="R157" s="333">
        <v>0.41668269147224635</v>
      </c>
      <c r="W157" s="58">
        <v>40</v>
      </c>
      <c r="X157" s="328">
        <v>0.34849284928886071</v>
      </c>
      <c r="Y157" s="58">
        <v>40</v>
      </c>
      <c r="Z157" s="328">
        <v>0.38382582895724304</v>
      </c>
      <c r="AA157" s="58">
        <v>40</v>
      </c>
      <c r="AB157" s="328">
        <v>0.32362286363689469</v>
      </c>
    </row>
    <row r="158" spans="2:30" ht="15" customHeight="1" x14ac:dyDescent="0.2">
      <c r="E158" s="58">
        <v>50</v>
      </c>
      <c r="F158" s="329">
        <v>0.39402392959801896</v>
      </c>
      <c r="G158" s="202">
        <v>0.36258913574738344</v>
      </c>
      <c r="H158" s="64"/>
      <c r="I158" s="41">
        <f t="shared" si="28"/>
        <v>14.671982857142853</v>
      </c>
      <c r="J158" s="42"/>
      <c r="K158" s="31"/>
      <c r="L158" s="178">
        <v>50</v>
      </c>
      <c r="M158" s="179">
        <f>L158*I158</f>
        <v>733.59914285714262</v>
      </c>
      <c r="N158" s="28"/>
      <c r="O158" s="186">
        <v>50</v>
      </c>
      <c r="P158" s="206">
        <f t="shared" si="29"/>
        <v>733.59914285714274</v>
      </c>
      <c r="Q158" s="333">
        <v>1.0866953550217131</v>
      </c>
      <c r="R158" s="333">
        <v>0.39402392959801896</v>
      </c>
      <c r="W158" s="58">
        <v>50</v>
      </c>
      <c r="X158" s="329">
        <v>0.32816631833683368</v>
      </c>
      <c r="Y158" s="58">
        <v>50</v>
      </c>
      <c r="Z158" s="329">
        <v>0.35861669533023494</v>
      </c>
      <c r="AA158" s="58">
        <v>50</v>
      </c>
      <c r="AB158" s="329">
        <v>0.3056214303270221</v>
      </c>
    </row>
    <row r="159" spans="2:30" ht="15" customHeight="1" x14ac:dyDescent="0.2">
      <c r="E159" s="3"/>
      <c r="F159" s="239"/>
      <c r="G159" s="239"/>
      <c r="H159" s="83"/>
      <c r="I159" s="240"/>
      <c r="J159" s="83"/>
      <c r="K159" s="83"/>
      <c r="L159" s="241"/>
      <c r="M159" s="241"/>
      <c r="N159" s="145"/>
      <c r="O159" s="242"/>
      <c r="P159" s="241"/>
    </row>
    <row r="160" spans="2:30" ht="15" customHeight="1" x14ac:dyDescent="0.2">
      <c r="E160" s="3"/>
      <c r="F160" s="239"/>
      <c r="G160" s="239"/>
      <c r="H160" s="83"/>
      <c r="I160" s="240"/>
      <c r="J160" s="83"/>
      <c r="L160" s="241"/>
      <c r="M160" s="400"/>
      <c r="N160" s="401" t="s">
        <v>244</v>
      </c>
      <c r="P160" s="241"/>
      <c r="Z160" s="111">
        <f t="shared" ref="Z160:Z169" si="31">Z149/X149</f>
        <v>0.95461005115800002</v>
      </c>
      <c r="AB160" s="111">
        <f t="shared" ref="AB160:AB169" si="32">AB149/Z149</f>
        <v>0.86646771440405534</v>
      </c>
      <c r="AD160" s="111">
        <f>AB149/X149</f>
        <v>0.82713878917401062</v>
      </c>
    </row>
    <row r="161" spans="1:30" ht="15" customHeight="1" x14ac:dyDescent="0.2">
      <c r="F161" s="84"/>
      <c r="G161" s="84"/>
      <c r="H161" s="84"/>
      <c r="I161" s="84"/>
      <c r="J161" s="84"/>
      <c r="K161" s="84"/>
      <c r="L161" s="84"/>
      <c r="M161" s="84"/>
      <c r="P161" s="84"/>
      <c r="Z161" s="111">
        <f t="shared" si="31"/>
        <v>0.97954348115572076</v>
      </c>
      <c r="AB161" s="111">
        <f t="shared" si="32"/>
        <v>0.86746033370592757</v>
      </c>
      <c r="AD161" s="111">
        <f t="shared" ref="AD161:AD169" si="33">AB150/X150</f>
        <v>0.8497151150428075</v>
      </c>
    </row>
    <row r="162" spans="1:30" ht="15" customHeight="1" x14ac:dyDescent="0.2">
      <c r="A162" s="169" t="s">
        <v>162</v>
      </c>
      <c r="B162" s="143" t="s">
        <v>163</v>
      </c>
      <c r="Z162" s="111">
        <f t="shared" si="31"/>
        <v>1.002373702528786</v>
      </c>
      <c r="AB162" s="111">
        <f t="shared" si="32"/>
        <v>0.8550182576551677</v>
      </c>
      <c r="AD162" s="111">
        <f t="shared" si="33"/>
        <v>0.85704781665552199</v>
      </c>
    </row>
    <row r="163" spans="1:30" ht="15" customHeight="1" x14ac:dyDescent="0.2">
      <c r="B163" s="169" t="s">
        <v>164</v>
      </c>
      <c r="Z163" s="111">
        <f t="shared" si="31"/>
        <v>1.0213736994678868</v>
      </c>
      <c r="AB163" s="111">
        <f t="shared" si="32"/>
        <v>0.8412798102731841</v>
      </c>
      <c r="AD163" s="111">
        <f t="shared" si="33"/>
        <v>0.85926107210636393</v>
      </c>
    </row>
    <row r="164" spans="1:30" ht="15" customHeight="1" x14ac:dyDescent="0.2">
      <c r="Z164" s="111">
        <f t="shared" si="31"/>
        <v>1.0384637649065713</v>
      </c>
      <c r="AB164" s="111">
        <f t="shared" si="32"/>
        <v>0.8284389387315434</v>
      </c>
      <c r="AD164" s="111">
        <f t="shared" si="33"/>
        <v>0.86030381931036282</v>
      </c>
    </row>
    <row r="165" spans="1:30" ht="15" customHeight="1" x14ac:dyDescent="0.2">
      <c r="B165" s="169"/>
      <c r="F165" s="1"/>
      <c r="Z165" s="111">
        <f t="shared" si="31"/>
        <v>1.0696728577440384</v>
      </c>
      <c r="AB165" s="111">
        <f t="shared" si="32"/>
        <v>0.83513248088072545</v>
      </c>
      <c r="AD165" s="111">
        <f t="shared" si="33"/>
        <v>0.8933185474185541</v>
      </c>
    </row>
    <row r="166" spans="1:30" ht="15" customHeight="1" x14ac:dyDescent="0.2">
      <c r="B166" s="143"/>
      <c r="J166" s="143" t="s">
        <v>165</v>
      </c>
      <c r="Z166" s="111">
        <f t="shared" si="31"/>
        <v>1.0832334281367113</v>
      </c>
      <c r="AB166" s="111">
        <f t="shared" si="32"/>
        <v>0.84369039937591261</v>
      </c>
      <c r="AD166" s="111">
        <f t="shared" si="33"/>
        <v>0.91391364360200089</v>
      </c>
    </row>
    <row r="167" spans="1:30" ht="15" customHeight="1" x14ac:dyDescent="0.2">
      <c r="B167" s="169"/>
      <c r="H167" s="386" t="s">
        <v>166</v>
      </c>
      <c r="Z167" s="111">
        <f t="shared" si="31"/>
        <v>1.097520606927342</v>
      </c>
      <c r="AB167" s="111">
        <f t="shared" si="32"/>
        <v>0.84086839828012727</v>
      </c>
      <c r="AD167" s="111">
        <f t="shared" si="33"/>
        <v>0.92287039482642719</v>
      </c>
    </row>
    <row r="168" spans="1:30" ht="15" customHeight="1" x14ac:dyDescent="0.2">
      <c r="F168" s="196" t="s">
        <v>133</v>
      </c>
      <c r="L168" s="243" t="s">
        <v>167</v>
      </c>
      <c r="P168" s="498"/>
      <c r="Z168" s="111">
        <f t="shared" si="31"/>
        <v>1.1013879617343176</v>
      </c>
      <c r="AB168" s="111">
        <f t="shared" si="32"/>
        <v>0.8431503020943002</v>
      </c>
      <c r="AD168" s="111">
        <f t="shared" si="33"/>
        <v>0.9286355926593155</v>
      </c>
    </row>
    <row r="169" spans="1:30" ht="15" customHeight="1" x14ac:dyDescent="0.2">
      <c r="F169" s="196" t="s">
        <v>110</v>
      </c>
      <c r="H169" s="252" t="s">
        <v>110</v>
      </c>
      <c r="L169" s="144">
        <v>1</v>
      </c>
      <c r="M169" s="109" t="s">
        <v>24</v>
      </c>
      <c r="N169" s="203" t="s">
        <v>104</v>
      </c>
      <c r="O169" s="109" t="s">
        <v>110</v>
      </c>
      <c r="P169" s="181" t="s">
        <v>129</v>
      </c>
      <c r="S169" s="253" t="s">
        <v>174</v>
      </c>
      <c r="Z169" s="111">
        <f t="shared" si="31"/>
        <v>1.0927894646462366</v>
      </c>
      <c r="AB169" s="111">
        <f t="shared" si="32"/>
        <v>0.85222309587563472</v>
      </c>
      <c r="AD169" s="111">
        <f t="shared" si="33"/>
        <v>0.9313004207010932</v>
      </c>
    </row>
    <row r="170" spans="1:30" ht="15" customHeight="1" x14ac:dyDescent="0.2">
      <c r="B170" s="348">
        <f>D149</f>
        <v>2.46</v>
      </c>
      <c r="C170" s="157" t="s">
        <v>6</v>
      </c>
      <c r="D170" s="22"/>
      <c r="E170" s="5" t="s">
        <v>2</v>
      </c>
      <c r="F170" s="196" t="s">
        <v>149</v>
      </c>
      <c r="G170" s="55" t="s">
        <v>37</v>
      </c>
      <c r="H170" s="6" t="s">
        <v>68</v>
      </c>
      <c r="J170" s="72" t="s">
        <v>137</v>
      </c>
      <c r="K170" s="5" t="s">
        <v>2</v>
      </c>
      <c r="L170" s="6" t="s">
        <v>68</v>
      </c>
      <c r="M170" s="38" t="s">
        <v>25</v>
      </c>
      <c r="N170" s="204" t="s">
        <v>138</v>
      </c>
      <c r="O170" s="38" t="s">
        <v>33</v>
      </c>
      <c r="P170" s="181" t="s">
        <v>113</v>
      </c>
      <c r="Q170" s="244" t="s">
        <v>173</v>
      </c>
      <c r="R170" s="244" t="s">
        <v>136</v>
      </c>
      <c r="S170" s="251" t="s">
        <v>105</v>
      </c>
    </row>
    <row r="171" spans="1:30" ht="15" customHeight="1" x14ac:dyDescent="0.2">
      <c r="B171" s="349">
        <f t="shared" ref="B171:B172" si="34">D150</f>
        <v>4.6500000000000004</v>
      </c>
      <c r="C171" s="1" t="s">
        <v>0</v>
      </c>
      <c r="D171" s="39"/>
      <c r="E171" s="150">
        <v>1</v>
      </c>
      <c r="F171" s="117">
        <f>F129</f>
        <v>29.773636248825888</v>
      </c>
      <c r="G171" s="101">
        <f>F171/E171</f>
        <v>29.773636248825888</v>
      </c>
      <c r="H171" s="142">
        <f t="shared" ref="H171:H180" si="35">SQRT(12*32.2*G171^2/(4*$B$172*($B$171*56)*$B$170^2))</f>
        <v>0.79956795740311482</v>
      </c>
      <c r="J171" s="142">
        <v>0.79956795740311482</v>
      </c>
      <c r="K171" s="150">
        <v>1</v>
      </c>
      <c r="L171" s="142">
        <f>J171*$L$169</f>
        <v>0.79956795740311482</v>
      </c>
      <c r="M171" s="14">
        <f>(B171*2.20462*25.4*12)</f>
        <v>3124.6520184000001</v>
      </c>
      <c r="N171" s="153">
        <f t="shared" ref="N171:N180" si="36">L171*B$170*SQRT(4*B$172*M$171/32.2)/12</f>
        <v>29.772931243306417</v>
      </c>
      <c r="O171" s="153">
        <f>K171*N171</f>
        <v>29.772931243306417</v>
      </c>
      <c r="P171" s="496">
        <f t="shared" ref="P171:P180" si="37">M101</f>
        <v>1.0204207505901794</v>
      </c>
      <c r="Q171" s="122">
        <f>P171*O171</f>
        <v>30.380916846564539</v>
      </c>
      <c r="R171" s="122">
        <f>Q171-O171</f>
        <v>0.6079856032581219</v>
      </c>
      <c r="S171" s="248">
        <f>R171/Q171</f>
        <v>2.0012088717687025E-2</v>
      </c>
    </row>
    <row r="172" spans="1:30" ht="15" customHeight="1" x14ac:dyDescent="0.2">
      <c r="B172" s="350">
        <f t="shared" si="34"/>
        <v>85</v>
      </c>
      <c r="C172" s="156" t="s">
        <v>1</v>
      </c>
      <c r="D172" s="31"/>
      <c r="E172" s="149">
        <v>2</v>
      </c>
      <c r="F172" s="116">
        <f t="shared" ref="F172:F180" si="38">F130</f>
        <v>57.282628994956212</v>
      </c>
      <c r="G172" s="100">
        <f t="shared" ref="G172:G180" si="39">F172/E172</f>
        <v>28.641314497478106</v>
      </c>
      <c r="H172" s="141">
        <f t="shared" si="35"/>
        <v>0.76915957253934242</v>
      </c>
      <c r="J172" s="141">
        <v>0.76915957253934242</v>
      </c>
      <c r="K172" s="149">
        <v>2</v>
      </c>
      <c r="L172" s="141">
        <f t="shared" ref="L172:L180" si="40">J172*$L$169</f>
        <v>0.76915957253934242</v>
      </c>
      <c r="N172" s="152">
        <f t="shared" si="36"/>
        <v>28.640636304037546</v>
      </c>
      <c r="O172" s="152">
        <f t="shared" ref="O172:O180" si="41">K172*N172</f>
        <v>57.281272608075092</v>
      </c>
      <c r="P172" s="496">
        <f t="shared" si="37"/>
        <v>1.0416531161691285</v>
      </c>
      <c r="Q172" s="121">
        <f t="shared" ref="Q172:Q180" si="42">P172*O172</f>
        <v>59.667216110334763</v>
      </c>
      <c r="R172" s="121">
        <f t="shared" ref="R172:R180" si="43">Q172-O172</f>
        <v>2.3859435022596713</v>
      </c>
      <c r="S172" s="249">
        <f t="shared" ref="S172:S180" si="44">R172/Q172</f>
        <v>3.9987511699015064E-2</v>
      </c>
    </row>
    <row r="173" spans="1:30" ht="15" customHeight="1" x14ac:dyDescent="0.2">
      <c r="E173" s="148">
        <v>3</v>
      </c>
      <c r="F173" s="105">
        <f t="shared" si="38"/>
        <v>79.677220954921793</v>
      </c>
      <c r="G173" s="99">
        <f t="shared" si="39"/>
        <v>26.559073651640599</v>
      </c>
      <c r="H173" s="140">
        <f t="shared" si="35"/>
        <v>0.71324120751285747</v>
      </c>
      <c r="J173" s="140">
        <v>0.71324120751285747</v>
      </c>
      <c r="K173" s="148">
        <v>3</v>
      </c>
      <c r="L173" s="140">
        <f t="shared" si="40"/>
        <v>0.71324120751285747</v>
      </c>
      <c r="N173" s="151">
        <f t="shared" si="36"/>
        <v>26.55844476327238</v>
      </c>
      <c r="O173" s="151">
        <f>K173*N173</f>
        <v>79.675334289817144</v>
      </c>
      <c r="P173" s="496">
        <f t="shared" si="37"/>
        <v>1.0615232301183466</v>
      </c>
      <c r="Q173" s="120">
        <f t="shared" si="42"/>
        <v>84.577218216085754</v>
      </c>
      <c r="R173" s="120">
        <f>Q173-O173</f>
        <v>4.90188392626861</v>
      </c>
      <c r="S173" s="250">
        <f t="shared" si="44"/>
        <v>5.79574976531484E-2</v>
      </c>
    </row>
    <row r="174" spans="1:30" ht="15" customHeight="1" x14ac:dyDescent="0.2">
      <c r="E174" s="148">
        <v>4</v>
      </c>
      <c r="F174" s="105">
        <f t="shared" si="38"/>
        <v>98.014150965735524</v>
      </c>
      <c r="G174" s="99">
        <f t="shared" si="39"/>
        <v>24.503537741433881</v>
      </c>
      <c r="H174" s="140">
        <f t="shared" si="35"/>
        <v>0.65804000080242242</v>
      </c>
      <c r="J174" s="140">
        <v>0.65804000080242242</v>
      </c>
      <c r="K174" s="148">
        <v>4</v>
      </c>
      <c r="L174" s="140">
        <f t="shared" si="40"/>
        <v>0.65804000080242242</v>
      </c>
      <c r="N174" s="151">
        <f t="shared" si="36"/>
        <v>24.502957525795793</v>
      </c>
      <c r="O174" s="151">
        <f t="shared" si="41"/>
        <v>98.011830103183172</v>
      </c>
      <c r="P174" s="496">
        <f t="shared" si="37"/>
        <v>1.0811923576502949</v>
      </c>
      <c r="Q174" s="120">
        <f t="shared" si="42"/>
        <v>105.96964166688076</v>
      </c>
      <c r="R174" s="120">
        <f t="shared" si="43"/>
        <v>7.9578115636975895</v>
      </c>
      <c r="S174" s="250">
        <f t="shared" si="44"/>
        <v>7.50952012153938E-2</v>
      </c>
    </row>
    <row r="175" spans="1:30" ht="15" customHeight="1" x14ac:dyDescent="0.2">
      <c r="E175" s="149">
        <v>5</v>
      </c>
      <c r="F175" s="116">
        <f t="shared" si="38"/>
        <v>113.35015786441029</v>
      </c>
      <c r="G175" s="100">
        <f t="shared" si="39"/>
        <v>22.67003157288206</v>
      </c>
      <c r="H175" s="141">
        <f t="shared" si="35"/>
        <v>0.60880138010379004</v>
      </c>
      <c r="J175" s="141">
        <v>0.60880138010379004</v>
      </c>
      <c r="K175" s="149">
        <v>5</v>
      </c>
      <c r="L175" s="141">
        <f t="shared" si="40"/>
        <v>0.60880138010379004</v>
      </c>
      <c r="N175" s="152">
        <f t="shared" si="36"/>
        <v>22.669494772564761</v>
      </c>
      <c r="O175" s="152">
        <f t="shared" si="41"/>
        <v>113.3474738628238</v>
      </c>
      <c r="P175" s="496">
        <f t="shared" si="37"/>
        <v>1.0988882610415791</v>
      </c>
      <c r="Q175" s="121">
        <f t="shared" si="42"/>
        <v>124.55620844657429</v>
      </c>
      <c r="R175" s="121">
        <f t="shared" si="43"/>
        <v>11.208734583750484</v>
      </c>
      <c r="S175" s="249">
        <f t="shared" si="44"/>
        <v>8.9989368844333686E-2</v>
      </c>
    </row>
    <row r="176" spans="1:30" ht="15" customHeight="1" x14ac:dyDescent="0.2">
      <c r="E176" s="148">
        <v>10</v>
      </c>
      <c r="F176" s="105">
        <f t="shared" si="38"/>
        <v>181.95967391414661</v>
      </c>
      <c r="G176" s="99">
        <f t="shared" si="39"/>
        <v>18.195967391414662</v>
      </c>
      <c r="H176" s="140">
        <f t="shared" si="35"/>
        <v>0.48865084393918579</v>
      </c>
      <c r="J176" s="140">
        <v>0.48865084393918579</v>
      </c>
      <c r="K176" s="154">
        <v>10</v>
      </c>
      <c r="L176" s="140">
        <f t="shared" si="40"/>
        <v>0.48865084393918579</v>
      </c>
      <c r="M176" s="84"/>
      <c r="N176" s="155">
        <f t="shared" si="36"/>
        <v>18.195536531799938</v>
      </c>
      <c r="O176" s="155">
        <f t="shared" si="41"/>
        <v>181.95536531799939</v>
      </c>
      <c r="P176" s="496">
        <f t="shared" si="37"/>
        <v>1.1300837679626099</v>
      </c>
      <c r="Q176" s="120">
        <f t="shared" si="42"/>
        <v>205.62480483957793</v>
      </c>
      <c r="R176" s="120">
        <f t="shared" si="43"/>
        <v>23.669439521578539</v>
      </c>
      <c r="S176" s="250">
        <f t="shared" si="44"/>
        <v>0.1151098455268794</v>
      </c>
    </row>
    <row r="177" spans="2:19" ht="15" customHeight="1" x14ac:dyDescent="0.2">
      <c r="E177" s="148">
        <v>20</v>
      </c>
      <c r="F177" s="105">
        <f t="shared" si="38"/>
        <v>301.8314285714286</v>
      </c>
      <c r="G177" s="99">
        <f t="shared" si="39"/>
        <v>15.091571428571431</v>
      </c>
      <c r="H177" s="140">
        <f t="shared" si="35"/>
        <v>0.40528260775073832</v>
      </c>
      <c r="J177" s="140">
        <v>0.40528260775073832</v>
      </c>
      <c r="K177" s="148">
        <v>20</v>
      </c>
      <c r="L177" s="140">
        <f t="shared" si="40"/>
        <v>0.40528260775073832</v>
      </c>
      <c r="N177" s="151">
        <f t="shared" si="36"/>
        <v>15.091214077488557</v>
      </c>
      <c r="O177" s="151">
        <f t="shared" si="41"/>
        <v>301.82428154977111</v>
      </c>
      <c r="P177" s="496">
        <f t="shared" si="37"/>
        <v>1.1494907280317301</v>
      </c>
      <c r="Q177" s="120">
        <f t="shared" si="42"/>
        <v>346.94421313630028</v>
      </c>
      <c r="R177" s="120">
        <f t="shared" si="43"/>
        <v>45.119931586529162</v>
      </c>
      <c r="S177" s="250">
        <f t="shared" si="44"/>
        <v>0.1300495292273498</v>
      </c>
    </row>
    <row r="178" spans="2:19" ht="15" customHeight="1" x14ac:dyDescent="0.2">
      <c r="E178" s="148">
        <v>30</v>
      </c>
      <c r="F178" s="105">
        <f t="shared" si="38"/>
        <v>415.40285714285716</v>
      </c>
      <c r="G178" s="99">
        <f t="shared" si="39"/>
        <v>13.846761904761905</v>
      </c>
      <c r="H178" s="140">
        <f t="shared" si="35"/>
        <v>0.37185337525826517</v>
      </c>
      <c r="J178" s="140">
        <v>0.37185337525826517</v>
      </c>
      <c r="K178" s="148">
        <v>30</v>
      </c>
      <c r="L178" s="140">
        <f t="shared" si="40"/>
        <v>0.37185337525826517</v>
      </c>
      <c r="N178" s="151">
        <f t="shared" si="36"/>
        <v>13.846434029339228</v>
      </c>
      <c r="O178" s="151">
        <f t="shared" si="41"/>
        <v>415.39302088017683</v>
      </c>
      <c r="P178" s="496">
        <f t="shared" si="37"/>
        <v>1.1494043647818641</v>
      </c>
      <c r="Q178" s="120">
        <f t="shared" si="42"/>
        <v>477.4545512995993</v>
      </c>
      <c r="R178" s="120">
        <f t="shared" si="43"/>
        <v>62.061530419422468</v>
      </c>
      <c r="S178" s="250">
        <f t="shared" si="44"/>
        <v>0.12998416341512536</v>
      </c>
    </row>
    <row r="179" spans="2:19" ht="15" customHeight="1" x14ac:dyDescent="0.2">
      <c r="E179" s="148">
        <v>40</v>
      </c>
      <c r="F179" s="105">
        <f t="shared" si="38"/>
        <v>521.43142857142857</v>
      </c>
      <c r="G179" s="99">
        <f t="shared" si="39"/>
        <v>13.035785714285714</v>
      </c>
      <c r="H179" s="140">
        <f t="shared" si="35"/>
        <v>0.35007469257730184</v>
      </c>
      <c r="J179" s="140">
        <v>0.35007469257730184</v>
      </c>
      <c r="K179" s="148">
        <v>40</v>
      </c>
      <c r="L179" s="140">
        <f t="shared" si="40"/>
        <v>0.35007469257730184</v>
      </c>
      <c r="N179" s="151">
        <f t="shared" si="36"/>
        <v>13.035477041848045</v>
      </c>
      <c r="O179" s="151">
        <f t="shared" si="41"/>
        <v>521.41908167392182</v>
      </c>
      <c r="P179" s="496">
        <f t="shared" si="37"/>
        <v>1.1493906882702014</v>
      </c>
      <c r="Q179" s="120">
        <f t="shared" si="42"/>
        <v>599.31423716240533</v>
      </c>
      <c r="R179" s="120">
        <f t="shared" si="43"/>
        <v>77.89515548848351</v>
      </c>
      <c r="S179" s="250">
        <f t="shared" si="44"/>
        <v>0.12997381116339987</v>
      </c>
    </row>
    <row r="180" spans="2:19" ht="15" customHeight="1" x14ac:dyDescent="0.2">
      <c r="E180" s="149">
        <v>50</v>
      </c>
      <c r="F180" s="116">
        <f t="shared" si="38"/>
        <v>618.71714285714279</v>
      </c>
      <c r="G180" s="100">
        <f t="shared" si="39"/>
        <v>12.374342857142857</v>
      </c>
      <c r="H180" s="141">
        <f t="shared" si="35"/>
        <v>0.33231171227470441</v>
      </c>
      <c r="J180" s="141">
        <v>0.33231171227470441</v>
      </c>
      <c r="K180" s="149">
        <v>50</v>
      </c>
      <c r="L180" s="141">
        <f t="shared" si="40"/>
        <v>0.33231171227470441</v>
      </c>
      <c r="N180" s="152">
        <f t="shared" si="36"/>
        <v>12.374049846912557</v>
      </c>
      <c r="O180" s="152">
        <f t="shared" si="41"/>
        <v>618.70249234562789</v>
      </c>
      <c r="P180" s="497">
        <f t="shared" si="37"/>
        <v>1.1494737960111012</v>
      </c>
      <c r="Q180" s="121">
        <f t="shared" si="42"/>
        <v>711.1823024780582</v>
      </c>
      <c r="R180" s="121">
        <f t="shared" si="43"/>
        <v>92.479810132430316</v>
      </c>
      <c r="S180" s="249">
        <f t="shared" si="44"/>
        <v>0.13003671465135139</v>
      </c>
    </row>
    <row r="181" spans="2:19" ht="15" customHeight="1" x14ac:dyDescent="0.2">
      <c r="E181" s="402"/>
      <c r="F181" s="403"/>
      <c r="G181" s="402"/>
      <c r="H181" s="404"/>
      <c r="I181" s="84"/>
      <c r="J181" s="404"/>
      <c r="K181" s="402"/>
      <c r="L181" s="404"/>
      <c r="M181" s="84"/>
      <c r="N181" s="403"/>
      <c r="O181" s="403"/>
      <c r="P181" s="405"/>
      <c r="Q181" s="403"/>
      <c r="R181" s="403"/>
      <c r="S181" s="406"/>
    </row>
    <row r="182" spans="2:19" ht="15" customHeight="1" x14ac:dyDescent="0.2">
      <c r="E182" s="402"/>
      <c r="F182" s="403"/>
      <c r="G182" s="402"/>
      <c r="H182" s="404"/>
      <c r="I182" s="84"/>
      <c r="J182" s="404"/>
      <c r="K182" s="402"/>
      <c r="L182" s="404"/>
      <c r="M182" s="84"/>
      <c r="N182" s="403"/>
      <c r="O182" s="403"/>
      <c r="P182" s="405"/>
      <c r="Q182" s="403"/>
      <c r="R182" s="390" t="s">
        <v>130</v>
      </c>
      <c r="S182" s="406"/>
    </row>
    <row r="183" spans="2:19" ht="15" customHeight="1" x14ac:dyDescent="0.2">
      <c r="E183" s="402"/>
      <c r="F183" s="403"/>
      <c r="G183" s="402"/>
      <c r="H183" s="404"/>
      <c r="I183" s="84"/>
      <c r="J183" s="404"/>
      <c r="K183" s="402"/>
      <c r="L183" s="404"/>
      <c r="M183" s="84"/>
      <c r="N183" s="403"/>
      <c r="O183" s="403"/>
      <c r="P183" s="405"/>
      <c r="Q183" s="403"/>
      <c r="R183" s="407">
        <f t="shared" ref="R183:R192" si="45">E101</f>
        <v>0.60799999999999998</v>
      </c>
      <c r="S183" s="406"/>
    </row>
    <row r="184" spans="2:19" ht="15" customHeight="1" x14ac:dyDescent="0.2">
      <c r="E184" s="402"/>
      <c r="F184" s="403"/>
      <c r="G184" s="402"/>
      <c r="H184" s="404"/>
      <c r="I184" s="84"/>
      <c r="J184" s="404"/>
      <c r="K184" s="402"/>
      <c r="L184" s="404"/>
      <c r="M184" s="84"/>
      <c r="N184" s="403"/>
      <c r="O184" s="403"/>
      <c r="P184" s="405"/>
      <c r="Q184" s="403"/>
      <c r="R184" s="121">
        <f t="shared" si="45"/>
        <v>2.3860000000000001</v>
      </c>
      <c r="S184" s="406"/>
    </row>
    <row r="185" spans="2:19" ht="15" customHeight="1" x14ac:dyDescent="0.2">
      <c r="E185" s="402"/>
      <c r="F185" s="403"/>
      <c r="G185" s="402"/>
      <c r="H185" s="404"/>
      <c r="I185" s="84"/>
      <c r="J185" s="404"/>
      <c r="K185" s="402"/>
      <c r="L185" s="404"/>
      <c r="M185" s="84"/>
      <c r="N185" s="403"/>
      <c r="O185" s="403"/>
      <c r="P185" s="405"/>
      <c r="Q185" s="403"/>
      <c r="R185" s="120">
        <f t="shared" si="45"/>
        <v>4.9020000000000001</v>
      </c>
      <c r="S185" s="406"/>
    </row>
    <row r="186" spans="2:19" ht="15" customHeight="1" x14ac:dyDescent="0.2">
      <c r="E186" s="402"/>
      <c r="F186" s="403"/>
      <c r="G186" s="402"/>
      <c r="H186" s="404"/>
      <c r="I186" s="84"/>
      <c r="J186" s="404"/>
      <c r="K186" s="402"/>
      <c r="L186" s="404"/>
      <c r="M186" s="84"/>
      <c r="N186" s="403"/>
      <c r="O186" s="403"/>
      <c r="P186" s="405"/>
      <c r="Q186" s="403"/>
      <c r="R186" s="120">
        <f t="shared" si="45"/>
        <v>7.9580000000000002</v>
      </c>
      <c r="S186" s="406"/>
    </row>
    <row r="187" spans="2:19" ht="15" customHeight="1" x14ac:dyDescent="0.2">
      <c r="R187" s="121">
        <f t="shared" si="45"/>
        <v>11.209</v>
      </c>
    </row>
    <row r="188" spans="2:19" ht="15" customHeight="1" x14ac:dyDescent="0.2">
      <c r="R188" s="120">
        <f t="shared" si="45"/>
        <v>23.67</v>
      </c>
    </row>
    <row r="189" spans="2:19" ht="15" customHeight="1" x14ac:dyDescent="0.2">
      <c r="R189" s="120">
        <f t="shared" si="45"/>
        <v>45.121000000000002</v>
      </c>
    </row>
    <row r="190" spans="2:19" ht="15" customHeight="1" x14ac:dyDescent="0.2">
      <c r="R190" s="120">
        <f t="shared" si="45"/>
        <v>62.063000000000002</v>
      </c>
    </row>
    <row r="191" spans="2:19" ht="15" customHeight="1" x14ac:dyDescent="0.2">
      <c r="F191" s="84"/>
      <c r="G191" s="84"/>
      <c r="H191" s="84"/>
      <c r="I191" s="84"/>
      <c r="J191" s="84"/>
      <c r="K191" s="84"/>
      <c r="L191" s="84"/>
      <c r="M191" s="84"/>
      <c r="N191" s="84"/>
      <c r="O191" s="84"/>
      <c r="P191" s="84"/>
      <c r="R191" s="120">
        <f t="shared" si="45"/>
        <v>77.897000000000006</v>
      </c>
    </row>
    <row r="192" spans="2:19" ht="15" customHeight="1" x14ac:dyDescent="0.2">
      <c r="B192" s="169"/>
      <c r="R192" s="121">
        <f t="shared" si="45"/>
        <v>92.481999999999999</v>
      </c>
    </row>
    <row r="193" spans="1:17" ht="15" customHeight="1" x14ac:dyDescent="0.2">
      <c r="A193" s="169" t="s">
        <v>172</v>
      </c>
      <c r="B193" s="143" t="s">
        <v>255</v>
      </c>
    </row>
    <row r="194" spans="1:17" ht="15" customHeight="1" x14ac:dyDescent="0.2"/>
    <row r="195" spans="1:17" ht="15" customHeight="1" x14ac:dyDescent="0.2">
      <c r="B195" s="169"/>
    </row>
    <row r="196" spans="1:17" ht="15" customHeight="1" x14ac:dyDescent="0.2">
      <c r="B196" s="143"/>
      <c r="J196" s="143" t="s">
        <v>165</v>
      </c>
    </row>
    <row r="197" spans="1:17" ht="15" customHeight="1" x14ac:dyDescent="0.2">
      <c r="B197" s="169"/>
      <c r="H197" s="386" t="s">
        <v>166</v>
      </c>
    </row>
    <row r="198" spans="1:17" ht="15" customHeight="1" x14ac:dyDescent="0.2">
      <c r="F198" s="196" t="s">
        <v>133</v>
      </c>
      <c r="L198" s="243" t="s">
        <v>167</v>
      </c>
    </row>
    <row r="199" spans="1:17" ht="15" customHeight="1" x14ac:dyDescent="0.2">
      <c r="F199" s="196" t="s">
        <v>112</v>
      </c>
      <c r="H199" s="252" t="s">
        <v>110</v>
      </c>
      <c r="L199" s="144">
        <v>1</v>
      </c>
      <c r="M199" s="109" t="s">
        <v>24</v>
      </c>
      <c r="N199" s="203" t="s">
        <v>104</v>
      </c>
      <c r="O199" s="260" t="s">
        <v>112</v>
      </c>
    </row>
    <row r="200" spans="1:17" ht="15" customHeight="1" x14ac:dyDescent="0.2">
      <c r="B200" s="348">
        <f>D149</f>
        <v>2.46</v>
      </c>
      <c r="C200" s="157" t="s">
        <v>6</v>
      </c>
      <c r="D200" s="22"/>
      <c r="E200" s="5" t="s">
        <v>2</v>
      </c>
      <c r="F200" s="196" t="s">
        <v>149</v>
      </c>
      <c r="G200" s="55" t="s">
        <v>37</v>
      </c>
      <c r="H200" s="6" t="s">
        <v>68</v>
      </c>
      <c r="J200" s="72" t="s">
        <v>137</v>
      </c>
      <c r="K200" s="5" t="s">
        <v>2</v>
      </c>
      <c r="L200" s="6" t="s">
        <v>68</v>
      </c>
      <c r="M200" s="38" t="s">
        <v>25</v>
      </c>
      <c r="N200" s="204" t="s">
        <v>138</v>
      </c>
      <c r="O200" s="38" t="s">
        <v>33</v>
      </c>
      <c r="Q200" s="390" t="s">
        <v>130</v>
      </c>
    </row>
    <row r="201" spans="1:17" ht="15" customHeight="1" x14ac:dyDescent="0.2">
      <c r="B201" s="349">
        <f>D150</f>
        <v>4.6500000000000004</v>
      </c>
      <c r="C201" s="1" t="s">
        <v>0</v>
      </c>
      <c r="D201" s="39"/>
      <c r="E201" s="150">
        <v>1</v>
      </c>
      <c r="F201" s="245">
        <f t="shared" ref="F201:F210" si="46">G129</f>
        <v>0.60799999999999998</v>
      </c>
      <c r="G201" s="104">
        <f>F201/E201</f>
        <v>0.60799999999999998</v>
      </c>
      <c r="H201" s="257">
        <f>SQRT(12*32.2*G201^2/(4*$B$202*($B$201*56)*$B$200^2))</f>
        <v>1.6327777838028249E-2</v>
      </c>
      <c r="J201" s="257">
        <v>1.6327777838028249E-2</v>
      </c>
      <c r="K201" s="150">
        <v>1</v>
      </c>
      <c r="L201" s="257">
        <f>J201*$L$199</f>
        <v>1.6327777838028249E-2</v>
      </c>
      <c r="M201" s="14">
        <f>(B201*2.20462*25.4*12)</f>
        <v>3124.6520184000001</v>
      </c>
      <c r="N201" s="153">
        <f>L201*B$200*SQRT(4*B$202*M$201/32.2)/12</f>
        <v>0.60798560325812223</v>
      </c>
      <c r="O201" s="297">
        <f>K201*N201</f>
        <v>0.60798560325812223</v>
      </c>
      <c r="Q201" s="297">
        <f t="shared" ref="Q201:Q210" si="47">E101</f>
        <v>0.60799999999999998</v>
      </c>
    </row>
    <row r="202" spans="1:17" ht="15" customHeight="1" x14ac:dyDescent="0.2">
      <c r="B202" s="350">
        <f>D151</f>
        <v>85</v>
      </c>
      <c r="C202" s="156" t="s">
        <v>1</v>
      </c>
      <c r="D202" s="31"/>
      <c r="E202" s="149">
        <v>2</v>
      </c>
      <c r="F202" s="246">
        <f t="shared" si="46"/>
        <v>2.3860000000000001</v>
      </c>
      <c r="G202" s="103">
        <f t="shared" ref="G202:G210" si="48">F202/E202</f>
        <v>1.1930000000000001</v>
      </c>
      <c r="H202" s="258">
        <f t="shared" ref="H202:H210" si="49">SQRT(12*32.2*G202^2/(4*$B$202*($B$201*56)*$B$200^2))</f>
        <v>3.2037893027578451E-2</v>
      </c>
      <c r="J202" s="258">
        <v>3.2037893027578451E-2</v>
      </c>
      <c r="K202" s="149">
        <v>2</v>
      </c>
      <c r="L202" s="258">
        <f t="shared" ref="L202:L210" si="50">J202*$L$199</f>
        <v>3.2037893027578451E-2</v>
      </c>
      <c r="N202" s="152">
        <f t="shared" ref="N202:N210" si="51">L202*B$200*SQRT(4*B$202*M$201/32.2)/12</f>
        <v>1.1929717511298352</v>
      </c>
      <c r="O202" s="298">
        <f t="shared" ref="O202" si="52">K202*N202</f>
        <v>2.3859435022596704</v>
      </c>
      <c r="Q202" s="298">
        <f t="shared" si="47"/>
        <v>2.3860000000000001</v>
      </c>
    </row>
    <row r="203" spans="1:17" ht="15" customHeight="1" x14ac:dyDescent="0.2">
      <c r="E203" s="148">
        <v>3</v>
      </c>
      <c r="F203" s="247">
        <f t="shared" si="46"/>
        <v>4.9020000000000001</v>
      </c>
      <c r="G203" s="102">
        <f t="shared" si="48"/>
        <v>1.6340000000000001</v>
      </c>
      <c r="H203" s="259">
        <f t="shared" si="49"/>
        <v>4.3880902939700921E-2</v>
      </c>
      <c r="J203" s="259">
        <v>4.3880902939700921E-2</v>
      </c>
      <c r="K203" s="148">
        <v>3</v>
      </c>
      <c r="L203" s="259">
        <f t="shared" si="50"/>
        <v>4.3880902939700921E-2</v>
      </c>
      <c r="N203" s="151">
        <f t="shared" si="51"/>
        <v>1.6339613087562037</v>
      </c>
      <c r="O203" s="299">
        <f>K203*N203</f>
        <v>4.9018839262686109</v>
      </c>
      <c r="Q203" s="299">
        <f t="shared" si="47"/>
        <v>4.9020000000000001</v>
      </c>
    </row>
    <row r="204" spans="1:17" ht="15" customHeight="1" x14ac:dyDescent="0.2">
      <c r="E204" s="148">
        <v>4</v>
      </c>
      <c r="F204" s="247">
        <f t="shared" si="46"/>
        <v>7.9580000000000002</v>
      </c>
      <c r="G204" s="102">
        <f t="shared" si="48"/>
        <v>1.9895</v>
      </c>
      <c r="H204" s="259">
        <f t="shared" si="49"/>
        <v>5.3427819093350655E-2</v>
      </c>
      <c r="J204" s="259">
        <v>5.3427819093350655E-2</v>
      </c>
      <c r="K204" s="148">
        <v>4</v>
      </c>
      <c r="L204" s="259">
        <f t="shared" si="50"/>
        <v>5.3427819093350655E-2</v>
      </c>
      <c r="N204" s="151">
        <f t="shared" si="51"/>
        <v>1.9894528909243983</v>
      </c>
      <c r="O204" s="299">
        <f t="shared" ref="O204:O210" si="53">K204*N204</f>
        <v>7.957811563697593</v>
      </c>
      <c r="Q204" s="299">
        <f t="shared" si="47"/>
        <v>7.9580000000000002</v>
      </c>
    </row>
    <row r="205" spans="1:17" ht="15" customHeight="1" x14ac:dyDescent="0.2">
      <c r="E205" s="149">
        <v>5</v>
      </c>
      <c r="F205" s="246">
        <f t="shared" si="46"/>
        <v>11.209</v>
      </c>
      <c r="G205" s="103">
        <f t="shared" si="48"/>
        <v>2.2418</v>
      </c>
      <c r="H205" s="258">
        <f t="shared" si="49"/>
        <v>6.0203309798177174E-2</v>
      </c>
      <c r="J205" s="258">
        <v>6.0203309798177174E-2</v>
      </c>
      <c r="K205" s="149">
        <v>5</v>
      </c>
      <c r="L205" s="258">
        <f t="shared" si="50"/>
        <v>6.0203309798177174E-2</v>
      </c>
      <c r="N205" s="152">
        <f t="shared" si="51"/>
        <v>2.2417469167500959</v>
      </c>
      <c r="O205" s="298">
        <f t="shared" si="53"/>
        <v>11.208734583750479</v>
      </c>
      <c r="Q205" s="298">
        <f t="shared" si="47"/>
        <v>11.209</v>
      </c>
    </row>
    <row r="206" spans="1:17" ht="15" customHeight="1" x14ac:dyDescent="0.2">
      <c r="E206" s="148">
        <v>10</v>
      </c>
      <c r="F206" s="247">
        <f t="shared" si="46"/>
        <v>23.67</v>
      </c>
      <c r="G206" s="102">
        <f t="shared" si="48"/>
        <v>2.367</v>
      </c>
      <c r="H206" s="259">
        <f t="shared" si="49"/>
        <v>6.3565542997718522E-2</v>
      </c>
      <c r="J206" s="259">
        <v>6.3565542997718522E-2</v>
      </c>
      <c r="K206" s="154">
        <v>10</v>
      </c>
      <c r="L206" s="259">
        <f t="shared" si="50"/>
        <v>6.3565542997718522E-2</v>
      </c>
      <c r="M206" s="84"/>
      <c r="N206" s="155">
        <f t="shared" si="51"/>
        <v>2.3669439521578539</v>
      </c>
      <c r="O206" s="300">
        <f t="shared" si="53"/>
        <v>23.669439521578539</v>
      </c>
      <c r="Q206" s="300">
        <f t="shared" si="47"/>
        <v>23.67</v>
      </c>
    </row>
    <row r="207" spans="1:17" ht="15" customHeight="1" x14ac:dyDescent="0.2">
      <c r="E207" s="148">
        <v>20</v>
      </c>
      <c r="F207" s="247">
        <f t="shared" si="46"/>
        <v>45.121000000000002</v>
      </c>
      <c r="G207" s="102">
        <f t="shared" si="48"/>
        <v>2.2560500000000001</v>
      </c>
      <c r="H207" s="259">
        <f t="shared" si="49"/>
        <v>6.0585992091255973E-2</v>
      </c>
      <c r="J207" s="259">
        <v>6.0585992091255973E-2</v>
      </c>
      <c r="K207" s="148">
        <v>20</v>
      </c>
      <c r="L207" s="259">
        <f t="shared" si="50"/>
        <v>6.0585992091255973E-2</v>
      </c>
      <c r="N207" s="151">
        <f t="shared" si="51"/>
        <v>2.2559965793264589</v>
      </c>
      <c r="O207" s="299">
        <f t="shared" si="53"/>
        <v>45.119931586529177</v>
      </c>
      <c r="Q207" s="299">
        <f t="shared" si="47"/>
        <v>45.121000000000002</v>
      </c>
    </row>
    <row r="208" spans="1:17" ht="15" customHeight="1" x14ac:dyDescent="0.2">
      <c r="E208" s="148">
        <v>30</v>
      </c>
      <c r="F208" s="247">
        <f t="shared" si="46"/>
        <v>62.063000000000002</v>
      </c>
      <c r="G208" s="102">
        <f t="shared" si="48"/>
        <v>2.0687666666666669</v>
      </c>
      <c r="H208" s="259">
        <f t="shared" si="49"/>
        <v>5.5556517322453251E-2</v>
      </c>
      <c r="J208" s="259">
        <v>5.5556517322453251E-2</v>
      </c>
      <c r="K208" s="148">
        <v>30</v>
      </c>
      <c r="L208" s="259">
        <f t="shared" si="50"/>
        <v>5.5556517322453251E-2</v>
      </c>
      <c r="N208" s="151">
        <f t="shared" si="51"/>
        <v>2.0687176806474148</v>
      </c>
      <c r="O208" s="299">
        <f t="shared" si="53"/>
        <v>62.061530419422446</v>
      </c>
      <c r="Q208" s="299">
        <f t="shared" si="47"/>
        <v>62.063000000000002</v>
      </c>
    </row>
    <row r="209" spans="1:17" ht="15" customHeight="1" x14ac:dyDescent="0.2">
      <c r="E209" s="148">
        <v>40</v>
      </c>
      <c r="F209" s="247">
        <f t="shared" si="46"/>
        <v>77.897000000000006</v>
      </c>
      <c r="G209" s="102">
        <f t="shared" si="48"/>
        <v>1.9474250000000002</v>
      </c>
      <c r="H209" s="259">
        <f t="shared" si="49"/>
        <v>5.2297899270102241E-2</v>
      </c>
      <c r="J209" s="259">
        <v>5.2297899270102241E-2</v>
      </c>
      <c r="K209" s="148">
        <v>40</v>
      </c>
      <c r="L209" s="259">
        <f t="shared" si="50"/>
        <v>5.2297899270102241E-2</v>
      </c>
      <c r="N209" s="151">
        <f t="shared" si="51"/>
        <v>1.9473788872120865</v>
      </c>
      <c r="O209" s="299">
        <f t="shared" si="53"/>
        <v>77.895155488483454</v>
      </c>
      <c r="Q209" s="299">
        <f t="shared" si="47"/>
        <v>77.897000000000006</v>
      </c>
    </row>
    <row r="210" spans="1:17" ht="15" customHeight="1" x14ac:dyDescent="0.2">
      <c r="E210" s="149">
        <v>50</v>
      </c>
      <c r="F210" s="246">
        <f t="shared" si="46"/>
        <v>92.481999999999999</v>
      </c>
      <c r="G210" s="103">
        <f t="shared" si="48"/>
        <v>1.84964</v>
      </c>
      <c r="H210" s="258">
        <f t="shared" si="49"/>
        <v>4.967189309264896E-2</v>
      </c>
      <c r="J210" s="258">
        <v>4.967189309264896E-2</v>
      </c>
      <c r="K210" s="149">
        <v>50</v>
      </c>
      <c r="L210" s="258">
        <f t="shared" si="50"/>
        <v>4.967189309264896E-2</v>
      </c>
      <c r="N210" s="152">
        <f t="shared" si="51"/>
        <v>1.849596202648607</v>
      </c>
      <c r="O210" s="298">
        <f t="shared" si="53"/>
        <v>92.479810132430345</v>
      </c>
      <c r="Q210" s="298">
        <f t="shared" si="47"/>
        <v>92.481999999999999</v>
      </c>
    </row>
    <row r="211" spans="1:17" ht="15" customHeight="1" x14ac:dyDescent="0.2"/>
    <row r="212" spans="1:17" ht="15" customHeight="1" x14ac:dyDescent="0.2">
      <c r="O212" s="70"/>
    </row>
    <row r="213" spans="1:17" ht="15" customHeight="1" x14ac:dyDescent="0.2">
      <c r="O213" s="70"/>
    </row>
    <row r="214" spans="1:17" ht="15" customHeight="1" x14ac:dyDescent="0.2">
      <c r="O214" s="70"/>
    </row>
    <row r="215" spans="1:17" ht="15" customHeight="1" x14ac:dyDescent="0.2">
      <c r="O215" s="70"/>
    </row>
    <row r="216" spans="1:17" ht="15" customHeight="1" x14ac:dyDescent="0.2">
      <c r="O216" s="70"/>
    </row>
    <row r="217" spans="1:17" ht="15" customHeight="1" x14ac:dyDescent="0.2">
      <c r="A217" s="108"/>
      <c r="B217" s="21"/>
      <c r="C217" s="21"/>
      <c r="D217" s="21"/>
      <c r="E217" s="21"/>
      <c r="F217" s="21"/>
      <c r="G217" s="21"/>
      <c r="H217" s="21"/>
      <c r="I217" s="21"/>
      <c r="J217" s="21"/>
      <c r="K217" s="21"/>
      <c r="L217" s="21"/>
      <c r="M217" s="21"/>
      <c r="N217" s="21"/>
      <c r="O217" s="351"/>
      <c r="P217" s="22"/>
    </row>
    <row r="218" spans="1:17" ht="15" customHeight="1" x14ac:dyDescent="0.2">
      <c r="A218" s="63"/>
      <c r="B218" s="1"/>
      <c r="C218" s="1"/>
      <c r="D218" s="1"/>
      <c r="E218" s="1"/>
      <c r="F218" s="1"/>
      <c r="G218" s="1"/>
      <c r="H218" s="1"/>
      <c r="I218" s="1"/>
      <c r="J218" s="1"/>
      <c r="K218" s="1"/>
      <c r="L218" s="1"/>
      <c r="M218" s="1"/>
      <c r="N218" s="1"/>
      <c r="O218" s="413" t="s">
        <v>277</v>
      </c>
      <c r="P218" s="378"/>
    </row>
    <row r="219" spans="1:17" ht="15" customHeight="1" x14ac:dyDescent="0.2">
      <c r="A219" s="63"/>
      <c r="B219" s="1"/>
      <c r="C219" s="1"/>
      <c r="D219" s="1"/>
      <c r="E219" s="1"/>
      <c r="F219" s="1"/>
      <c r="G219" s="1"/>
      <c r="H219" s="1"/>
      <c r="I219" s="1"/>
      <c r="J219" s="1"/>
      <c r="K219" s="1"/>
      <c r="L219" s="1"/>
      <c r="M219" s="1"/>
      <c r="N219" s="1"/>
      <c r="O219" s="352"/>
      <c r="P219" s="39"/>
    </row>
    <row r="220" spans="1:17" ht="15" customHeight="1" x14ac:dyDescent="0.2">
      <c r="A220" s="353" t="s">
        <v>175</v>
      </c>
      <c r="B220" s="354" t="s">
        <v>264</v>
      </c>
      <c r="C220" s="1"/>
      <c r="D220" s="1"/>
      <c r="E220" s="1"/>
      <c r="F220" s="1"/>
      <c r="G220" s="1"/>
      <c r="H220" s="1"/>
      <c r="I220" s="1"/>
      <c r="J220" s="1"/>
      <c r="K220" s="355" t="s">
        <v>198</v>
      </c>
      <c r="L220" s="1"/>
      <c r="M220" s="1"/>
      <c r="N220" s="1"/>
      <c r="O220" s="409" t="s">
        <v>199</v>
      </c>
      <c r="P220" s="39"/>
    </row>
    <row r="221" spans="1:17" ht="15" customHeight="1" x14ac:dyDescent="0.2">
      <c r="A221" s="353"/>
      <c r="B221" s="354" t="str">
        <f>B9</f>
        <v xml:space="preserve"> 3304s</v>
      </c>
      <c r="C221" s="1"/>
      <c r="D221" s="1"/>
      <c r="E221" s="1"/>
      <c r="F221" s="1"/>
      <c r="G221" s="1"/>
      <c r="H221" s="1"/>
      <c r="I221" s="1"/>
      <c r="J221" s="1"/>
      <c r="K221" s="355"/>
      <c r="L221" s="1"/>
      <c r="M221" s="1"/>
      <c r="N221" s="1"/>
      <c r="O221" s="409"/>
      <c r="P221" s="39"/>
    </row>
    <row r="222" spans="1:17" ht="15" customHeight="1" x14ac:dyDescent="0.2">
      <c r="A222" s="353"/>
      <c r="B222" s="354" t="str">
        <f>B10</f>
        <v xml:space="preserve"> 18 SXF 350</v>
      </c>
      <c r="C222" s="1"/>
      <c r="D222" s="1" t="str">
        <f>B5</f>
        <v xml:space="preserve">  We will use the exact spring rate from the test because a good test should have decent r-zeta and r/c ratio.</v>
      </c>
      <c r="E222" s="1"/>
      <c r="F222" s="1"/>
      <c r="G222" s="1"/>
      <c r="H222" s="1"/>
      <c r="I222" s="1"/>
      <c r="J222" s="1"/>
      <c r="K222" s="355"/>
      <c r="L222" s="1"/>
      <c r="M222" s="1"/>
      <c r="N222" s="1"/>
      <c r="O222" s="409"/>
      <c r="P222" s="39"/>
    </row>
    <row r="223" spans="1:17" ht="15" customHeight="1" x14ac:dyDescent="0.2">
      <c r="A223" s="353"/>
      <c r="B223" s="354" t="str">
        <f>B11</f>
        <v xml:space="preserve"> Cody Harris</v>
      </c>
      <c r="C223" s="1"/>
      <c r="D223" s="1" t="str">
        <f>B6</f>
        <v xml:space="preserve">  We are removing calc gas (73c and 69c) and displaying linear gas force (77 lbs and 73 lbs) for 12sxf450-psh and 16sxf250-psh respectively.</v>
      </c>
      <c r="E223" s="1"/>
      <c r="F223" s="1"/>
      <c r="G223" s="1"/>
      <c r="H223" s="1"/>
      <c r="I223" s="1"/>
      <c r="J223" s="1"/>
      <c r="K223" s="355"/>
      <c r="L223" s="1"/>
      <c r="M223" s="1"/>
      <c r="N223" s="1"/>
      <c r="O223" s="409"/>
      <c r="P223" s="39"/>
    </row>
    <row r="224" spans="1:17" ht="15" customHeight="1" x14ac:dyDescent="0.2">
      <c r="A224" s="353"/>
      <c r="B224" s="354" t="str">
        <f>B12</f>
        <v xml:space="preserve"> 16sxf250-psh</v>
      </c>
      <c r="C224" s="1"/>
      <c r="D224" s="1"/>
      <c r="E224" s="1"/>
      <c r="F224" s="1"/>
      <c r="G224" s="1"/>
      <c r="H224" s="1"/>
      <c r="I224" s="1"/>
      <c r="J224" s="1"/>
      <c r="K224" s="355"/>
      <c r="L224" s="1"/>
      <c r="M224" s="1"/>
      <c r="N224" s="1"/>
      <c r="O224" s="409"/>
      <c r="P224" s="39"/>
    </row>
    <row r="225" spans="1:16" ht="15" customHeight="1" x14ac:dyDescent="0.2">
      <c r="A225" s="63"/>
      <c r="B225" s="354" t="str">
        <f>B13</f>
        <v xml:space="preserve"> TRENDLINE</v>
      </c>
      <c r="C225" s="354" t="str">
        <f>C13</f>
        <v xml:space="preserve"> v6</v>
      </c>
      <c r="D225" s="1"/>
      <c r="E225" s="1"/>
      <c r="F225" s="1"/>
      <c r="G225" s="1"/>
      <c r="H225" s="1"/>
      <c r="I225" s="1"/>
      <c r="J225" s="1"/>
      <c r="K225" s="355"/>
      <c r="L225" s="1"/>
      <c r="M225" s="1"/>
      <c r="N225" s="1"/>
      <c r="O225" s="409"/>
      <c r="P225" s="39"/>
    </row>
    <row r="226" spans="1:16" ht="15" customHeight="1" x14ac:dyDescent="0.2">
      <c r="A226" s="63"/>
      <c r="B226" s="354"/>
      <c r="C226" s="1"/>
      <c r="D226" s="1"/>
      <c r="E226" s="1"/>
      <c r="F226" s="1"/>
      <c r="G226" s="1"/>
      <c r="H226" s="1"/>
      <c r="I226" s="1"/>
      <c r="J226" s="1"/>
      <c r="K226" s="1"/>
      <c r="L226" s="1"/>
      <c r="M226" s="1"/>
      <c r="N226" s="1"/>
      <c r="O226" s="1"/>
      <c r="P226" s="39"/>
    </row>
    <row r="227" spans="1:16" ht="15" customHeight="1" x14ac:dyDescent="0.2">
      <c r="A227" s="23"/>
      <c r="B227" s="356" t="s">
        <v>284</v>
      </c>
      <c r="C227" s="354"/>
      <c r="D227" s="1"/>
      <c r="E227" s="1"/>
      <c r="F227" s="1"/>
      <c r="G227" s="1"/>
      <c r="H227" s="1"/>
      <c r="I227" s="1"/>
      <c r="J227" s="1"/>
      <c r="K227" s="1"/>
      <c r="L227" s="1"/>
      <c r="M227" s="1"/>
      <c r="N227" s="1"/>
      <c r="O227" s="1"/>
      <c r="P227" s="39"/>
    </row>
    <row r="228" spans="1:16" ht="15" customHeight="1" x14ac:dyDescent="0.2">
      <c r="A228" s="63"/>
      <c r="B228" s="1"/>
      <c r="C228" s="1"/>
      <c r="D228" s="1"/>
      <c r="E228" s="1"/>
      <c r="F228" s="1"/>
      <c r="G228" s="1"/>
      <c r="H228" s="180" t="str">
        <f>J99</f>
        <v>stiff</v>
      </c>
      <c r="I228" s="1"/>
      <c r="J228" s="1"/>
      <c r="K228" s="1"/>
      <c r="L228" s="1"/>
      <c r="M228" s="1"/>
      <c r="N228" s="1"/>
      <c r="O228" s="1"/>
      <c r="P228" s="39"/>
    </row>
    <row r="229" spans="1:16" ht="15" customHeight="1" x14ac:dyDescent="0.2">
      <c r="A229" s="379" t="s">
        <v>228</v>
      </c>
      <c r="B229" s="446">
        <f>D150</f>
        <v>4.6500000000000004</v>
      </c>
      <c r="C229" s="180" t="s">
        <v>133</v>
      </c>
      <c r="D229" s="168" t="s">
        <v>133</v>
      </c>
      <c r="E229" s="170" t="s">
        <v>133</v>
      </c>
      <c r="F229" s="272" t="s">
        <v>110</v>
      </c>
      <c r="G229" s="278" t="s">
        <v>133</v>
      </c>
      <c r="H229" s="180" t="s">
        <v>124</v>
      </c>
      <c r="I229" s="180" t="s">
        <v>50</v>
      </c>
      <c r="J229" s="182" t="s">
        <v>50</v>
      </c>
      <c r="K229" s="279" t="s">
        <v>124</v>
      </c>
      <c r="L229" s="182" t="s">
        <v>117</v>
      </c>
      <c r="M229" s="182" t="s">
        <v>110</v>
      </c>
      <c r="N229" s="182" t="s">
        <v>112</v>
      </c>
      <c r="O229" s="1"/>
      <c r="P229" s="182" t="s">
        <v>117</v>
      </c>
    </row>
    <row r="230" spans="1:16" ht="15" customHeight="1" x14ac:dyDescent="0.2">
      <c r="A230" s="63"/>
      <c r="B230" s="186"/>
      <c r="C230" s="266" t="s">
        <v>117</v>
      </c>
      <c r="D230" s="264" t="s">
        <v>118</v>
      </c>
      <c r="E230" s="196" t="s">
        <v>109</v>
      </c>
      <c r="F230" s="273" t="s">
        <v>127</v>
      </c>
      <c r="G230" s="183" t="s">
        <v>110</v>
      </c>
      <c r="H230" s="181" t="s">
        <v>112</v>
      </c>
      <c r="I230" s="181" t="s">
        <v>114</v>
      </c>
      <c r="J230" s="183" t="s">
        <v>115</v>
      </c>
      <c r="K230" s="280" t="s">
        <v>105</v>
      </c>
      <c r="L230" s="183" t="s">
        <v>116</v>
      </c>
      <c r="M230" s="183" t="s">
        <v>116</v>
      </c>
      <c r="N230" s="183" t="s">
        <v>116</v>
      </c>
      <c r="O230" s="1"/>
      <c r="P230" s="183" t="s">
        <v>116</v>
      </c>
    </row>
    <row r="231" spans="1:16" ht="15" customHeight="1" x14ac:dyDescent="0.2">
      <c r="A231" s="63"/>
      <c r="B231" s="186" t="s">
        <v>39</v>
      </c>
      <c r="C231" s="267" t="s">
        <v>130</v>
      </c>
      <c r="D231" s="265" t="s">
        <v>130</v>
      </c>
      <c r="E231" s="192" t="s">
        <v>130</v>
      </c>
      <c r="F231" s="274" t="s">
        <v>131</v>
      </c>
      <c r="G231" s="267" t="s">
        <v>130</v>
      </c>
      <c r="H231" s="267" t="s">
        <v>130</v>
      </c>
      <c r="I231" s="267" t="s">
        <v>130</v>
      </c>
      <c r="J231" s="267" t="s">
        <v>130</v>
      </c>
      <c r="K231" s="281" t="s">
        <v>195</v>
      </c>
      <c r="L231" s="267" t="s">
        <v>130</v>
      </c>
      <c r="M231" s="267" t="s">
        <v>130</v>
      </c>
      <c r="N231" s="267" t="s">
        <v>130</v>
      </c>
      <c r="O231" s="1"/>
      <c r="P231" s="183" t="s">
        <v>128</v>
      </c>
    </row>
    <row r="232" spans="1:16" ht="15" customHeight="1" x14ac:dyDescent="0.2">
      <c r="A232" s="63"/>
      <c r="B232" s="186">
        <v>1</v>
      </c>
      <c r="C232" s="268">
        <f t="shared" ref="C232:E241" si="54">C129</f>
        <v>51.181636248825882</v>
      </c>
      <c r="D232" s="301">
        <f t="shared" si="54"/>
        <v>120.18163624882588</v>
      </c>
      <c r="E232" s="275">
        <f t="shared" si="54"/>
        <v>30.381636248825888</v>
      </c>
      <c r="F232" s="275">
        <f>G232+J232</f>
        <v>45.773636248825888</v>
      </c>
      <c r="G232" s="268">
        <f t="shared" ref="G232:H241" si="55">F129</f>
        <v>29.773636248825888</v>
      </c>
      <c r="H232" s="304">
        <f t="shared" si="55"/>
        <v>0.60799999999999998</v>
      </c>
      <c r="I232" s="308">
        <f>M129</f>
        <v>73</v>
      </c>
      <c r="J232" s="268">
        <f t="shared" ref="J232:J241" si="56">L129</f>
        <v>16</v>
      </c>
      <c r="K232" s="373">
        <f>H232/E232</f>
        <v>2.0012088717687036E-2</v>
      </c>
      <c r="L232" s="312">
        <f t="shared" ref="L232:L241" si="57">F149</f>
        <v>1.374510155469604</v>
      </c>
      <c r="M232" s="312">
        <f t="shared" ref="M232:M241" si="58">H171</f>
        <v>0.79956795740311482</v>
      </c>
      <c r="N232" s="312">
        <f t="shared" ref="N232:N241" si="59">H201</f>
        <v>1.6327777838028249E-2</v>
      </c>
      <c r="O232" s="1"/>
      <c r="P232" s="316">
        <f>L232</f>
        <v>1.374510155469604</v>
      </c>
    </row>
    <row r="233" spans="1:16" ht="15" customHeight="1" x14ac:dyDescent="0.2">
      <c r="A233" s="63"/>
      <c r="B233" s="186">
        <v>2</v>
      </c>
      <c r="C233" s="269">
        <f t="shared" si="54"/>
        <v>80.268628994956202</v>
      </c>
      <c r="D233" s="302">
        <f t="shared" si="54"/>
        <v>149.2686289949562</v>
      </c>
      <c r="E233" s="276">
        <f t="shared" si="54"/>
        <v>59.668628994956215</v>
      </c>
      <c r="F233" s="276">
        <f t="shared" ref="F233:F241" si="60">G233+J233</f>
        <v>73.282628994956212</v>
      </c>
      <c r="G233" s="269">
        <f t="shared" si="55"/>
        <v>57.282628994956212</v>
      </c>
      <c r="H233" s="305">
        <f t="shared" si="55"/>
        <v>2.3860000000000001</v>
      </c>
      <c r="I233" s="309">
        <f t="shared" ref="I233:I241" si="61">M130</f>
        <v>73</v>
      </c>
      <c r="J233" s="269">
        <f t="shared" si="56"/>
        <v>16</v>
      </c>
      <c r="K233" s="374">
        <f t="shared" ref="K233:K241" si="62">H233/E233</f>
        <v>3.9987511699015051E-2</v>
      </c>
      <c r="L233" s="313">
        <f t="shared" si="57"/>
        <v>1.0778284342337745</v>
      </c>
      <c r="M233" s="313">
        <f t="shared" si="58"/>
        <v>0.76915957253934242</v>
      </c>
      <c r="N233" s="313">
        <f t="shared" si="59"/>
        <v>3.2037893027578451E-2</v>
      </c>
      <c r="O233" s="1"/>
      <c r="P233" s="317">
        <f t="shared" ref="P233:P241" si="63">L233</f>
        <v>1.0778284342337745</v>
      </c>
    </row>
    <row r="234" spans="1:16" ht="15" customHeight="1" x14ac:dyDescent="0.2">
      <c r="A234" s="63"/>
      <c r="B234" s="186">
        <v>3</v>
      </c>
      <c r="C234" s="270">
        <f t="shared" si="54"/>
        <v>104.87922095492178</v>
      </c>
      <c r="D234" s="303">
        <f t="shared" si="54"/>
        <v>173.87922095492178</v>
      </c>
      <c r="E234" s="277">
        <f t="shared" si="54"/>
        <v>84.579220954921794</v>
      </c>
      <c r="F234" s="277">
        <f t="shared" si="60"/>
        <v>95.677220954921793</v>
      </c>
      <c r="G234" s="270">
        <f t="shared" si="55"/>
        <v>79.677220954921793</v>
      </c>
      <c r="H234" s="306">
        <f t="shared" si="55"/>
        <v>4.9020000000000001</v>
      </c>
      <c r="I234" s="310">
        <f t="shared" si="61"/>
        <v>73</v>
      </c>
      <c r="J234" s="270">
        <f t="shared" si="56"/>
        <v>16</v>
      </c>
      <c r="K234" s="375">
        <f t="shared" si="62"/>
        <v>5.79574976531484E-2</v>
      </c>
      <c r="L234" s="314">
        <f t="shared" si="57"/>
        <v>0.93886248314688914</v>
      </c>
      <c r="M234" s="314">
        <f t="shared" si="58"/>
        <v>0.71324120751285747</v>
      </c>
      <c r="N234" s="314">
        <f t="shared" si="59"/>
        <v>4.3880902939700921E-2</v>
      </c>
      <c r="O234" s="1"/>
      <c r="P234" s="318">
        <f t="shared" si="63"/>
        <v>0.93886248314688914</v>
      </c>
    </row>
    <row r="235" spans="1:16" ht="15" customHeight="1" x14ac:dyDescent="0.2">
      <c r="A235" s="63"/>
      <c r="B235" s="186">
        <v>4</v>
      </c>
      <c r="C235" s="270">
        <f t="shared" si="54"/>
        <v>126.37215096573553</v>
      </c>
      <c r="D235" s="303">
        <f t="shared" si="54"/>
        <v>195.37215096573553</v>
      </c>
      <c r="E235" s="277">
        <f t="shared" si="54"/>
        <v>105.97215096573552</v>
      </c>
      <c r="F235" s="277">
        <f t="shared" si="60"/>
        <v>114.01415096573552</v>
      </c>
      <c r="G235" s="270">
        <f t="shared" si="55"/>
        <v>98.014150965735524</v>
      </c>
      <c r="H235" s="306">
        <f t="shared" si="55"/>
        <v>7.9580000000000002</v>
      </c>
      <c r="I235" s="310">
        <f t="shared" si="61"/>
        <v>73</v>
      </c>
      <c r="J235" s="270">
        <f t="shared" si="56"/>
        <v>16</v>
      </c>
      <c r="K235" s="375">
        <f t="shared" si="62"/>
        <v>7.5095201215393828E-2</v>
      </c>
      <c r="L235" s="314">
        <f t="shared" si="57"/>
        <v>0.84844788874313337</v>
      </c>
      <c r="M235" s="314">
        <f t="shared" si="58"/>
        <v>0.65804000080242242</v>
      </c>
      <c r="N235" s="314">
        <f t="shared" si="59"/>
        <v>5.3427819093350655E-2</v>
      </c>
      <c r="O235" s="1"/>
      <c r="P235" s="318">
        <f t="shared" si="63"/>
        <v>0.84844788874313337</v>
      </c>
    </row>
    <row r="236" spans="1:16" ht="15" customHeight="1" x14ac:dyDescent="0.2">
      <c r="A236" s="63"/>
      <c r="B236" s="186">
        <v>5</v>
      </c>
      <c r="C236" s="269">
        <f t="shared" si="54"/>
        <v>144.95915786441029</v>
      </c>
      <c r="D236" s="302">
        <f t="shared" si="54"/>
        <v>213.95915786441029</v>
      </c>
      <c r="E236" s="276">
        <f t="shared" si="54"/>
        <v>124.5591578644103</v>
      </c>
      <c r="F236" s="276">
        <f t="shared" si="60"/>
        <v>129.35015786441028</v>
      </c>
      <c r="G236" s="269">
        <f t="shared" si="55"/>
        <v>113.35015786441029</v>
      </c>
      <c r="H236" s="305">
        <f t="shared" si="55"/>
        <v>11.209</v>
      </c>
      <c r="I236" s="309">
        <f t="shared" si="61"/>
        <v>73</v>
      </c>
      <c r="J236" s="269">
        <f t="shared" si="56"/>
        <v>16</v>
      </c>
      <c r="K236" s="374">
        <f t="shared" si="62"/>
        <v>8.9989368844333645E-2</v>
      </c>
      <c r="L236" s="313">
        <f t="shared" si="57"/>
        <v>0.77859110890587913</v>
      </c>
      <c r="M236" s="313">
        <f t="shared" si="58"/>
        <v>0.60880138010379004</v>
      </c>
      <c r="N236" s="313">
        <f t="shared" si="59"/>
        <v>6.0203309798177174E-2</v>
      </c>
      <c r="O236" s="1"/>
      <c r="P236" s="317">
        <f t="shared" si="63"/>
        <v>0.77859110890587913</v>
      </c>
    </row>
    <row r="237" spans="1:16" ht="15" customHeight="1" x14ac:dyDescent="0.2">
      <c r="A237" s="63"/>
      <c r="B237" s="186">
        <v>10</v>
      </c>
      <c r="C237" s="270">
        <f t="shared" si="54"/>
        <v>226.12967391414662</v>
      </c>
      <c r="D237" s="303">
        <f t="shared" si="54"/>
        <v>295.12967391414662</v>
      </c>
      <c r="E237" s="277">
        <f t="shared" si="54"/>
        <v>205.62967391414662</v>
      </c>
      <c r="F237" s="277">
        <f t="shared" si="60"/>
        <v>197.95967391414661</v>
      </c>
      <c r="G237" s="270">
        <f t="shared" si="55"/>
        <v>181.95967391414661</v>
      </c>
      <c r="H237" s="306">
        <f t="shared" si="55"/>
        <v>23.67</v>
      </c>
      <c r="I237" s="310">
        <f t="shared" si="61"/>
        <v>73</v>
      </c>
      <c r="J237" s="270">
        <f t="shared" si="56"/>
        <v>16</v>
      </c>
      <c r="K237" s="375">
        <f t="shared" si="62"/>
        <v>0.1151098455268794</v>
      </c>
      <c r="L237" s="314">
        <f t="shared" si="57"/>
        <v>0.6072833071161432</v>
      </c>
      <c r="M237" s="314">
        <f t="shared" si="58"/>
        <v>0.48865084393918579</v>
      </c>
      <c r="N237" s="314">
        <f t="shared" si="59"/>
        <v>6.3565542997718522E-2</v>
      </c>
      <c r="O237" s="1"/>
      <c r="P237" s="318">
        <f t="shared" si="63"/>
        <v>0.6072833071161432</v>
      </c>
    </row>
    <row r="238" spans="1:16" ht="15" customHeight="1" x14ac:dyDescent="0.2">
      <c r="A238" s="63"/>
      <c r="B238" s="186">
        <v>20</v>
      </c>
      <c r="C238" s="270">
        <f t="shared" si="54"/>
        <v>367.45242857142858</v>
      </c>
      <c r="D238" s="303">
        <f t="shared" si="54"/>
        <v>436.45242857142858</v>
      </c>
      <c r="E238" s="277">
        <f t="shared" si="54"/>
        <v>346.95242857142858</v>
      </c>
      <c r="F238" s="277">
        <f t="shared" si="60"/>
        <v>317.8314285714286</v>
      </c>
      <c r="G238" s="270">
        <f t="shared" si="55"/>
        <v>301.8314285714286</v>
      </c>
      <c r="H238" s="306">
        <f t="shared" si="55"/>
        <v>45.121000000000002</v>
      </c>
      <c r="I238" s="310">
        <f t="shared" si="61"/>
        <v>73</v>
      </c>
      <c r="J238" s="270">
        <f t="shared" si="56"/>
        <v>16</v>
      </c>
      <c r="K238" s="375">
        <f t="shared" si="62"/>
        <v>0.13004952922734983</v>
      </c>
      <c r="L238" s="314">
        <f t="shared" si="57"/>
        <v>0.49340655334654737</v>
      </c>
      <c r="M238" s="314">
        <f t="shared" si="58"/>
        <v>0.40528260775073832</v>
      </c>
      <c r="N238" s="314">
        <f t="shared" si="59"/>
        <v>6.0585992091255973E-2</v>
      </c>
      <c r="O238" s="1"/>
      <c r="P238" s="318">
        <f t="shared" si="63"/>
        <v>0.49340655334654737</v>
      </c>
    </row>
    <row r="239" spans="1:16" ht="15" customHeight="1" x14ac:dyDescent="0.2">
      <c r="A239" s="63"/>
      <c r="B239" s="186">
        <v>30</v>
      </c>
      <c r="C239" s="270">
        <f t="shared" si="54"/>
        <v>498.26585714285716</v>
      </c>
      <c r="D239" s="303">
        <f t="shared" si="54"/>
        <v>567.26585714285716</v>
      </c>
      <c r="E239" s="277">
        <f t="shared" si="54"/>
        <v>477.46585714285715</v>
      </c>
      <c r="F239" s="277">
        <f t="shared" si="60"/>
        <v>431.40285714285716</v>
      </c>
      <c r="G239" s="270">
        <f t="shared" si="55"/>
        <v>415.40285714285716</v>
      </c>
      <c r="H239" s="306">
        <f t="shared" si="55"/>
        <v>62.063000000000002</v>
      </c>
      <c r="I239" s="310">
        <f t="shared" si="61"/>
        <v>73</v>
      </c>
      <c r="J239" s="270">
        <f t="shared" si="56"/>
        <v>16</v>
      </c>
      <c r="K239" s="375">
        <f t="shared" si="62"/>
        <v>0.12998416341512528</v>
      </c>
      <c r="L239" s="314">
        <f t="shared" si="57"/>
        <v>0.44603985007242059</v>
      </c>
      <c r="M239" s="314">
        <f t="shared" si="58"/>
        <v>0.37185337525826517</v>
      </c>
      <c r="N239" s="314">
        <f t="shared" si="59"/>
        <v>5.5556517322453251E-2</v>
      </c>
      <c r="O239" s="1"/>
      <c r="P239" s="318">
        <f t="shared" si="63"/>
        <v>0.44603985007242059</v>
      </c>
    </row>
    <row r="240" spans="1:16" ht="15" customHeight="1" x14ac:dyDescent="0.2">
      <c r="A240" s="63"/>
      <c r="B240" s="186">
        <v>40</v>
      </c>
      <c r="C240" s="270">
        <f t="shared" si="54"/>
        <v>620.62842857142857</v>
      </c>
      <c r="D240" s="303">
        <f t="shared" si="54"/>
        <v>689.62842857142857</v>
      </c>
      <c r="E240" s="277">
        <f t="shared" si="54"/>
        <v>599.32842857142862</v>
      </c>
      <c r="F240" s="277">
        <f t="shared" si="60"/>
        <v>537.43142857142857</v>
      </c>
      <c r="G240" s="270">
        <f t="shared" si="55"/>
        <v>521.43142857142857</v>
      </c>
      <c r="H240" s="306">
        <f t="shared" si="55"/>
        <v>77.897000000000006</v>
      </c>
      <c r="I240" s="310">
        <f t="shared" si="61"/>
        <v>74</v>
      </c>
      <c r="J240" s="270">
        <f t="shared" si="56"/>
        <v>16</v>
      </c>
      <c r="K240" s="375">
        <f t="shared" si="62"/>
        <v>0.12997381116339979</v>
      </c>
      <c r="L240" s="314">
        <f t="shared" si="57"/>
        <v>0.41668269147224635</v>
      </c>
      <c r="M240" s="314">
        <f t="shared" si="58"/>
        <v>0.35007469257730184</v>
      </c>
      <c r="N240" s="314">
        <f t="shared" si="59"/>
        <v>5.2297899270102241E-2</v>
      </c>
      <c r="O240" s="1"/>
      <c r="P240" s="318">
        <f t="shared" si="63"/>
        <v>0.41668269147224635</v>
      </c>
    </row>
    <row r="241" spans="1:16" ht="15" customHeight="1" x14ac:dyDescent="0.2">
      <c r="A241" s="63"/>
      <c r="B241" s="186">
        <v>50</v>
      </c>
      <c r="C241" s="271">
        <f t="shared" si="54"/>
        <v>733.59914285714274</v>
      </c>
      <c r="D241" s="302">
        <f t="shared" si="54"/>
        <v>802.59914285714274</v>
      </c>
      <c r="E241" s="276">
        <f t="shared" si="54"/>
        <v>711.19914285714276</v>
      </c>
      <c r="F241" s="276">
        <f t="shared" si="60"/>
        <v>634.71714285714279</v>
      </c>
      <c r="G241" s="271">
        <f t="shared" si="55"/>
        <v>618.71714285714279</v>
      </c>
      <c r="H241" s="307">
        <f t="shared" si="55"/>
        <v>92.481999999999999</v>
      </c>
      <c r="I241" s="311">
        <f t="shared" si="61"/>
        <v>75</v>
      </c>
      <c r="J241" s="271">
        <f t="shared" si="56"/>
        <v>16</v>
      </c>
      <c r="K241" s="376">
        <f t="shared" si="62"/>
        <v>0.13003671465135144</v>
      </c>
      <c r="L241" s="315">
        <f t="shared" si="57"/>
        <v>0.39402392959801896</v>
      </c>
      <c r="M241" s="315">
        <f t="shared" si="58"/>
        <v>0.33231171227470441</v>
      </c>
      <c r="N241" s="315">
        <f t="shared" si="59"/>
        <v>4.967189309264896E-2</v>
      </c>
      <c r="O241" s="1"/>
      <c r="P241" s="319">
        <f t="shared" si="63"/>
        <v>0.39402392959801896</v>
      </c>
    </row>
    <row r="242" spans="1:16" ht="15" customHeight="1" x14ac:dyDescent="0.2">
      <c r="A242" s="63"/>
      <c r="B242" s="1"/>
      <c r="C242" s="1"/>
      <c r="D242" s="1"/>
      <c r="E242" s="1"/>
      <c r="F242" s="1"/>
      <c r="G242" s="1"/>
      <c r="H242" s="1"/>
      <c r="I242" s="1"/>
      <c r="J242" s="1"/>
      <c r="K242" s="1"/>
      <c r="L242" s="1"/>
      <c r="M242" s="1"/>
      <c r="N242" s="1"/>
      <c r="O242" s="1"/>
      <c r="P242" s="39"/>
    </row>
    <row r="243" spans="1:16" ht="15" customHeight="1" x14ac:dyDescent="0.2">
      <c r="A243" s="63"/>
      <c r="B243" s="1"/>
      <c r="C243" s="1"/>
      <c r="D243" s="1"/>
      <c r="E243" s="1"/>
      <c r="F243" s="1"/>
      <c r="G243" s="1"/>
      <c r="H243" s="1"/>
      <c r="I243" s="1"/>
      <c r="J243" s="1"/>
      <c r="K243" s="1"/>
      <c r="L243" s="357" t="s">
        <v>210</v>
      </c>
      <c r="M243" s="360" t="s">
        <v>402</v>
      </c>
      <c r="N243" s="1"/>
      <c r="O243" s="1"/>
      <c r="P243" s="39"/>
    </row>
    <row r="244" spans="1:16" ht="15" customHeight="1" x14ac:dyDescent="0.2">
      <c r="A244" s="63"/>
      <c r="B244" s="1"/>
      <c r="C244" s="1"/>
      <c r="D244" s="1"/>
      <c r="E244" s="1"/>
      <c r="F244" s="1"/>
      <c r="G244" s="1"/>
      <c r="H244" s="1"/>
      <c r="I244" s="1"/>
      <c r="J244" s="1"/>
      <c r="K244" s="1"/>
      <c r="L244" s="1" t="s">
        <v>400</v>
      </c>
      <c r="M244" s="1"/>
      <c r="N244" s="1"/>
      <c r="O244" s="1"/>
      <c r="P244" s="39"/>
    </row>
    <row r="245" spans="1:16" ht="15" customHeight="1" x14ac:dyDescent="0.2">
      <c r="A245" s="63"/>
      <c r="B245" s="1"/>
      <c r="C245" s="1"/>
      <c r="D245" s="1"/>
      <c r="E245" s="1"/>
      <c r="F245" s="1"/>
      <c r="G245" s="1"/>
      <c r="H245" s="1"/>
      <c r="I245" s="1"/>
      <c r="J245" s="1"/>
      <c r="K245" s="1"/>
      <c r="L245" s="1"/>
      <c r="M245" s="359"/>
      <c r="N245" s="1"/>
      <c r="O245" s="1"/>
      <c r="P245" s="39"/>
    </row>
    <row r="246" spans="1:16" ht="15" customHeight="1" x14ac:dyDescent="0.2">
      <c r="A246" s="64"/>
      <c r="B246" s="42"/>
      <c r="C246" s="42"/>
      <c r="D246" s="42"/>
      <c r="E246" s="42"/>
      <c r="F246" s="42"/>
      <c r="G246" s="42"/>
      <c r="H246" s="42"/>
      <c r="I246" s="42"/>
      <c r="J246" s="42"/>
      <c r="K246" s="42"/>
      <c r="L246" s="42"/>
      <c r="M246" s="42"/>
      <c r="N246" s="42"/>
      <c r="O246" s="42"/>
      <c r="P246" s="31"/>
    </row>
    <row r="247" spans="1:16" ht="15" customHeight="1" x14ac:dyDescent="0.2"/>
    <row r="248" spans="1:16" ht="15" customHeight="1" x14ac:dyDescent="0.2"/>
    <row r="249" spans="1:16" ht="15" customHeight="1" x14ac:dyDescent="0.2"/>
    <row r="250" spans="1:16" ht="15" customHeight="1" x14ac:dyDescent="0.2"/>
    <row r="251" spans="1:16" ht="15" customHeight="1" x14ac:dyDescent="0.2"/>
    <row r="252" spans="1:16" ht="15" customHeight="1" x14ac:dyDescent="0.2"/>
    <row r="253" spans="1:16" ht="15" customHeight="1" x14ac:dyDescent="0.2"/>
    <row r="254" spans="1:16" ht="15" customHeight="1" x14ac:dyDescent="0.2"/>
    <row r="255" spans="1:16" ht="15" customHeight="1" x14ac:dyDescent="0.2"/>
    <row r="256" spans="1:16" ht="15" customHeight="1" x14ac:dyDescent="0.2"/>
    <row r="257" spans="1:21" ht="15" customHeight="1" x14ac:dyDescent="0.2"/>
    <row r="258" spans="1:21" ht="15" customHeight="1" x14ac:dyDescent="0.2"/>
    <row r="259" spans="1:21" ht="15" customHeight="1" x14ac:dyDescent="0.2"/>
    <row r="260" spans="1:21" ht="15" customHeight="1" x14ac:dyDescent="0.2"/>
    <row r="261" spans="1:21" ht="15" customHeight="1" x14ac:dyDescent="0.2"/>
    <row r="262" spans="1:21" ht="15" customHeight="1" x14ac:dyDescent="0.2"/>
    <row r="263" spans="1:21" ht="15" customHeight="1" x14ac:dyDescent="0.2"/>
    <row r="264" spans="1:21" ht="15" customHeight="1" x14ac:dyDescent="0.2"/>
    <row r="265" spans="1:21" ht="15" customHeight="1" x14ac:dyDescent="0.2"/>
    <row r="266" spans="1:21" ht="15" customHeight="1" x14ac:dyDescent="0.2">
      <c r="A266" s="42"/>
      <c r="B266" s="42"/>
      <c r="C266" s="42"/>
      <c r="D266" s="42"/>
      <c r="E266" s="42"/>
      <c r="F266" s="42"/>
      <c r="G266" s="42"/>
      <c r="H266" s="42"/>
      <c r="I266" s="42"/>
      <c r="J266" s="42"/>
      <c r="K266" s="42"/>
      <c r="L266" s="42"/>
      <c r="M266" s="42"/>
      <c r="N266" s="42"/>
      <c r="O266" s="42"/>
      <c r="P266" s="42"/>
      <c r="Q266" s="42"/>
      <c r="R266" s="42"/>
      <c r="S266" s="42"/>
      <c r="T266" s="42"/>
      <c r="U266" s="42"/>
    </row>
    <row r="267" spans="1:21" ht="15" customHeight="1" x14ac:dyDescent="0.2"/>
    <row r="268" spans="1:21" ht="15" customHeight="1" x14ac:dyDescent="0.2"/>
    <row r="269" spans="1:21" ht="15" customHeight="1" x14ac:dyDescent="0.2"/>
    <row r="270" spans="1:21" ht="15" customHeight="1" x14ac:dyDescent="0.2"/>
    <row r="271" spans="1:21" ht="15" customHeight="1" x14ac:dyDescent="0.2"/>
    <row r="272" spans="1:21"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sheetData>
  <pageMargins left="0.45" right="0.45" top="0.5" bottom="0.5" header="0.3" footer="0.3"/>
  <pageSetup scale="77"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FF0000"/>
    <pageSetUpPr fitToPage="1"/>
  </sheetPr>
  <dimension ref="A1:BK340"/>
  <sheetViews>
    <sheetView showGridLines="0" tabSelected="1" zoomScale="86" zoomScaleNormal="86" workbookViewId="0">
      <selection activeCell="M17" sqref="M17"/>
    </sheetView>
  </sheetViews>
  <sheetFormatPr defaultRowHeight="12.75" x14ac:dyDescent="0.2"/>
  <cols>
    <col min="2" max="2" width="11.42578125" customWidth="1"/>
    <col min="3" max="4" width="10.5703125" customWidth="1"/>
    <col min="5" max="5" width="10.7109375" customWidth="1"/>
    <col min="6" max="6" width="10.5703125" customWidth="1"/>
    <col min="7" max="7" width="10.7109375" customWidth="1"/>
    <col min="8" max="10" width="10.5703125" customWidth="1"/>
    <col min="11" max="12" width="10.7109375" customWidth="1"/>
    <col min="13" max="13" width="10.5703125" customWidth="1"/>
    <col min="14" max="16" width="10.7109375" customWidth="1"/>
    <col min="17" max="17" width="11.7109375" customWidth="1"/>
    <col min="18" max="18" width="11.5703125" customWidth="1"/>
    <col min="20" max="20" width="9.140625" customWidth="1"/>
    <col min="29" max="29" width="9.140625" customWidth="1"/>
    <col min="36" max="36" width="9.5703125" bestFit="1" customWidth="1"/>
    <col min="43" max="43" width="10.28515625" customWidth="1"/>
  </cols>
  <sheetData>
    <row r="1" spans="1:29" ht="15" customHeight="1" x14ac:dyDescent="0.2">
      <c r="K1" t="s">
        <v>73</v>
      </c>
    </row>
    <row r="2" spans="1:29" ht="15" customHeight="1" x14ac:dyDescent="0.2">
      <c r="A2" s="411" t="s">
        <v>266</v>
      </c>
      <c r="B2" s="410" t="s">
        <v>267</v>
      </c>
      <c r="C2" s="411"/>
      <c r="D2" s="411"/>
      <c r="E2" s="411"/>
      <c r="F2" s="411"/>
    </row>
    <row r="3" spans="1:29" ht="15" customHeight="1" x14ac:dyDescent="0.2">
      <c r="A3" s="411"/>
      <c r="B3" s="427" t="s">
        <v>376</v>
      </c>
      <c r="C3" s="411"/>
      <c r="D3" s="411"/>
      <c r="E3" s="411"/>
      <c r="F3" s="411"/>
    </row>
    <row r="4" spans="1:29" ht="15" customHeight="1" x14ac:dyDescent="0.2">
      <c r="A4" s="411"/>
      <c r="B4" s="427" t="s">
        <v>377</v>
      </c>
      <c r="C4" s="411"/>
      <c r="D4" s="411"/>
      <c r="E4" s="411"/>
      <c r="F4" s="411"/>
      <c r="G4" s="411"/>
    </row>
    <row r="5" spans="1:29" ht="15" customHeight="1" x14ac:dyDescent="0.2">
      <c r="A5" s="411"/>
      <c r="B5" s="412" t="s">
        <v>268</v>
      </c>
      <c r="C5" s="411"/>
      <c r="D5" s="411"/>
      <c r="E5" s="411"/>
      <c r="F5" s="411"/>
      <c r="G5" s="411"/>
    </row>
    <row r="6" spans="1:29" ht="15" customHeight="1" x14ac:dyDescent="0.2">
      <c r="A6" s="411"/>
      <c r="B6" s="412" t="s">
        <v>278</v>
      </c>
      <c r="C6" s="411"/>
      <c r="D6" s="411"/>
      <c r="E6" s="411"/>
      <c r="F6" s="411"/>
    </row>
    <row r="7" spans="1:29" ht="15" customHeight="1" x14ac:dyDescent="0.2">
      <c r="A7" s="411"/>
      <c r="B7" s="411"/>
      <c r="C7" s="411"/>
      <c r="D7" s="411"/>
      <c r="E7" s="411"/>
      <c r="F7" s="411"/>
      <c r="P7" s="289" t="s">
        <v>183</v>
      </c>
      <c r="Q7" s="289" t="s">
        <v>184</v>
      </c>
    </row>
    <row r="8" spans="1:29" ht="15" customHeight="1" x14ac:dyDescent="0.2">
      <c r="B8" s="17" t="s">
        <v>14</v>
      </c>
      <c r="C8" s="18"/>
      <c r="D8" s="18"/>
      <c r="E8" s="18"/>
      <c r="F8" s="18"/>
      <c r="G8" s="18"/>
      <c r="H8" s="18"/>
      <c r="I8" s="18"/>
      <c r="J8" s="18"/>
      <c r="K8" s="18"/>
      <c r="L8" s="19"/>
      <c r="O8" s="291" t="s">
        <v>185</v>
      </c>
      <c r="P8">
        <v>77</v>
      </c>
      <c r="Q8">
        <v>73</v>
      </c>
      <c r="Y8" s="428"/>
      <c r="Z8" s="428"/>
      <c r="AA8" s="428"/>
      <c r="AB8" s="428"/>
      <c r="AC8" s="428"/>
    </row>
    <row r="9" spans="1:29" ht="15" customHeight="1" x14ac:dyDescent="0.2">
      <c r="A9" t="s">
        <v>263</v>
      </c>
      <c r="B9" s="287" t="s">
        <v>391</v>
      </c>
      <c r="C9" s="237"/>
      <c r="D9" s="237"/>
      <c r="E9" s="237"/>
      <c r="F9" s="237"/>
      <c r="G9" s="237"/>
      <c r="H9" s="237"/>
      <c r="I9" s="237"/>
      <c r="J9" s="237"/>
      <c r="K9" s="237"/>
      <c r="L9" s="237"/>
      <c r="O9" s="291" t="s">
        <v>187</v>
      </c>
      <c r="P9" s="292">
        <v>73</v>
      </c>
      <c r="Q9" s="292">
        <v>69</v>
      </c>
      <c r="Y9" s="428"/>
      <c r="Z9" s="428"/>
      <c r="AA9" s="428"/>
      <c r="AB9" s="428"/>
      <c r="AC9" s="428"/>
    </row>
    <row r="10" spans="1:29" ht="15" customHeight="1" x14ac:dyDescent="0.2">
      <c r="A10" t="s">
        <v>263</v>
      </c>
      <c r="B10" s="399" t="s">
        <v>256</v>
      </c>
      <c r="C10" s="237"/>
      <c r="D10" s="237"/>
      <c r="E10" s="237" t="s">
        <v>395</v>
      </c>
      <c r="F10" s="237"/>
      <c r="G10" s="237"/>
      <c r="H10" s="237"/>
      <c r="I10" s="237"/>
      <c r="J10" s="237"/>
      <c r="K10" s="237"/>
      <c r="L10" s="237"/>
      <c r="O10" s="290" t="s">
        <v>186</v>
      </c>
      <c r="P10">
        <f>P8-P9</f>
        <v>4</v>
      </c>
      <c r="Q10">
        <f>Q8-Q9</f>
        <v>4</v>
      </c>
      <c r="Y10" s="428"/>
      <c r="Z10" s="428"/>
      <c r="AA10" s="428"/>
      <c r="AB10" s="428"/>
      <c r="AC10" s="428"/>
    </row>
    <row r="11" spans="1:29" ht="15" customHeight="1" x14ac:dyDescent="0.2">
      <c r="A11" t="s">
        <v>263</v>
      </c>
      <c r="B11" s="399" t="s">
        <v>257</v>
      </c>
      <c r="C11" s="237"/>
      <c r="D11" s="237"/>
      <c r="E11" s="237"/>
      <c r="F11" s="237"/>
      <c r="G11" s="237"/>
      <c r="H11" s="237"/>
      <c r="I11" s="237"/>
      <c r="J11" s="237"/>
      <c r="K11" s="237"/>
      <c r="L11" s="237"/>
      <c r="Y11" s="428"/>
      <c r="Z11" s="428"/>
      <c r="AA11" s="428"/>
      <c r="AB11" s="428"/>
      <c r="AC11" s="428"/>
    </row>
    <row r="12" spans="1:29" ht="15" customHeight="1" x14ac:dyDescent="0.2">
      <c r="A12" t="s">
        <v>263</v>
      </c>
      <c r="B12" s="399" t="s">
        <v>281</v>
      </c>
      <c r="C12" s="237"/>
      <c r="D12" s="237"/>
      <c r="E12" s="237"/>
      <c r="F12" s="237"/>
      <c r="G12" s="237"/>
      <c r="H12" s="237"/>
      <c r="I12" s="237"/>
      <c r="J12" s="237"/>
      <c r="K12" s="237"/>
      <c r="L12" s="237"/>
      <c r="M12" s="84"/>
      <c r="Y12" s="428"/>
      <c r="Z12" s="428"/>
      <c r="AA12" s="428"/>
      <c r="AB12" s="428"/>
      <c r="AC12" s="428"/>
    </row>
    <row r="13" spans="1:29" ht="15" customHeight="1" x14ac:dyDescent="0.2">
      <c r="A13" t="s">
        <v>263</v>
      </c>
      <c r="B13" s="287" t="s">
        <v>262</v>
      </c>
      <c r="C13" s="287" t="s">
        <v>359</v>
      </c>
      <c r="D13" s="426" t="s">
        <v>392</v>
      </c>
      <c r="E13" s="237" t="s">
        <v>358</v>
      </c>
      <c r="F13" s="237"/>
      <c r="G13" s="237"/>
      <c r="H13" s="237"/>
      <c r="I13" s="237"/>
      <c r="J13" s="237"/>
      <c r="K13" s="237"/>
      <c r="L13" s="237"/>
      <c r="M13" s="84"/>
      <c r="U13" s="169" t="s">
        <v>395</v>
      </c>
      <c r="Y13" s="428"/>
      <c r="Z13" s="428"/>
      <c r="AA13" s="428"/>
      <c r="AB13" s="428"/>
      <c r="AC13" s="428"/>
    </row>
    <row r="14" spans="1:29" ht="15" customHeight="1" x14ac:dyDescent="0.25">
      <c r="A14" s="84"/>
      <c r="B14" s="529" t="s">
        <v>405</v>
      </c>
      <c r="C14" s="83"/>
      <c r="D14" s="83"/>
      <c r="E14" s="83"/>
      <c r="F14" s="83"/>
      <c r="G14" s="83"/>
      <c r="H14" s="83"/>
      <c r="I14" s="83"/>
      <c r="J14" s="83"/>
      <c r="K14" s="83"/>
      <c r="L14" s="83"/>
      <c r="M14" s="84"/>
      <c r="Y14" s="428"/>
      <c r="Z14" s="428"/>
      <c r="AA14" s="428"/>
      <c r="AB14" s="428"/>
      <c r="AC14" s="428"/>
    </row>
    <row r="15" spans="1:29" ht="15" customHeight="1" x14ac:dyDescent="0.25">
      <c r="A15" s="84"/>
      <c r="B15" s="529" t="s">
        <v>408</v>
      </c>
      <c r="C15" s="83"/>
      <c r="D15" s="83"/>
      <c r="E15" s="83"/>
      <c r="F15" s="83"/>
      <c r="G15" s="83"/>
      <c r="H15" s="83"/>
      <c r="I15" s="83"/>
      <c r="J15" s="83"/>
      <c r="K15" s="83"/>
      <c r="L15" s="83"/>
      <c r="M15" s="84"/>
      <c r="U15" s="410" t="s">
        <v>394</v>
      </c>
      <c r="V15" s="411" t="s">
        <v>286</v>
      </c>
      <c r="W15" s="411"/>
      <c r="X15" s="428"/>
      <c r="Y15" s="428"/>
      <c r="Z15" s="428"/>
      <c r="AA15" s="428"/>
      <c r="AB15" s="428"/>
      <c r="AC15" s="428"/>
    </row>
    <row r="16" spans="1:29" ht="15" customHeight="1" x14ac:dyDescent="0.25">
      <c r="A16" s="84"/>
      <c r="B16" s="530" t="s">
        <v>406</v>
      </c>
      <c r="C16" s="83"/>
      <c r="D16" s="83"/>
      <c r="E16" s="83"/>
      <c r="F16" s="83"/>
      <c r="G16" s="83"/>
      <c r="H16" s="83"/>
      <c r="I16" s="83"/>
      <c r="J16" s="83"/>
      <c r="K16" s="83"/>
      <c r="L16" s="83"/>
      <c r="M16" s="84"/>
      <c r="U16" s="184" t="s">
        <v>121</v>
      </c>
      <c r="V16" s="411" t="s">
        <v>287</v>
      </c>
      <c r="W16" s="411"/>
      <c r="X16" s="428"/>
      <c r="Y16" s="428"/>
      <c r="Z16" s="428"/>
      <c r="AA16" s="428"/>
      <c r="AB16" s="428"/>
      <c r="AC16" s="428"/>
    </row>
    <row r="17" spans="1:29" ht="15" customHeight="1" x14ac:dyDescent="0.25">
      <c r="A17" s="84"/>
      <c r="B17" s="530" t="s">
        <v>407</v>
      </c>
      <c r="M17" s="84"/>
      <c r="U17" s="184" t="s">
        <v>122</v>
      </c>
      <c r="V17" s="422" t="s">
        <v>305</v>
      </c>
      <c r="W17" s="411"/>
      <c r="X17" s="428"/>
      <c r="Y17" s="428"/>
      <c r="Z17" s="428"/>
      <c r="AA17" s="428"/>
      <c r="AB17" s="428"/>
      <c r="AC17" s="428"/>
    </row>
    <row r="18" spans="1:29" ht="15" customHeight="1" x14ac:dyDescent="0.2">
      <c r="A18" s="84"/>
      <c r="B18" s="437" t="s">
        <v>393</v>
      </c>
      <c r="C18" s="83"/>
      <c r="D18" s="83"/>
      <c r="E18" s="83"/>
      <c r="F18" s="83"/>
      <c r="G18" s="83"/>
      <c r="H18" s="83"/>
      <c r="I18" s="83"/>
      <c r="J18" s="83"/>
      <c r="K18" s="83"/>
      <c r="L18" s="83"/>
      <c r="M18" s="84"/>
      <c r="U18" s="184" t="s">
        <v>125</v>
      </c>
      <c r="V18" s="422" t="s">
        <v>299</v>
      </c>
      <c r="W18" s="411"/>
      <c r="X18" s="428"/>
      <c r="Y18" s="428"/>
      <c r="Z18" s="428"/>
      <c r="AA18" s="428"/>
      <c r="AB18" s="428"/>
      <c r="AC18" s="428"/>
    </row>
    <row r="19" spans="1:29" ht="15" customHeight="1" x14ac:dyDescent="0.2">
      <c r="A19" s="84"/>
      <c r="B19" s="415" t="s">
        <v>279</v>
      </c>
      <c r="C19" s="416"/>
      <c r="D19" s="21"/>
      <c r="E19" s="511">
        <v>9</v>
      </c>
      <c r="F19" s="420"/>
      <c r="G19" s="83"/>
      <c r="H19" s="83"/>
      <c r="I19" s="83"/>
      <c r="J19" s="83"/>
      <c r="K19" s="83"/>
      <c r="L19" s="83"/>
      <c r="M19" s="84"/>
      <c r="U19" s="184" t="s">
        <v>152</v>
      </c>
      <c r="V19" s="422" t="s">
        <v>296</v>
      </c>
      <c r="W19" s="411"/>
      <c r="X19" s="428"/>
      <c r="Y19" s="428"/>
      <c r="Z19" s="428"/>
      <c r="AA19" s="428"/>
      <c r="AB19" s="428"/>
      <c r="AC19" s="428"/>
    </row>
    <row r="20" spans="1:29" ht="15" customHeight="1" x14ac:dyDescent="0.2">
      <c r="A20" s="84"/>
      <c r="B20" s="417"/>
      <c r="C20" s="414" t="str">
        <f>L243</f>
        <v>C-ZETA CURVE</v>
      </c>
      <c r="D20" s="83" t="str">
        <f>M243</f>
        <v xml:space="preserve"> 137_78_39b</v>
      </c>
      <c r="E20" s="83"/>
      <c r="F20" s="418"/>
      <c r="G20" s="83"/>
      <c r="H20" s="83"/>
      <c r="I20" s="83"/>
      <c r="J20" s="83"/>
      <c r="K20" s="83"/>
      <c r="L20" s="83"/>
      <c r="M20" s="84"/>
      <c r="U20" s="184" t="s">
        <v>157</v>
      </c>
      <c r="V20" s="422" t="s">
        <v>379</v>
      </c>
      <c r="W20" s="411"/>
      <c r="X20" s="428"/>
      <c r="Y20" s="428"/>
      <c r="Z20" s="428"/>
      <c r="AA20" s="428"/>
      <c r="AB20" s="428"/>
      <c r="AC20" s="428"/>
    </row>
    <row r="21" spans="1:29" ht="15" customHeight="1" x14ac:dyDescent="0.2">
      <c r="B21" s="419" t="s">
        <v>390</v>
      </c>
      <c r="C21" s="42"/>
      <c r="D21" s="42"/>
      <c r="E21" s="42"/>
      <c r="F21" s="31"/>
      <c r="U21" s="184"/>
      <c r="V21" s="422" t="s">
        <v>306</v>
      </c>
      <c r="W21" s="411"/>
      <c r="X21" s="428"/>
      <c r="Y21" s="428"/>
      <c r="Z21" s="428"/>
      <c r="AA21" s="428"/>
      <c r="AB21" s="428"/>
      <c r="AC21" s="428"/>
    </row>
    <row r="22" spans="1:29" ht="15" customHeight="1" x14ac:dyDescent="0.2">
      <c r="A22" s="169" t="s">
        <v>121</v>
      </c>
      <c r="B22" s="143" t="s">
        <v>139</v>
      </c>
      <c r="U22" s="184"/>
      <c r="V22" s="411" t="s">
        <v>290</v>
      </c>
      <c r="W22" s="411"/>
      <c r="X22" s="428"/>
      <c r="Y22" s="428"/>
      <c r="Z22" s="428"/>
      <c r="AA22" s="428"/>
      <c r="AB22" s="428"/>
      <c r="AC22" s="428"/>
    </row>
    <row r="23" spans="1:29" ht="15" customHeight="1" x14ac:dyDescent="0.2">
      <c r="U23" s="184" t="s">
        <v>159</v>
      </c>
      <c r="V23" s="411" t="s">
        <v>291</v>
      </c>
      <c r="W23" s="411"/>
      <c r="X23" s="428"/>
      <c r="Y23" s="428"/>
      <c r="Z23" s="428"/>
      <c r="AA23" s="428"/>
      <c r="AB23" s="428"/>
      <c r="AC23" s="428"/>
    </row>
    <row r="24" spans="1:29" ht="15" customHeight="1" x14ac:dyDescent="0.2">
      <c r="B24" s="54" t="s">
        <v>140</v>
      </c>
      <c r="U24" s="184" t="s">
        <v>162</v>
      </c>
      <c r="V24" s="411" t="s">
        <v>292</v>
      </c>
      <c r="W24" s="411"/>
      <c r="X24" s="428"/>
      <c r="Y24" s="428"/>
      <c r="Z24" s="428"/>
      <c r="AA24" s="428"/>
      <c r="AB24" s="428"/>
      <c r="AC24" s="428"/>
    </row>
    <row r="25" spans="1:29" ht="15" customHeight="1" x14ac:dyDescent="0.2">
      <c r="B25" s="54" t="s">
        <v>204</v>
      </c>
      <c r="U25" s="184" t="s">
        <v>172</v>
      </c>
      <c r="V25" s="422" t="s">
        <v>293</v>
      </c>
      <c r="W25" s="411"/>
      <c r="X25" s="428"/>
      <c r="Y25" s="428"/>
      <c r="Z25" s="428"/>
      <c r="AA25" s="428"/>
      <c r="AB25" s="428"/>
      <c r="AC25" s="428"/>
    </row>
    <row r="26" spans="1:29" ht="15" customHeight="1" x14ac:dyDescent="0.2">
      <c r="I26" s="1"/>
      <c r="J26" s="1"/>
      <c r="U26" s="184" t="s">
        <v>175</v>
      </c>
      <c r="V26" s="422" t="s">
        <v>294</v>
      </c>
      <c r="W26" s="411"/>
      <c r="X26" s="428"/>
    </row>
    <row r="27" spans="1:29" ht="15" customHeight="1" x14ac:dyDescent="0.2">
      <c r="B27" s="146"/>
      <c r="C27" s="476" t="s">
        <v>105</v>
      </c>
      <c r="D27" s="476" t="s">
        <v>105</v>
      </c>
      <c r="E27" s="480" t="s">
        <v>105</v>
      </c>
      <c r="G27" s="462" t="s">
        <v>202</v>
      </c>
      <c r="I27" s="1"/>
      <c r="J27" s="1"/>
      <c r="U27" s="184"/>
      <c r="V27" s="411"/>
      <c r="W27" s="411"/>
      <c r="X27" s="428"/>
    </row>
    <row r="28" spans="1:29" ht="15" customHeight="1" x14ac:dyDescent="0.2">
      <c r="B28" s="146"/>
      <c r="C28" s="468" t="s">
        <v>342</v>
      </c>
      <c r="D28" s="468" t="s">
        <v>343</v>
      </c>
      <c r="E28" s="468" t="s">
        <v>108</v>
      </c>
      <c r="G28" s="463" t="s">
        <v>111</v>
      </c>
      <c r="U28" s="422" t="s">
        <v>308</v>
      </c>
      <c r="V28" s="411"/>
      <c r="W28" s="411"/>
      <c r="X28" s="428"/>
    </row>
    <row r="29" spans="1:29" ht="15" customHeight="1" x14ac:dyDescent="0.2">
      <c r="B29" s="147" t="s">
        <v>39</v>
      </c>
      <c r="C29" s="477" t="s">
        <v>106</v>
      </c>
      <c r="D29" s="477" t="s">
        <v>107</v>
      </c>
      <c r="E29" s="475" t="s">
        <v>151</v>
      </c>
      <c r="G29" s="463" t="s">
        <v>112</v>
      </c>
      <c r="U29" s="422" t="s">
        <v>382</v>
      </c>
      <c r="V29" s="411"/>
      <c r="W29" s="411"/>
      <c r="X29" s="428"/>
    </row>
    <row r="30" spans="1:29" ht="15" customHeight="1" x14ac:dyDescent="0.2">
      <c r="B30" s="147">
        <v>1</v>
      </c>
      <c r="C30" s="478">
        <v>2</v>
      </c>
      <c r="D30" s="478">
        <v>0.75</v>
      </c>
      <c r="E30" s="469">
        <f>SUM(C30:D30)/2</f>
        <v>1.375</v>
      </c>
      <c r="G30" s="464">
        <v>1.7</v>
      </c>
      <c r="I30" s="54" t="s">
        <v>367</v>
      </c>
      <c r="U30" s="429"/>
      <c r="V30" s="428"/>
      <c r="W30" s="428"/>
      <c r="X30" s="428"/>
    </row>
    <row r="31" spans="1:29" ht="15" customHeight="1" x14ac:dyDescent="0.2">
      <c r="B31" s="147">
        <v>2</v>
      </c>
      <c r="C31" s="478">
        <v>4</v>
      </c>
      <c r="D31" s="478">
        <v>2</v>
      </c>
      <c r="E31" s="469">
        <f t="shared" ref="E31:E39" si="0">SUM(C31:D31)/2</f>
        <v>3</v>
      </c>
      <c r="G31" s="465">
        <v>4</v>
      </c>
      <c r="I31" t="s">
        <v>366</v>
      </c>
      <c r="U31" s="429"/>
      <c r="V31" s="428"/>
      <c r="W31" s="428"/>
      <c r="X31" s="428"/>
    </row>
    <row r="32" spans="1:29" ht="15" customHeight="1" x14ac:dyDescent="0.2">
      <c r="B32" s="147">
        <v>3</v>
      </c>
      <c r="C32" s="478">
        <v>5.8</v>
      </c>
      <c r="D32" s="478">
        <v>3.3</v>
      </c>
      <c r="E32" s="469">
        <f t="shared" si="0"/>
        <v>4.55</v>
      </c>
      <c r="G32" s="466">
        <v>6.8</v>
      </c>
    </row>
    <row r="33" spans="1:8" ht="15" customHeight="1" x14ac:dyDescent="0.2">
      <c r="B33" s="147">
        <v>4</v>
      </c>
      <c r="C33" s="478">
        <v>7.51</v>
      </c>
      <c r="D33" s="478">
        <v>4.7</v>
      </c>
      <c r="E33" s="469">
        <f t="shared" si="0"/>
        <v>6.1050000000000004</v>
      </c>
      <c r="G33" s="466">
        <v>9.4</v>
      </c>
    </row>
    <row r="34" spans="1:8" ht="15" customHeight="1" x14ac:dyDescent="0.2">
      <c r="B34" s="147">
        <v>5</v>
      </c>
      <c r="C34" s="478">
        <v>9</v>
      </c>
      <c r="D34" s="478">
        <v>5.9</v>
      </c>
      <c r="E34" s="469">
        <f t="shared" si="0"/>
        <v>7.45</v>
      </c>
      <c r="G34" s="465">
        <v>12.1</v>
      </c>
    </row>
    <row r="35" spans="1:8" ht="15" customHeight="1" x14ac:dyDescent="0.2">
      <c r="B35" s="147">
        <v>10</v>
      </c>
      <c r="C35" s="478">
        <v>11.51</v>
      </c>
      <c r="D35" s="478">
        <v>10</v>
      </c>
      <c r="E35" s="469">
        <f t="shared" si="0"/>
        <v>10.754999999999999</v>
      </c>
      <c r="G35" s="466">
        <v>25.1</v>
      </c>
    </row>
    <row r="36" spans="1:8" ht="15" customHeight="1" x14ac:dyDescent="0.2">
      <c r="B36" s="147">
        <v>20</v>
      </c>
      <c r="C36" s="478">
        <v>13</v>
      </c>
      <c r="D36" s="478">
        <v>13</v>
      </c>
      <c r="E36" s="469">
        <f t="shared" si="0"/>
        <v>13</v>
      </c>
      <c r="G36" s="466">
        <v>47.2</v>
      </c>
    </row>
    <row r="37" spans="1:8" ht="15" customHeight="1" x14ac:dyDescent="0.2">
      <c r="B37" s="147">
        <v>30</v>
      </c>
      <c r="C37" s="478">
        <v>13</v>
      </c>
      <c r="D37" s="478">
        <v>13</v>
      </c>
      <c r="E37" s="469">
        <f t="shared" si="0"/>
        <v>13</v>
      </c>
      <c r="G37" s="466">
        <v>65.2</v>
      </c>
    </row>
    <row r="38" spans="1:8" ht="15" customHeight="1" x14ac:dyDescent="0.2">
      <c r="B38" s="147">
        <v>40</v>
      </c>
      <c r="C38" s="478">
        <v>13</v>
      </c>
      <c r="D38" s="478">
        <v>13</v>
      </c>
      <c r="E38" s="469">
        <f t="shared" si="0"/>
        <v>13</v>
      </c>
      <c r="G38" s="466">
        <v>81.099999999999994</v>
      </c>
      <c r="H38" s="1"/>
    </row>
    <row r="39" spans="1:8" ht="15" customHeight="1" x14ac:dyDescent="0.2">
      <c r="B39" s="147">
        <v>50</v>
      </c>
      <c r="C39" s="479">
        <v>13</v>
      </c>
      <c r="D39" s="479">
        <v>13</v>
      </c>
      <c r="E39" s="470">
        <f t="shared" si="0"/>
        <v>13</v>
      </c>
      <c r="G39" s="467">
        <v>95.5</v>
      </c>
    </row>
    <row r="40" spans="1:8" ht="15" customHeight="1" x14ac:dyDescent="0.2"/>
    <row r="41" spans="1:8" ht="15" customHeight="1" x14ac:dyDescent="0.2"/>
    <row r="42" spans="1:8" ht="15" customHeight="1" x14ac:dyDescent="0.2"/>
    <row r="43" spans="1:8" ht="15" customHeight="1" x14ac:dyDescent="0.2"/>
    <row r="44" spans="1:8" ht="15" customHeight="1" x14ac:dyDescent="0.2">
      <c r="A44" s="143" t="s">
        <v>122</v>
      </c>
      <c r="B44" s="143" t="s">
        <v>190</v>
      </c>
    </row>
    <row r="45" spans="1:8" ht="15" customHeight="1" x14ac:dyDescent="0.2">
      <c r="B45" s="169" t="s">
        <v>142</v>
      </c>
    </row>
    <row r="46" spans="1:8" ht="15" customHeight="1" x14ac:dyDescent="0.2">
      <c r="B46" s="169" t="s">
        <v>144</v>
      </c>
    </row>
    <row r="47" spans="1:8" ht="15" customHeight="1" x14ac:dyDescent="0.2"/>
    <row r="48" spans="1:8" ht="15" customHeight="1" x14ac:dyDescent="0.2">
      <c r="B48" s="196" t="s">
        <v>202</v>
      </c>
      <c r="C48" s="196"/>
      <c r="D48" s="196"/>
    </row>
    <row r="49" spans="2:4" ht="15" customHeight="1" x14ac:dyDescent="0.2">
      <c r="B49" s="196" t="s">
        <v>111</v>
      </c>
      <c r="C49" s="196"/>
      <c r="D49" s="196" t="s">
        <v>111</v>
      </c>
    </row>
    <row r="50" spans="2:4" ht="15" customHeight="1" x14ac:dyDescent="0.2">
      <c r="B50" s="196" t="s">
        <v>119</v>
      </c>
      <c r="C50" s="196"/>
      <c r="D50" s="196" t="s">
        <v>119</v>
      </c>
    </row>
    <row r="51" spans="2:4" ht="15" customHeight="1" x14ac:dyDescent="0.2">
      <c r="B51" s="196" t="s">
        <v>120</v>
      </c>
      <c r="C51" s="196" t="s">
        <v>39</v>
      </c>
      <c r="D51" s="196" t="s">
        <v>120</v>
      </c>
    </row>
    <row r="52" spans="2:4" ht="15" customHeight="1" x14ac:dyDescent="0.2">
      <c r="B52" s="326">
        <v>29.7</v>
      </c>
      <c r="C52" s="185">
        <v>1</v>
      </c>
      <c r="D52" s="188">
        <v>29.7</v>
      </c>
    </row>
    <row r="53" spans="2:4" ht="15" customHeight="1" x14ac:dyDescent="0.2">
      <c r="B53" s="327">
        <v>57.5</v>
      </c>
      <c r="C53" s="185">
        <v>2</v>
      </c>
      <c r="D53" s="189">
        <v>57.5</v>
      </c>
    </row>
    <row r="54" spans="2:4" ht="15" customHeight="1" x14ac:dyDescent="0.2">
      <c r="B54" s="94">
        <v>79.5</v>
      </c>
      <c r="C54" s="185">
        <v>3</v>
      </c>
      <c r="D54" s="184">
        <v>79.5</v>
      </c>
    </row>
    <row r="55" spans="2:4" ht="15" customHeight="1" x14ac:dyDescent="0.2">
      <c r="B55" s="94">
        <v>96.4</v>
      </c>
      <c r="C55" s="185">
        <v>4</v>
      </c>
      <c r="D55" s="207">
        <v>98</v>
      </c>
    </row>
    <row r="56" spans="2:4" ht="15" customHeight="1" x14ac:dyDescent="0.2">
      <c r="B56" s="327">
        <v>113.4</v>
      </c>
      <c r="C56" s="185">
        <v>5</v>
      </c>
      <c r="D56" s="189">
        <v>113.4</v>
      </c>
    </row>
    <row r="57" spans="2:4" ht="15" customHeight="1" x14ac:dyDescent="0.2">
      <c r="B57" s="94">
        <v>182</v>
      </c>
      <c r="C57" s="185">
        <v>10</v>
      </c>
      <c r="D57" s="184">
        <v>182</v>
      </c>
    </row>
    <row r="58" spans="2:4" ht="15" customHeight="1" x14ac:dyDescent="0.2">
      <c r="B58" s="94">
        <v>301.5</v>
      </c>
      <c r="C58" s="185">
        <v>20</v>
      </c>
      <c r="D58" s="184">
        <v>301.5</v>
      </c>
    </row>
    <row r="59" spans="2:4" ht="15" customHeight="1" x14ac:dyDescent="0.2">
      <c r="B59" s="94">
        <v>415.9</v>
      </c>
      <c r="C59" s="185">
        <v>30</v>
      </c>
      <c r="D59" s="184">
        <v>415.9</v>
      </c>
    </row>
    <row r="60" spans="2:4" ht="15" customHeight="1" x14ac:dyDescent="0.2">
      <c r="B60" s="94">
        <v>521.1</v>
      </c>
      <c r="C60" s="185">
        <v>40</v>
      </c>
      <c r="D60" s="184">
        <v>521.1</v>
      </c>
    </row>
    <row r="61" spans="2:4" ht="15" customHeight="1" x14ac:dyDescent="0.2">
      <c r="B61" s="327">
        <v>618.79999999999995</v>
      </c>
      <c r="C61" s="185">
        <v>50</v>
      </c>
      <c r="D61" s="189">
        <v>618.79999999999995</v>
      </c>
    </row>
    <row r="62" spans="2:4" ht="15" customHeight="1" x14ac:dyDescent="0.2"/>
    <row r="63" spans="2:4" ht="15" customHeight="1" x14ac:dyDescent="0.2">
      <c r="C63" s="394" t="s">
        <v>203</v>
      </c>
    </row>
    <row r="64" spans="2:4" ht="15" customHeight="1" x14ac:dyDescent="0.2"/>
    <row r="65" spans="1:63" ht="15" customHeight="1" x14ac:dyDescent="0.2"/>
    <row r="66" spans="1:63" ht="15" customHeight="1" x14ac:dyDescent="0.2">
      <c r="A66" s="143" t="s">
        <v>125</v>
      </c>
      <c r="B66" s="143" t="s">
        <v>145</v>
      </c>
    </row>
    <row r="67" spans="1:63" ht="15" customHeight="1" x14ac:dyDescent="0.2">
      <c r="B67" s="169" t="s">
        <v>147</v>
      </c>
      <c r="BK67" t="s">
        <v>403</v>
      </c>
    </row>
    <row r="68" spans="1:63" ht="15" customHeight="1" x14ac:dyDescent="0.2">
      <c r="B68" s="169"/>
    </row>
    <row r="69" spans="1:63" ht="15" customHeight="1" x14ac:dyDescent="0.2"/>
    <row r="70" spans="1:63" ht="15" customHeight="1" x14ac:dyDescent="0.2">
      <c r="E70" s="504">
        <f>INDEX(LINEST(D$78:D$83,(C$78:C$83)^{1,2,3}),1)</f>
        <v>0.17612313950214672</v>
      </c>
      <c r="F70" s="503">
        <f>INDEX(LINEST(D$83:D$87,(C$83:C$87)^{1,2,3}),1)</f>
        <v>-2.000000000000044E-4</v>
      </c>
      <c r="H70" t="s">
        <v>387</v>
      </c>
      <c r="W70" s="504">
        <f>INDEX(LINEST(V$78:V$82,(U$78:U$82)^{1,2,3}),1)</f>
        <v>0.22499999999999398</v>
      </c>
      <c r="X70" s="503">
        <f>INDEX(LINEST(V$83:V$87,(U$83:U$87)^{1,2,3}),1)</f>
        <v>-2.000000000000044E-4</v>
      </c>
    </row>
    <row r="71" spans="1:63" ht="15" customHeight="1" x14ac:dyDescent="0.2">
      <c r="E71" s="504">
        <f>INDEX(LINEST(D$78:D$83,(C$78:C$83)^{1,2,3}),2)</f>
        <v>-3.6139392300952475</v>
      </c>
      <c r="F71" s="503">
        <f>INDEX(LINEST(D$83:D$87,(C$83:C$87)^{1,2,3}),2)</f>
        <v>-1.971428571428541E-2</v>
      </c>
      <c r="H71" t="s">
        <v>388</v>
      </c>
      <c r="W71" s="504">
        <f>INDEX(LINEST(V$78:V$82,(U$78:U$82)^{1,2,3}),2)</f>
        <v>-4.0464285714285078</v>
      </c>
      <c r="X71" s="503">
        <f>INDEX(LINEST(V$83:V$87,(U$83:U$87)^{1,2,3}),2)</f>
        <v>-1.971428571428541E-2</v>
      </c>
    </row>
    <row r="72" spans="1:63" ht="15" customHeight="1" x14ac:dyDescent="0.2">
      <c r="E72" s="504">
        <f>INDEX(LINEST(D$78:D$83,(C$78:C$83)^{1,2,3}),3)</f>
        <v>37.117948459901037</v>
      </c>
      <c r="F72" s="503">
        <f>INDEX(LINEST(D$83:D$87,(C$83:C$87)^{1,2,3}),3)</f>
        <v>12.722857142857135</v>
      </c>
      <c r="W72" s="504">
        <f>INDEX(LINEST(V$78:V$82,(U$78:U$82)^{1,2,3}),3)</f>
        <v>38.228571428571236</v>
      </c>
      <c r="X72" s="503">
        <f>INDEX(LINEST(V$83:V$87,(U$83:U$87)^{1,2,3}),3)</f>
        <v>12.722857142857135</v>
      </c>
    </row>
    <row r="73" spans="1:63" ht="15" customHeight="1" x14ac:dyDescent="0.2">
      <c r="E73" s="504">
        <f>INDEX(LINEST(D$78:D$83,(C$78:C$83)^{1,2,3}),4)</f>
        <v>-3.9064961204820463</v>
      </c>
      <c r="F73" s="503">
        <f>INDEX(LINEST(D$83:D$87,(C$83:C$87)^{1,2,3}),4)</f>
        <v>56.860000000000085</v>
      </c>
      <c r="W73" s="504">
        <f>INDEX(LINEST(V$78:V$82,(U$78:U$82)^{1,2,3}),4)</f>
        <v>-4.6799999999998576</v>
      </c>
      <c r="X73" s="503">
        <f>INDEX(LINEST(V$83:V$87,(U$83:U$87)^{1,2,3}),4)</f>
        <v>56.860000000000085</v>
      </c>
    </row>
    <row r="74" spans="1:63" ht="15" customHeight="1" x14ac:dyDescent="0.2">
      <c r="E74" s="1"/>
      <c r="F74" s="1"/>
      <c r="W74" s="1"/>
      <c r="X74" s="1"/>
    </row>
    <row r="75" spans="1:63" ht="15" customHeight="1" x14ac:dyDescent="0.2">
      <c r="C75" s="195"/>
      <c r="D75" s="196" t="s">
        <v>146</v>
      </c>
      <c r="E75" s="196"/>
      <c r="F75" s="1"/>
      <c r="H75" s="212"/>
      <c r="I75" s="471" t="s">
        <v>133</v>
      </c>
      <c r="J75" s="212"/>
      <c r="K75" s="212"/>
      <c r="U75" s="195"/>
      <c r="V75" s="196" t="s">
        <v>146</v>
      </c>
      <c r="W75" s="196"/>
      <c r="X75" s="196"/>
    </row>
    <row r="76" spans="1:63" ht="15" customHeight="1" x14ac:dyDescent="0.2">
      <c r="C76" s="195"/>
      <c r="D76" s="196" t="s">
        <v>119</v>
      </c>
      <c r="E76" s="196"/>
      <c r="F76" s="1"/>
      <c r="H76" s="212"/>
      <c r="I76" s="472" t="s">
        <v>110</v>
      </c>
      <c r="J76" s="212" t="s">
        <v>111</v>
      </c>
      <c r="K76" s="508" t="s">
        <v>385</v>
      </c>
      <c r="U76" s="195"/>
      <c r="V76" s="196" t="s">
        <v>119</v>
      </c>
      <c r="W76" s="196"/>
      <c r="X76" s="196"/>
    </row>
    <row r="77" spans="1:63" ht="15" customHeight="1" x14ac:dyDescent="0.2">
      <c r="C77" s="195" t="s">
        <v>39</v>
      </c>
      <c r="D77" s="196" t="s">
        <v>120</v>
      </c>
      <c r="E77" s="196"/>
      <c r="F77" s="1"/>
      <c r="H77" s="212" t="s">
        <v>39</v>
      </c>
      <c r="I77" s="472" t="s">
        <v>149</v>
      </c>
      <c r="J77" s="212" t="s">
        <v>346</v>
      </c>
      <c r="K77" s="509" t="s">
        <v>386</v>
      </c>
      <c r="U77" s="195" t="s">
        <v>39</v>
      </c>
      <c r="V77" s="196" t="s">
        <v>120</v>
      </c>
      <c r="W77" s="196"/>
      <c r="X77" s="196"/>
    </row>
    <row r="78" spans="1:63" ht="15" customHeight="1" x14ac:dyDescent="0.2">
      <c r="C78" s="185">
        <v>1</v>
      </c>
      <c r="D78" s="188">
        <f>D52</f>
        <v>29.7</v>
      </c>
      <c r="E78" s="193">
        <f>(E$70*(C78)^3)+(E$71*(C78)^2)+(E$72*(C78)^1)+(E$73)</f>
        <v>29.773636248825888</v>
      </c>
      <c r="F78" s="3"/>
      <c r="H78" s="185">
        <v>1</v>
      </c>
      <c r="I78" s="473">
        <f>E78</f>
        <v>29.773636248825888</v>
      </c>
      <c r="J78" s="188">
        <f>B52</f>
        <v>29.7</v>
      </c>
      <c r="K78" s="505">
        <f>I78-J78</f>
        <v>7.3636248825888373E-2</v>
      </c>
      <c r="T78" s="188"/>
      <c r="U78" s="185">
        <v>1</v>
      </c>
      <c r="V78" s="188">
        <f>D52</f>
        <v>29.7</v>
      </c>
      <c r="W78" s="193">
        <f>(W$70*(U78)^3)+(W$71*(U78)^2)+(W$72*(U78)^1)+(W$73)</f>
        <v>29.727142857142866</v>
      </c>
      <c r="X78" s="3"/>
    </row>
    <row r="79" spans="1:63" ht="15" customHeight="1" x14ac:dyDescent="0.2">
      <c r="C79" s="185">
        <v>2</v>
      </c>
      <c r="D79" s="189">
        <f t="shared" ref="D79:D87" si="1">D53</f>
        <v>57.5</v>
      </c>
      <c r="E79" s="193">
        <f t="shared" ref="E79:E83" si="2">(E$70*(C79)^3)+(E$71*(C79)^2)+(E$72*(C79)^1)+(E$73)</f>
        <v>57.282628994956212</v>
      </c>
      <c r="F79" s="3"/>
      <c r="H79" s="185">
        <v>2</v>
      </c>
      <c r="I79" s="473">
        <f>E79</f>
        <v>57.282628994956212</v>
      </c>
      <c r="J79" s="189">
        <f t="shared" ref="J79:J87" si="3">B53</f>
        <v>57.5</v>
      </c>
      <c r="K79" s="506">
        <f t="shared" ref="K79:K87" si="4">I79-J79</f>
        <v>-0.21737100504378759</v>
      </c>
      <c r="T79" s="189"/>
      <c r="U79" s="185">
        <v>2</v>
      </c>
      <c r="V79" s="189">
        <f t="shared" ref="V79:V87" si="5">D53</f>
        <v>57.5</v>
      </c>
      <c r="W79" s="193">
        <f t="shared" ref="W79:W83" si="6">(W$70*(U79)^3)+(W$71*(U79)^2)+(W$72*(U79)^1)+(W$73)</f>
        <v>57.391428571428534</v>
      </c>
      <c r="X79" s="3"/>
    </row>
    <row r="80" spans="1:63" ht="15" customHeight="1" x14ac:dyDescent="0.2">
      <c r="B80" t="s">
        <v>383</v>
      </c>
      <c r="C80" s="185">
        <v>3</v>
      </c>
      <c r="D80" s="184">
        <f t="shared" si="1"/>
        <v>79.5</v>
      </c>
      <c r="E80" s="193">
        <f t="shared" si="2"/>
        <v>79.677220954921793</v>
      </c>
      <c r="F80" s="3"/>
      <c r="H80" s="185">
        <v>3</v>
      </c>
      <c r="I80" s="473">
        <f>E80</f>
        <v>79.677220954921793</v>
      </c>
      <c r="J80" s="184">
        <f t="shared" si="3"/>
        <v>79.5</v>
      </c>
      <c r="K80" s="507">
        <f t="shared" si="4"/>
        <v>0.17722095492179335</v>
      </c>
      <c r="T80" s="184"/>
      <c r="U80" s="185">
        <v>3</v>
      </c>
      <c r="V80" s="184">
        <f t="shared" si="5"/>
        <v>79.5</v>
      </c>
      <c r="W80" s="193">
        <f t="shared" si="6"/>
        <v>79.662857142857121</v>
      </c>
      <c r="X80" s="3"/>
    </row>
    <row r="81" spans="1:27" ht="15" customHeight="1" x14ac:dyDescent="0.2">
      <c r="C81" s="185">
        <v>4</v>
      </c>
      <c r="D81" s="184">
        <f t="shared" si="1"/>
        <v>98</v>
      </c>
      <c r="E81" s="193">
        <f t="shared" si="2"/>
        <v>98.014150965735524</v>
      </c>
      <c r="F81" s="3"/>
      <c r="H81" s="185">
        <v>4</v>
      </c>
      <c r="I81" s="473">
        <f>E81</f>
        <v>98.014150965735524</v>
      </c>
      <c r="J81" s="184">
        <f t="shared" si="3"/>
        <v>96.4</v>
      </c>
      <c r="K81" s="507">
        <f t="shared" si="4"/>
        <v>1.6141509657355186</v>
      </c>
      <c r="T81" s="184"/>
      <c r="U81" s="185">
        <v>4</v>
      </c>
      <c r="V81" s="184">
        <f t="shared" si="5"/>
        <v>98</v>
      </c>
      <c r="W81" s="193">
        <f t="shared" si="6"/>
        <v>97.891428571428577</v>
      </c>
      <c r="X81" s="3"/>
    </row>
    <row r="82" spans="1:27" ht="15" customHeight="1" x14ac:dyDescent="0.2">
      <c r="C82" s="185">
        <v>5</v>
      </c>
      <c r="D82" s="189">
        <f t="shared" si="1"/>
        <v>113.4</v>
      </c>
      <c r="E82" s="193">
        <f t="shared" si="2"/>
        <v>113.35015786441029</v>
      </c>
      <c r="F82" s="3"/>
      <c r="H82" s="185">
        <v>5</v>
      </c>
      <c r="I82" s="473">
        <f>E82</f>
        <v>113.35015786441029</v>
      </c>
      <c r="J82" s="189">
        <f t="shared" si="3"/>
        <v>113.4</v>
      </c>
      <c r="K82" s="506">
        <f t="shared" si="4"/>
        <v>-4.9842135589713621E-2</v>
      </c>
      <c r="T82" s="189"/>
      <c r="U82" s="185">
        <v>5</v>
      </c>
      <c r="V82" s="189">
        <f t="shared" si="5"/>
        <v>113.4</v>
      </c>
      <c r="W82" s="193">
        <f t="shared" si="6"/>
        <v>113.42714285714285</v>
      </c>
      <c r="X82" s="3"/>
    </row>
    <row r="83" spans="1:27" ht="15" customHeight="1" x14ac:dyDescent="0.2">
      <c r="C83" s="185">
        <v>10</v>
      </c>
      <c r="D83" s="184">
        <f t="shared" si="1"/>
        <v>182</v>
      </c>
      <c r="E83" s="193">
        <f t="shared" si="2"/>
        <v>182.00220497115029</v>
      </c>
      <c r="F83" s="194">
        <f>(F$70*(C83)^3)+(F$71*(C83)^2)+(F$72*(C83)^1)+(F$73)</f>
        <v>181.91714285714289</v>
      </c>
      <c r="H83" s="185">
        <v>10</v>
      </c>
      <c r="I83" s="473">
        <f>(E83+F83)/2</f>
        <v>181.95967391414661</v>
      </c>
      <c r="J83" s="184">
        <f t="shared" si="3"/>
        <v>182</v>
      </c>
      <c r="K83" s="507">
        <f t="shared" si="4"/>
        <v>-4.0326085853394034E-2</v>
      </c>
      <c r="T83" s="184"/>
      <c r="U83" s="185">
        <v>10</v>
      </c>
      <c r="V83" s="184">
        <f t="shared" si="5"/>
        <v>182</v>
      </c>
      <c r="W83" s="193">
        <f t="shared" si="6"/>
        <v>197.96285714285565</v>
      </c>
      <c r="X83" s="194">
        <f>(X$70*(U83)^3)+(X$71*(U83)^2)+(X$72*(U83)^1)+(X$73)</f>
        <v>181.91714285714289</v>
      </c>
    </row>
    <row r="84" spans="1:27" ht="15" customHeight="1" x14ac:dyDescent="0.2">
      <c r="C84" s="185">
        <v>20</v>
      </c>
      <c r="D84" s="184">
        <f t="shared" si="1"/>
        <v>301.5</v>
      </c>
      <c r="E84" s="3"/>
      <c r="F84" s="194">
        <f t="shared" ref="F84:F87" si="7">(F$70*(C84)^3)+(F$71*(C84)^2)+(F$72*(C84)^1)+(F$73)</f>
        <v>301.8314285714286</v>
      </c>
      <c r="H84" s="185">
        <v>20</v>
      </c>
      <c r="I84" s="473">
        <f>F84</f>
        <v>301.8314285714286</v>
      </c>
      <c r="J84" s="184">
        <f t="shared" si="3"/>
        <v>301.5</v>
      </c>
      <c r="K84" s="507">
        <f t="shared" si="4"/>
        <v>0.33142857142860294</v>
      </c>
      <c r="T84" s="184"/>
      <c r="U84" s="185">
        <v>20</v>
      </c>
      <c r="V84" s="184">
        <f t="shared" si="5"/>
        <v>301.5</v>
      </c>
      <c r="W84" s="3"/>
      <c r="X84" s="194">
        <f t="shared" ref="X84:X87" si="8">(X$70*(U84)^3)+(X$71*(U84)^2)+(X$72*(U84)^1)+(X$73)</f>
        <v>301.8314285714286</v>
      </c>
    </row>
    <row r="85" spans="1:27" ht="15" customHeight="1" x14ac:dyDescent="0.2">
      <c r="B85" s="54" t="s">
        <v>384</v>
      </c>
      <c r="C85" s="185">
        <v>30</v>
      </c>
      <c r="D85" s="184">
        <f t="shared" si="1"/>
        <v>415.9</v>
      </c>
      <c r="E85" s="3"/>
      <c r="F85" s="194">
        <f t="shared" si="7"/>
        <v>415.40285714285716</v>
      </c>
      <c r="H85" s="185">
        <v>30</v>
      </c>
      <c r="I85" s="473">
        <f>F85</f>
        <v>415.40285714285716</v>
      </c>
      <c r="J85" s="184">
        <f t="shared" si="3"/>
        <v>415.9</v>
      </c>
      <c r="K85" s="507">
        <f t="shared" si="4"/>
        <v>-0.49714285714281914</v>
      </c>
      <c r="T85" s="184"/>
      <c r="U85" s="185">
        <v>30</v>
      </c>
      <c r="V85" s="184">
        <f t="shared" si="5"/>
        <v>415.9</v>
      </c>
      <c r="W85" s="3"/>
      <c r="X85" s="194">
        <f t="shared" si="8"/>
        <v>415.40285714285716</v>
      </c>
    </row>
    <row r="86" spans="1:27" ht="15" customHeight="1" x14ac:dyDescent="0.2">
      <c r="C86" s="185">
        <v>40</v>
      </c>
      <c r="D86" s="184">
        <f t="shared" si="1"/>
        <v>521.1</v>
      </c>
      <c r="E86" s="3"/>
      <c r="F86" s="194">
        <f t="shared" si="7"/>
        <v>521.43142857142857</v>
      </c>
      <c r="H86" s="185">
        <v>40</v>
      </c>
      <c r="I86" s="473">
        <f>F86</f>
        <v>521.43142857142857</v>
      </c>
      <c r="J86" s="184">
        <f t="shared" si="3"/>
        <v>521.1</v>
      </c>
      <c r="K86" s="507">
        <f t="shared" si="4"/>
        <v>0.33142857142854609</v>
      </c>
      <c r="T86" s="184"/>
      <c r="U86" s="185">
        <v>40</v>
      </c>
      <c r="V86" s="184">
        <f t="shared" si="5"/>
        <v>521.1</v>
      </c>
      <c r="W86" s="3"/>
      <c r="X86" s="194">
        <f t="shared" si="8"/>
        <v>521.43142857142857</v>
      </c>
    </row>
    <row r="87" spans="1:27" ht="15" customHeight="1" x14ac:dyDescent="0.2">
      <c r="C87" s="185">
        <v>50</v>
      </c>
      <c r="D87" s="189">
        <f t="shared" si="1"/>
        <v>618.79999999999995</v>
      </c>
      <c r="E87" s="3"/>
      <c r="F87" s="194">
        <f t="shared" si="7"/>
        <v>618.71714285714279</v>
      </c>
      <c r="H87" s="185">
        <v>50</v>
      </c>
      <c r="I87" s="474">
        <f>F87</f>
        <v>618.71714285714279</v>
      </c>
      <c r="J87" s="189">
        <f t="shared" si="3"/>
        <v>618.79999999999995</v>
      </c>
      <c r="K87" s="506">
        <f t="shared" si="4"/>
        <v>-8.2857142857164945E-2</v>
      </c>
      <c r="T87" s="189"/>
      <c r="U87" s="185">
        <v>50</v>
      </c>
      <c r="V87" s="189">
        <f t="shared" si="5"/>
        <v>618.79999999999995</v>
      </c>
      <c r="W87" s="3"/>
      <c r="X87" s="194">
        <f t="shared" si="8"/>
        <v>618.71714285714279</v>
      </c>
    </row>
    <row r="88" spans="1:27" ht="15" customHeight="1" x14ac:dyDescent="0.2">
      <c r="I88" s="72"/>
    </row>
    <row r="89" spans="1:27" ht="15" customHeight="1" x14ac:dyDescent="0.2"/>
    <row r="90" spans="1:27" ht="15" customHeight="1" x14ac:dyDescent="0.2">
      <c r="U90" s="195"/>
      <c r="V90" s="196" t="s">
        <v>143</v>
      </c>
      <c r="W90" s="196"/>
      <c r="X90" s="196"/>
      <c r="Z90" s="526">
        <v>-0.2</v>
      </c>
      <c r="AA90" s="196" t="s">
        <v>181</v>
      </c>
    </row>
    <row r="91" spans="1:27" ht="15" customHeight="1" x14ac:dyDescent="0.2">
      <c r="I91" s="72"/>
      <c r="U91" s="195"/>
      <c r="V91" s="196" t="s">
        <v>119</v>
      </c>
      <c r="W91" s="196"/>
      <c r="X91" s="196"/>
      <c r="Z91" s="196">
        <f>Z90/50</f>
        <v>-4.0000000000000001E-3</v>
      </c>
      <c r="AA91" s="196" t="s">
        <v>119</v>
      </c>
    </row>
    <row r="92" spans="1:27" ht="15" customHeight="1" x14ac:dyDescent="0.2">
      <c r="A92" s="143" t="s">
        <v>152</v>
      </c>
      <c r="B92" s="143" t="s">
        <v>150</v>
      </c>
      <c r="U92" s="195" t="s">
        <v>39</v>
      </c>
      <c r="V92" s="196"/>
      <c r="W92" s="196"/>
      <c r="X92" s="196"/>
      <c r="Z92" s="388" t="s">
        <v>404</v>
      </c>
      <c r="AA92" s="196"/>
    </row>
    <row r="93" spans="1:27" ht="15" customHeight="1" x14ac:dyDescent="0.2">
      <c r="A93" s="143"/>
      <c r="B93" s="143"/>
      <c r="U93" s="185">
        <v>1</v>
      </c>
      <c r="V93" s="524">
        <f>W93</f>
        <v>29.727142857142866</v>
      </c>
      <c r="W93" s="193">
        <f>(W$70*(U93)^3)+(W$71*(U93)^2)+(W$72*(U93)^1)+(W$73)</f>
        <v>29.727142857142866</v>
      </c>
      <c r="X93" s="3"/>
      <c r="Z93" s="527">
        <f>(U93*Z$91)+1</f>
        <v>0.996</v>
      </c>
      <c r="AA93" s="263">
        <f>V93*Z93</f>
        <v>29.608234285714293</v>
      </c>
    </row>
    <row r="94" spans="1:27" ht="15" customHeight="1" x14ac:dyDescent="0.2">
      <c r="A94" s="143"/>
      <c r="B94" s="143" t="s">
        <v>153</v>
      </c>
      <c r="U94" s="185">
        <v>2</v>
      </c>
      <c r="V94" s="524">
        <f t="shared" ref="V94:V96" si="9">W94</f>
        <v>57.391428571428534</v>
      </c>
      <c r="W94" s="193">
        <f t="shared" ref="W94:W98" si="10">(W$70*(U94)^3)+(W$71*(U94)^2)+(W$72*(U94)^1)+(W$73)</f>
        <v>57.391428571428534</v>
      </c>
      <c r="X94" s="3"/>
      <c r="Z94" s="527">
        <f t="shared" ref="Z94:Z142" si="11">(U94*Z$91)+1</f>
        <v>0.99199999999999999</v>
      </c>
      <c r="AA94" s="263">
        <f t="shared" ref="AA94:AA142" si="12">V94*Z94</f>
        <v>56.932297142857102</v>
      </c>
    </row>
    <row r="95" spans="1:27" ht="15" customHeight="1" x14ac:dyDescent="0.2">
      <c r="A95" s="143"/>
      <c r="B95" s="143"/>
      <c r="K95" s="169" t="s">
        <v>155</v>
      </c>
      <c r="U95" s="185">
        <v>3</v>
      </c>
      <c r="V95" s="524">
        <f t="shared" si="9"/>
        <v>79.662857142857121</v>
      </c>
      <c r="W95" s="193">
        <f t="shared" si="10"/>
        <v>79.662857142857121</v>
      </c>
      <c r="X95" s="3"/>
      <c r="Z95" s="527">
        <f t="shared" si="11"/>
        <v>0.98799999999999999</v>
      </c>
      <c r="AA95" s="263">
        <f t="shared" si="12"/>
        <v>78.706902857142836</v>
      </c>
    </row>
    <row r="96" spans="1:27" ht="15" customHeight="1" x14ac:dyDescent="0.2">
      <c r="I96" s="72"/>
      <c r="U96" s="185">
        <v>4</v>
      </c>
      <c r="V96" s="524">
        <f t="shared" si="9"/>
        <v>97.891428571428577</v>
      </c>
      <c r="W96" s="193">
        <f t="shared" si="10"/>
        <v>97.891428571428577</v>
      </c>
      <c r="X96" s="3"/>
      <c r="Z96" s="527">
        <f t="shared" si="11"/>
        <v>0.98399999999999999</v>
      </c>
      <c r="AA96" s="263">
        <f t="shared" si="12"/>
        <v>96.325165714285717</v>
      </c>
    </row>
    <row r="97" spans="2:27" ht="15" customHeight="1" x14ac:dyDescent="0.2">
      <c r="G97" s="448"/>
      <c r="H97" s="449" t="s">
        <v>112</v>
      </c>
      <c r="I97" s="72"/>
      <c r="J97" s="50"/>
      <c r="M97" t="s">
        <v>171</v>
      </c>
      <c r="U97" s="185">
        <v>5</v>
      </c>
      <c r="V97" s="528">
        <f>W97</f>
        <v>113.42714285714285</v>
      </c>
      <c r="W97" s="193">
        <f t="shared" si="10"/>
        <v>113.42714285714285</v>
      </c>
      <c r="X97" s="194"/>
      <c r="Z97" s="527">
        <f t="shared" si="11"/>
        <v>0.98</v>
      </c>
      <c r="AA97" s="263">
        <f t="shared" si="12"/>
        <v>111.15859999999999</v>
      </c>
    </row>
    <row r="98" spans="2:27" ht="15" customHeight="1" x14ac:dyDescent="0.2">
      <c r="B98" s="212"/>
      <c r="C98" s="392"/>
      <c r="D98" s="471" t="s">
        <v>133</v>
      </c>
      <c r="E98" s="471" t="s">
        <v>133</v>
      </c>
      <c r="F98" s="212"/>
      <c r="G98" s="450" t="s">
        <v>111</v>
      </c>
      <c r="H98" s="451" t="s">
        <v>368</v>
      </c>
      <c r="J98" s="498" t="s">
        <v>105</v>
      </c>
      <c r="K98" s="226"/>
      <c r="M98" s="498"/>
      <c r="N98" s="218" t="s">
        <v>156</v>
      </c>
      <c r="U98" s="185">
        <v>6</v>
      </c>
      <c r="V98" s="525">
        <f>(W98+X98)/2</f>
        <v>130.0321142857143</v>
      </c>
      <c r="W98" s="193">
        <f t="shared" si="10"/>
        <v>127.61999999999998</v>
      </c>
      <c r="X98" s="194">
        <f t="shared" ref="X98:X142" si="13">(X$70*(U98)^3)+(X$71*(U98)^2)+(X$72*(U98)^1)+(X$73)</f>
        <v>132.44422857142862</v>
      </c>
      <c r="Z98" s="527">
        <f t="shared" si="11"/>
        <v>0.97599999999999998</v>
      </c>
      <c r="AA98" s="263">
        <f t="shared" si="12"/>
        <v>126.91134354285715</v>
      </c>
    </row>
    <row r="99" spans="2:27" ht="15" customHeight="1" x14ac:dyDescent="0.2">
      <c r="B99" s="212"/>
      <c r="C99" s="196" t="s">
        <v>109</v>
      </c>
      <c r="D99" s="472" t="s">
        <v>110</v>
      </c>
      <c r="E99" s="472" t="s">
        <v>112</v>
      </c>
      <c r="F99" s="212" t="s">
        <v>105</v>
      </c>
      <c r="G99" s="450" t="s">
        <v>112</v>
      </c>
      <c r="H99" s="451" t="s">
        <v>369</v>
      </c>
      <c r="J99" s="499" t="s">
        <v>342</v>
      </c>
      <c r="K99" s="227" t="s">
        <v>154</v>
      </c>
      <c r="M99" s="181" t="s">
        <v>129</v>
      </c>
      <c r="N99" s="219" t="s">
        <v>119</v>
      </c>
      <c r="U99" s="185">
        <v>7</v>
      </c>
      <c r="V99" s="524">
        <f t="shared" ref="V99:V107" si="14">X99</f>
        <v>144.88540000000006</v>
      </c>
      <c r="W99" s="193"/>
      <c r="X99" s="194">
        <f t="shared" si="13"/>
        <v>144.88540000000006</v>
      </c>
      <c r="Z99" s="527">
        <f t="shared" si="11"/>
        <v>0.97199999999999998</v>
      </c>
      <c r="AA99" s="263">
        <f t="shared" si="12"/>
        <v>140.82860880000007</v>
      </c>
    </row>
    <row r="100" spans="2:27" ht="15" customHeight="1" x14ac:dyDescent="0.2">
      <c r="B100" s="212" t="s">
        <v>39</v>
      </c>
      <c r="C100" s="502" t="s">
        <v>130</v>
      </c>
      <c r="D100" s="331" t="s">
        <v>130</v>
      </c>
      <c r="E100" s="331" t="s">
        <v>237</v>
      </c>
      <c r="F100" s="447" t="s">
        <v>235</v>
      </c>
      <c r="G100" s="452" t="s">
        <v>130</v>
      </c>
      <c r="H100" s="453" t="s">
        <v>235</v>
      </c>
      <c r="J100" s="500" t="s">
        <v>151</v>
      </c>
      <c r="K100" s="501" t="s">
        <v>375</v>
      </c>
      <c r="M100" s="181" t="s">
        <v>113</v>
      </c>
      <c r="N100" s="219"/>
      <c r="O100" s="344" t="s">
        <v>205</v>
      </c>
      <c r="P100" s="72" t="s">
        <v>213</v>
      </c>
      <c r="Q100" s="293" t="s">
        <v>214</v>
      </c>
      <c r="U100" s="185">
        <v>8</v>
      </c>
      <c r="V100" s="524">
        <f t="shared" si="14"/>
        <v>157.2787428571429</v>
      </c>
      <c r="W100" s="193"/>
      <c r="X100" s="194">
        <f t="shared" si="13"/>
        <v>157.2787428571429</v>
      </c>
      <c r="Z100" s="527">
        <f t="shared" si="11"/>
        <v>0.96799999999999997</v>
      </c>
      <c r="AA100" s="263">
        <f t="shared" si="12"/>
        <v>152.24582308571433</v>
      </c>
    </row>
    <row r="101" spans="2:27" ht="15" customHeight="1" x14ac:dyDescent="0.2">
      <c r="B101" s="185">
        <v>1</v>
      </c>
      <c r="C101" s="198">
        <f>D101+E101</f>
        <v>30.381636248825888</v>
      </c>
      <c r="D101" s="198">
        <f t="shared" ref="D101:D110" si="15">I78</f>
        <v>29.773636248825888</v>
      </c>
      <c r="E101" s="197">
        <v>0.60799999999999998</v>
      </c>
      <c r="F101" s="231">
        <f>E101/C101</f>
        <v>2.0012088717687036E-2</v>
      </c>
      <c r="G101" s="454">
        <f t="shared" ref="G101:G110" si="16">G30</f>
        <v>1.7</v>
      </c>
      <c r="H101" s="455">
        <f>E101-G101</f>
        <v>-1.0920000000000001</v>
      </c>
      <c r="J101" s="496">
        <f>C30/100</f>
        <v>0.02</v>
      </c>
      <c r="K101" s="229">
        <f t="shared" ref="K101:K110" si="17">J101-F101</f>
        <v>-1.2088717687035178E-5</v>
      </c>
      <c r="M101" s="496">
        <f t="shared" ref="M101:M110" si="18">C101/D101</f>
        <v>1.0204207505901794</v>
      </c>
      <c r="N101" s="222">
        <f t="shared" ref="N101:N110" si="19">D101*M101</f>
        <v>30.381636248825888</v>
      </c>
      <c r="O101" s="366">
        <f t="shared" ref="O101:O110" si="20">N101-C101</f>
        <v>0</v>
      </c>
      <c r="P101" s="367">
        <f t="shared" ref="P101:P110" si="21">J101/F101</f>
        <v>0.99939592923769371</v>
      </c>
      <c r="Q101" s="368">
        <f t="shared" ref="Q101:Q110" si="22">P101*E101</f>
        <v>0.60763272497651777</v>
      </c>
      <c r="R101" s="346" t="s">
        <v>282</v>
      </c>
      <c r="U101" s="185">
        <v>9</v>
      </c>
      <c r="V101" s="524">
        <f t="shared" si="14"/>
        <v>169.62305714285719</v>
      </c>
      <c r="W101" s="193"/>
      <c r="X101" s="194">
        <f t="shared" si="13"/>
        <v>169.62305714285719</v>
      </c>
      <c r="Z101" s="527">
        <f t="shared" si="11"/>
        <v>0.96399999999999997</v>
      </c>
      <c r="AA101" s="263">
        <f t="shared" si="12"/>
        <v>163.51662708571433</v>
      </c>
    </row>
    <row r="102" spans="2:27" ht="15" customHeight="1" x14ac:dyDescent="0.2">
      <c r="B102" s="185">
        <v>2</v>
      </c>
      <c r="C102" s="199">
        <f t="shared" ref="C102:C110" si="23">D102+E102</f>
        <v>59.668628994956215</v>
      </c>
      <c r="D102" s="199">
        <f t="shared" si="15"/>
        <v>57.282628994956212</v>
      </c>
      <c r="E102" s="197">
        <v>2.3860000000000001</v>
      </c>
      <c r="F102" s="232">
        <f t="shared" ref="F102:F110" si="24">E102/C102</f>
        <v>3.9987511699015051E-2</v>
      </c>
      <c r="G102" s="456">
        <f t="shared" si="16"/>
        <v>4</v>
      </c>
      <c r="H102" s="457">
        <f t="shared" ref="H102:H110" si="25">E102-G102</f>
        <v>-1.6139999999999999</v>
      </c>
      <c r="J102" s="496">
        <f t="shared" ref="J102:J110" si="26">C31/100</f>
        <v>0.04</v>
      </c>
      <c r="K102" s="229">
        <f t="shared" si="17"/>
        <v>1.248830098495024E-5</v>
      </c>
      <c r="M102" s="496">
        <f t="shared" si="18"/>
        <v>1.0416531161691285</v>
      </c>
      <c r="N102" s="223">
        <f t="shared" si="19"/>
        <v>59.668628994956208</v>
      </c>
      <c r="O102" s="366">
        <f t="shared" si="20"/>
        <v>0</v>
      </c>
      <c r="P102" s="367">
        <f t="shared" si="21"/>
        <v>1.0003123050286036</v>
      </c>
      <c r="Q102" s="369">
        <f t="shared" si="22"/>
        <v>2.3867451597982483</v>
      </c>
      <c r="R102" s="346" t="s">
        <v>218</v>
      </c>
      <c r="U102" s="185">
        <v>10</v>
      </c>
      <c r="V102" s="528">
        <f t="shared" si="14"/>
        <v>181.91714285714289</v>
      </c>
      <c r="W102" s="193"/>
      <c r="X102" s="194">
        <f t="shared" si="13"/>
        <v>181.91714285714289</v>
      </c>
      <c r="Z102" s="527">
        <f t="shared" si="11"/>
        <v>0.96</v>
      </c>
      <c r="AA102" s="263">
        <f t="shared" si="12"/>
        <v>174.64045714285717</v>
      </c>
    </row>
    <row r="103" spans="2:27" ht="15" customHeight="1" x14ac:dyDescent="0.2">
      <c r="B103" s="185">
        <v>3</v>
      </c>
      <c r="C103" s="200">
        <f t="shared" si="23"/>
        <v>84.579220954921794</v>
      </c>
      <c r="D103" s="200">
        <f t="shared" si="15"/>
        <v>79.677220954921793</v>
      </c>
      <c r="E103" s="197">
        <v>4.9020000000000001</v>
      </c>
      <c r="F103" s="233">
        <f t="shared" si="24"/>
        <v>5.79574976531484E-2</v>
      </c>
      <c r="G103" s="458">
        <f t="shared" si="16"/>
        <v>6.8</v>
      </c>
      <c r="H103" s="459">
        <f t="shared" si="25"/>
        <v>-1.8979999999999997</v>
      </c>
      <c r="J103" s="496">
        <f t="shared" si="26"/>
        <v>5.7999999999999996E-2</v>
      </c>
      <c r="K103" s="229">
        <f t="shared" si="17"/>
        <v>4.2502346851595874E-5</v>
      </c>
      <c r="M103" s="496">
        <f t="shared" si="18"/>
        <v>1.0615232301183466</v>
      </c>
      <c r="N103" s="224">
        <f t="shared" si="19"/>
        <v>84.579220954921794</v>
      </c>
      <c r="O103" s="366">
        <f t="shared" si="20"/>
        <v>0</v>
      </c>
      <c r="P103" s="367">
        <f t="shared" si="21"/>
        <v>1.0007333364719428</v>
      </c>
      <c r="Q103" s="367">
        <f t="shared" si="22"/>
        <v>4.9055948153854638</v>
      </c>
      <c r="R103" s="346" t="s">
        <v>220</v>
      </c>
      <c r="U103" s="185">
        <v>11</v>
      </c>
      <c r="V103" s="524">
        <f t="shared" si="14"/>
        <v>194.15980000000002</v>
      </c>
      <c r="W103" s="193"/>
      <c r="X103" s="194">
        <f t="shared" si="13"/>
        <v>194.15980000000002</v>
      </c>
      <c r="Z103" s="527">
        <f t="shared" si="11"/>
        <v>0.95599999999999996</v>
      </c>
      <c r="AA103" s="263">
        <f t="shared" si="12"/>
        <v>185.61676880000002</v>
      </c>
    </row>
    <row r="104" spans="2:27" ht="15" customHeight="1" x14ac:dyDescent="0.2">
      <c r="B104" s="185">
        <v>4</v>
      </c>
      <c r="C104" s="200">
        <f t="shared" si="23"/>
        <v>105.97215096573552</v>
      </c>
      <c r="D104" s="200">
        <f t="shared" si="15"/>
        <v>98.014150965735524</v>
      </c>
      <c r="E104" s="197">
        <v>7.9580000000000002</v>
      </c>
      <c r="F104" s="233">
        <f t="shared" si="24"/>
        <v>7.5095201215393828E-2</v>
      </c>
      <c r="G104" s="458">
        <f t="shared" si="16"/>
        <v>9.4</v>
      </c>
      <c r="H104" s="459">
        <f t="shared" si="25"/>
        <v>-1.4420000000000002</v>
      </c>
      <c r="J104" s="496">
        <f t="shared" si="26"/>
        <v>7.51E-2</v>
      </c>
      <c r="K104" s="229">
        <f t="shared" si="17"/>
        <v>4.7987846061720019E-6</v>
      </c>
      <c r="M104" s="496">
        <f t="shared" si="18"/>
        <v>1.0811923576502949</v>
      </c>
      <c r="N104" s="224">
        <f t="shared" si="19"/>
        <v>105.97215096573552</v>
      </c>
      <c r="O104" s="366">
        <f t="shared" si="20"/>
        <v>0</v>
      </c>
      <c r="P104" s="367">
        <f t="shared" si="21"/>
        <v>1.0000639026799116</v>
      </c>
      <c r="Q104" s="367">
        <f t="shared" si="22"/>
        <v>7.958508537526737</v>
      </c>
      <c r="R104" s="167" t="s">
        <v>219</v>
      </c>
      <c r="U104" s="185">
        <v>12</v>
      </c>
      <c r="V104" s="524">
        <f t="shared" si="14"/>
        <v>206.34982857142859</v>
      </c>
      <c r="W104" s="193"/>
      <c r="X104" s="194">
        <f t="shared" si="13"/>
        <v>206.34982857142859</v>
      </c>
      <c r="Z104" s="527">
        <f t="shared" si="11"/>
        <v>0.95199999999999996</v>
      </c>
      <c r="AA104" s="263">
        <f t="shared" si="12"/>
        <v>196.4450368</v>
      </c>
    </row>
    <row r="105" spans="2:27" ht="15" customHeight="1" x14ac:dyDescent="0.2">
      <c r="B105" s="185">
        <v>5</v>
      </c>
      <c r="C105" s="199">
        <f t="shared" si="23"/>
        <v>124.5591578644103</v>
      </c>
      <c r="D105" s="199">
        <f t="shared" si="15"/>
        <v>113.35015786441029</v>
      </c>
      <c r="E105" s="197">
        <v>11.209</v>
      </c>
      <c r="F105" s="232">
        <f t="shared" si="24"/>
        <v>8.9989368844333645E-2</v>
      </c>
      <c r="G105" s="456">
        <f t="shared" si="16"/>
        <v>12.1</v>
      </c>
      <c r="H105" s="457">
        <f t="shared" si="25"/>
        <v>-0.89100000000000001</v>
      </c>
      <c r="J105" s="496">
        <f t="shared" si="26"/>
        <v>0.09</v>
      </c>
      <c r="K105" s="229">
        <f t="shared" si="17"/>
        <v>1.0631155666351866E-5</v>
      </c>
      <c r="M105" s="496">
        <f t="shared" si="18"/>
        <v>1.0988882610415791</v>
      </c>
      <c r="N105" s="223">
        <f t="shared" si="19"/>
        <v>124.5591578644103</v>
      </c>
      <c r="O105" s="366">
        <f t="shared" si="20"/>
        <v>0</v>
      </c>
      <c r="P105" s="367">
        <f t="shared" si="21"/>
        <v>1.0001181379067647</v>
      </c>
      <c r="Q105" s="369">
        <f t="shared" si="22"/>
        <v>11.210324207796926</v>
      </c>
      <c r="U105" s="185">
        <v>13</v>
      </c>
      <c r="V105" s="524">
        <f t="shared" si="14"/>
        <v>218.48602857142862</v>
      </c>
      <c r="X105" s="194">
        <f t="shared" si="13"/>
        <v>218.48602857142862</v>
      </c>
      <c r="Z105" s="527">
        <f t="shared" si="11"/>
        <v>0.94799999999999995</v>
      </c>
      <c r="AA105" s="263">
        <f t="shared" si="12"/>
        <v>207.12475508571433</v>
      </c>
    </row>
    <row r="106" spans="2:27" ht="15" customHeight="1" x14ac:dyDescent="0.2">
      <c r="B106" s="185">
        <v>10</v>
      </c>
      <c r="C106" s="200">
        <f t="shared" si="23"/>
        <v>205.62967391414662</v>
      </c>
      <c r="D106" s="200">
        <f t="shared" si="15"/>
        <v>181.95967391414661</v>
      </c>
      <c r="E106" s="197">
        <v>23.67</v>
      </c>
      <c r="F106" s="233">
        <f t="shared" si="24"/>
        <v>0.1151098455268794</v>
      </c>
      <c r="G106" s="458">
        <f t="shared" si="16"/>
        <v>25.1</v>
      </c>
      <c r="H106" s="459">
        <f t="shared" si="25"/>
        <v>-1.4299999999999997</v>
      </c>
      <c r="J106" s="496">
        <f t="shared" si="26"/>
        <v>0.11509999999999999</v>
      </c>
      <c r="K106" s="229">
        <f t="shared" si="17"/>
        <v>-9.8455268794095385E-6</v>
      </c>
      <c r="M106" s="496">
        <f t="shared" si="18"/>
        <v>1.1300837679626099</v>
      </c>
      <c r="N106" s="224">
        <f t="shared" si="19"/>
        <v>205.62967391414662</v>
      </c>
      <c r="O106" s="366">
        <f t="shared" si="20"/>
        <v>0</v>
      </c>
      <c r="P106" s="367">
        <f t="shared" si="21"/>
        <v>0.99991446842071285</v>
      </c>
      <c r="Q106" s="367">
        <f t="shared" si="22"/>
        <v>23.667975467518275</v>
      </c>
      <c r="U106" s="185">
        <v>14</v>
      </c>
      <c r="V106" s="524">
        <f t="shared" si="14"/>
        <v>230.56720000000001</v>
      </c>
      <c r="X106" s="194">
        <f t="shared" si="13"/>
        <v>230.56720000000001</v>
      </c>
      <c r="Z106" s="527">
        <f t="shared" si="11"/>
        <v>0.94399999999999995</v>
      </c>
      <c r="AA106" s="263">
        <f t="shared" si="12"/>
        <v>217.65543679999999</v>
      </c>
    </row>
    <row r="107" spans="2:27" ht="15" customHeight="1" x14ac:dyDescent="0.2">
      <c r="B107" s="185">
        <v>20</v>
      </c>
      <c r="C107" s="200">
        <f t="shared" si="23"/>
        <v>346.95242857142858</v>
      </c>
      <c r="D107" s="200">
        <f t="shared" si="15"/>
        <v>301.8314285714286</v>
      </c>
      <c r="E107" s="197">
        <v>45.121000000000002</v>
      </c>
      <c r="F107" s="233">
        <f t="shared" si="24"/>
        <v>0.13004952922734983</v>
      </c>
      <c r="G107" s="458">
        <f t="shared" si="16"/>
        <v>47.2</v>
      </c>
      <c r="H107" s="459">
        <f t="shared" si="25"/>
        <v>-2.0790000000000006</v>
      </c>
      <c r="J107" s="496">
        <f t="shared" si="26"/>
        <v>0.13</v>
      </c>
      <c r="K107" s="229">
        <f t="shared" si="17"/>
        <v>-4.952922734982601E-5</v>
      </c>
      <c r="M107" s="496">
        <f t="shared" si="18"/>
        <v>1.1494907280317301</v>
      </c>
      <c r="N107" s="224">
        <f t="shared" si="19"/>
        <v>346.95242857142864</v>
      </c>
      <c r="O107" s="366">
        <f t="shared" si="20"/>
        <v>0</v>
      </c>
      <c r="P107" s="367">
        <f t="shared" si="21"/>
        <v>0.99961915104465127</v>
      </c>
      <c r="Q107" s="367">
        <f t="shared" si="22"/>
        <v>45.103815714285709</v>
      </c>
      <c r="U107" s="185">
        <v>15</v>
      </c>
      <c r="V107" s="524">
        <f t="shared" si="14"/>
        <v>242.5921428571429</v>
      </c>
      <c r="X107" s="194">
        <f t="shared" si="13"/>
        <v>242.5921428571429</v>
      </c>
      <c r="Z107" s="527">
        <f t="shared" si="11"/>
        <v>0.94</v>
      </c>
      <c r="AA107" s="263">
        <f t="shared" si="12"/>
        <v>228.03661428571431</v>
      </c>
    </row>
    <row r="108" spans="2:27" ht="15" customHeight="1" x14ac:dyDescent="0.2">
      <c r="B108" s="185">
        <v>30</v>
      </c>
      <c r="C108" s="200">
        <f>D108+E108</f>
        <v>477.46585714285715</v>
      </c>
      <c r="D108" s="200">
        <f t="shared" si="15"/>
        <v>415.40285714285716</v>
      </c>
      <c r="E108" s="197">
        <v>62.063000000000002</v>
      </c>
      <c r="F108" s="233">
        <f t="shared" si="24"/>
        <v>0.12998416341512528</v>
      </c>
      <c r="G108" s="458">
        <f t="shared" si="16"/>
        <v>65.2</v>
      </c>
      <c r="H108" s="459">
        <f t="shared" si="25"/>
        <v>-3.1370000000000005</v>
      </c>
      <c r="J108" s="496">
        <f t="shared" si="26"/>
        <v>0.13</v>
      </c>
      <c r="K108" s="229">
        <f t="shared" si="17"/>
        <v>1.5836584874723281E-5</v>
      </c>
      <c r="M108" s="496">
        <f t="shared" si="18"/>
        <v>1.1494043647818641</v>
      </c>
      <c r="N108" s="224">
        <f t="shared" si="19"/>
        <v>477.4658571428572</v>
      </c>
      <c r="O108" s="366">
        <f t="shared" si="20"/>
        <v>0</v>
      </c>
      <c r="P108" s="367">
        <f t="shared" si="21"/>
        <v>1.0001218347255438</v>
      </c>
      <c r="Q108" s="367">
        <f t="shared" si="22"/>
        <v>62.07056142857143</v>
      </c>
      <c r="U108" s="185">
        <v>16</v>
      </c>
      <c r="V108" s="524">
        <f t="shared" ref="V108:V142" si="27">X108</f>
        <v>254.55965714285719</v>
      </c>
      <c r="X108" s="194">
        <f t="shared" si="13"/>
        <v>254.55965714285719</v>
      </c>
      <c r="Z108" s="527">
        <f t="shared" si="11"/>
        <v>0.93599999999999994</v>
      </c>
      <c r="AA108" s="263">
        <f t="shared" si="12"/>
        <v>238.26783908571431</v>
      </c>
    </row>
    <row r="109" spans="2:27" ht="15" customHeight="1" x14ac:dyDescent="0.2">
      <c r="B109" s="185">
        <v>40</v>
      </c>
      <c r="C109" s="200">
        <f t="shared" si="23"/>
        <v>599.32842857142862</v>
      </c>
      <c r="D109" s="200">
        <f t="shared" si="15"/>
        <v>521.43142857142857</v>
      </c>
      <c r="E109" s="197">
        <v>77.897000000000006</v>
      </c>
      <c r="F109" s="233">
        <f t="shared" si="24"/>
        <v>0.12997381116339979</v>
      </c>
      <c r="G109" s="458">
        <f t="shared" si="16"/>
        <v>81.099999999999994</v>
      </c>
      <c r="H109" s="459">
        <f t="shared" si="25"/>
        <v>-3.2029999999999887</v>
      </c>
      <c r="J109" s="496">
        <f t="shared" si="26"/>
        <v>0.13</v>
      </c>
      <c r="K109" s="229">
        <f t="shared" si="17"/>
        <v>2.6188836600216092E-5</v>
      </c>
      <c r="M109" s="496">
        <f t="shared" si="18"/>
        <v>1.1493906882702014</v>
      </c>
      <c r="N109" s="224">
        <f t="shared" si="19"/>
        <v>599.32842857142862</v>
      </c>
      <c r="O109" s="366">
        <f t="shared" si="20"/>
        <v>0</v>
      </c>
      <c r="P109" s="367">
        <f t="shared" si="21"/>
        <v>1.0002014931805554</v>
      </c>
      <c r="Q109" s="367">
        <f t="shared" si="22"/>
        <v>77.912695714285732</v>
      </c>
      <c r="U109" s="185">
        <v>17</v>
      </c>
      <c r="V109" s="524">
        <f t="shared" si="27"/>
        <v>266.46854285714289</v>
      </c>
      <c r="X109" s="194">
        <f t="shared" si="13"/>
        <v>266.46854285714289</v>
      </c>
      <c r="Z109" s="527">
        <f t="shared" si="11"/>
        <v>0.93199999999999994</v>
      </c>
      <c r="AA109" s="263">
        <f t="shared" si="12"/>
        <v>248.34868194285716</v>
      </c>
    </row>
    <row r="110" spans="2:27" ht="15" customHeight="1" x14ac:dyDescent="0.2">
      <c r="B110" s="185">
        <v>50</v>
      </c>
      <c r="C110" s="199">
        <f t="shared" si="23"/>
        <v>711.19914285714276</v>
      </c>
      <c r="D110" s="199">
        <f t="shared" si="15"/>
        <v>618.71714285714279</v>
      </c>
      <c r="E110" s="197">
        <v>92.481999999999999</v>
      </c>
      <c r="F110" s="232">
        <f t="shared" si="24"/>
        <v>0.13003671465135144</v>
      </c>
      <c r="G110" s="460">
        <f t="shared" si="16"/>
        <v>95.5</v>
      </c>
      <c r="H110" s="461">
        <f t="shared" si="25"/>
        <v>-3.0180000000000007</v>
      </c>
      <c r="J110" s="497">
        <f t="shared" si="26"/>
        <v>0.13</v>
      </c>
      <c r="K110" s="230">
        <f t="shared" si="17"/>
        <v>-3.6714651351438254E-5</v>
      </c>
      <c r="M110" s="497">
        <f t="shared" si="18"/>
        <v>1.1494737960111012</v>
      </c>
      <c r="N110" s="225">
        <f t="shared" si="19"/>
        <v>711.19914285714276</v>
      </c>
      <c r="O110" s="366">
        <f t="shared" si="20"/>
        <v>0</v>
      </c>
      <c r="P110" s="367">
        <f t="shared" si="21"/>
        <v>0.99971765934374857</v>
      </c>
      <c r="Q110" s="369">
        <f t="shared" si="22"/>
        <v>92.455888571428559</v>
      </c>
      <c r="U110" s="185">
        <v>18</v>
      </c>
      <c r="V110" s="524">
        <f t="shared" si="27"/>
        <v>278.31760000000003</v>
      </c>
      <c r="X110" s="194">
        <f t="shared" si="13"/>
        <v>278.31760000000003</v>
      </c>
      <c r="Z110" s="527">
        <f t="shared" si="11"/>
        <v>0.92799999999999994</v>
      </c>
      <c r="AA110" s="263">
        <f t="shared" si="12"/>
        <v>258.2787328</v>
      </c>
    </row>
    <row r="111" spans="2:27" ht="15" customHeight="1" x14ac:dyDescent="0.2">
      <c r="K111" s="72"/>
      <c r="U111" s="185">
        <v>19</v>
      </c>
      <c r="V111" s="524">
        <f t="shared" si="27"/>
        <v>290.10562857142861</v>
      </c>
      <c r="X111" s="194">
        <f t="shared" si="13"/>
        <v>290.10562857142861</v>
      </c>
      <c r="Z111" s="527">
        <f t="shared" si="11"/>
        <v>0.92400000000000004</v>
      </c>
      <c r="AA111" s="263">
        <f t="shared" si="12"/>
        <v>268.05760080000005</v>
      </c>
    </row>
    <row r="112" spans="2:27" ht="15" customHeight="1" x14ac:dyDescent="0.2">
      <c r="K112" s="72"/>
      <c r="U112" s="185">
        <v>20</v>
      </c>
      <c r="V112" s="528">
        <f t="shared" si="27"/>
        <v>301.8314285714286</v>
      </c>
      <c r="X112" s="194">
        <f t="shared" si="13"/>
        <v>301.8314285714286</v>
      </c>
      <c r="Z112" s="527">
        <f t="shared" si="11"/>
        <v>0.92</v>
      </c>
      <c r="AA112" s="263">
        <f t="shared" si="12"/>
        <v>277.68491428571434</v>
      </c>
    </row>
    <row r="113" spans="1:27" ht="15" customHeight="1" x14ac:dyDescent="0.2">
      <c r="A113" s="169" t="s">
        <v>157</v>
      </c>
      <c r="B113" s="143" t="s">
        <v>158</v>
      </c>
      <c r="I113" s="72"/>
      <c r="U113" s="185">
        <v>21</v>
      </c>
      <c r="V113" s="524">
        <f t="shared" si="27"/>
        <v>313.49380000000002</v>
      </c>
      <c r="X113" s="194">
        <f t="shared" si="13"/>
        <v>313.49380000000002</v>
      </c>
      <c r="Z113" s="527">
        <f t="shared" si="11"/>
        <v>0.91600000000000004</v>
      </c>
      <c r="AA113" s="263">
        <f t="shared" si="12"/>
        <v>287.16032080000002</v>
      </c>
    </row>
    <row r="114" spans="1:27" ht="15" customHeight="1" x14ac:dyDescent="0.2">
      <c r="A114" s="169"/>
      <c r="B114" s="54" t="s">
        <v>272</v>
      </c>
      <c r="I114" s="72"/>
      <c r="U114" s="185">
        <v>22</v>
      </c>
      <c r="V114" s="524">
        <f t="shared" si="27"/>
        <v>325.09154285714288</v>
      </c>
      <c r="X114" s="194">
        <f t="shared" si="13"/>
        <v>325.09154285714288</v>
      </c>
      <c r="Z114" s="527">
        <f t="shared" si="11"/>
        <v>0.91200000000000003</v>
      </c>
      <c r="AA114" s="263">
        <f t="shared" si="12"/>
        <v>296.48348708571433</v>
      </c>
    </row>
    <row r="115" spans="1:27" ht="15" customHeight="1" x14ac:dyDescent="0.2">
      <c r="A115" s="169"/>
      <c r="B115" s="54" t="s">
        <v>271</v>
      </c>
      <c r="I115" s="72"/>
      <c r="U115" s="185">
        <v>23</v>
      </c>
      <c r="V115" s="524">
        <f t="shared" si="27"/>
        <v>336.62345714285715</v>
      </c>
      <c r="X115" s="194">
        <f t="shared" si="13"/>
        <v>336.62345714285715</v>
      </c>
      <c r="Z115" s="527">
        <f t="shared" si="11"/>
        <v>0.90800000000000003</v>
      </c>
      <c r="AA115" s="263">
        <f t="shared" si="12"/>
        <v>305.65409908571428</v>
      </c>
    </row>
    <row r="116" spans="1:27" ht="15" customHeight="1" x14ac:dyDescent="0.2">
      <c r="A116" s="169"/>
      <c r="B116" s="54" t="s">
        <v>270</v>
      </c>
      <c r="I116" s="72"/>
      <c r="U116" s="185">
        <v>24</v>
      </c>
      <c r="V116" s="524">
        <f t="shared" si="27"/>
        <v>348.08834285714283</v>
      </c>
      <c r="X116" s="194">
        <f t="shared" si="13"/>
        <v>348.08834285714283</v>
      </c>
      <c r="Z116" s="527">
        <f t="shared" si="11"/>
        <v>0.90400000000000003</v>
      </c>
      <c r="AA116" s="263">
        <f t="shared" si="12"/>
        <v>314.67186194285711</v>
      </c>
    </row>
    <row r="117" spans="1:27" ht="15" customHeight="1" x14ac:dyDescent="0.2">
      <c r="A117" s="169"/>
      <c r="B117" s="54" t="s">
        <v>269</v>
      </c>
      <c r="I117" s="72"/>
      <c r="U117" s="185">
        <v>25</v>
      </c>
      <c r="V117" s="524">
        <f t="shared" si="27"/>
        <v>359.48500000000001</v>
      </c>
      <c r="X117" s="194">
        <f t="shared" si="13"/>
        <v>359.48500000000001</v>
      </c>
      <c r="Z117" s="527">
        <f t="shared" si="11"/>
        <v>0.9</v>
      </c>
      <c r="AA117" s="263">
        <f t="shared" si="12"/>
        <v>323.53650000000005</v>
      </c>
    </row>
    <row r="118" spans="1:27" ht="15" customHeight="1" x14ac:dyDescent="0.2">
      <c r="A118" s="169"/>
      <c r="B118" s="54" t="s">
        <v>273</v>
      </c>
      <c r="I118" s="72"/>
      <c r="U118" s="185">
        <v>26</v>
      </c>
      <c r="V118" s="524">
        <f t="shared" si="27"/>
        <v>370.81222857142859</v>
      </c>
      <c r="X118" s="194">
        <f t="shared" si="13"/>
        <v>370.81222857142859</v>
      </c>
      <c r="Z118" s="527">
        <f t="shared" si="11"/>
        <v>0.89600000000000002</v>
      </c>
      <c r="AA118" s="263">
        <f t="shared" si="12"/>
        <v>332.24775680000005</v>
      </c>
    </row>
    <row r="119" spans="1:27" ht="15" customHeight="1" x14ac:dyDescent="0.2">
      <c r="A119" s="169"/>
      <c r="B119" s="54" t="s">
        <v>274</v>
      </c>
      <c r="I119" s="72"/>
      <c r="U119" s="185">
        <v>27</v>
      </c>
      <c r="V119" s="524">
        <f t="shared" si="27"/>
        <v>382.06882857142853</v>
      </c>
      <c r="X119" s="194">
        <f t="shared" si="13"/>
        <v>382.06882857142853</v>
      </c>
      <c r="Z119" s="527">
        <f t="shared" si="11"/>
        <v>0.89200000000000002</v>
      </c>
      <c r="AA119" s="263">
        <f t="shared" si="12"/>
        <v>340.80539508571422</v>
      </c>
    </row>
    <row r="120" spans="1:27" ht="15" customHeight="1" x14ac:dyDescent="0.2">
      <c r="B120" s="54" t="s">
        <v>275</v>
      </c>
      <c r="I120" s="72"/>
      <c r="U120" s="185">
        <v>28</v>
      </c>
      <c r="V120" s="524">
        <f t="shared" si="27"/>
        <v>393.25360000000001</v>
      </c>
      <c r="X120" s="194">
        <f t="shared" si="13"/>
        <v>393.25360000000001</v>
      </c>
      <c r="Z120" s="527">
        <f t="shared" si="11"/>
        <v>0.88800000000000001</v>
      </c>
      <c r="AA120" s="263">
        <f t="shared" si="12"/>
        <v>349.20919680000003</v>
      </c>
    </row>
    <row r="121" spans="1:27" ht="15" customHeight="1" x14ac:dyDescent="0.2">
      <c r="B121" s="54" t="s">
        <v>241</v>
      </c>
      <c r="I121" s="72"/>
      <c r="U121" s="185">
        <v>29</v>
      </c>
      <c r="V121" s="524">
        <f t="shared" si="27"/>
        <v>404.36534285714288</v>
      </c>
      <c r="X121" s="194">
        <f t="shared" si="13"/>
        <v>404.36534285714288</v>
      </c>
      <c r="Z121" s="527">
        <f t="shared" si="11"/>
        <v>0.88400000000000001</v>
      </c>
      <c r="AA121" s="263">
        <f t="shared" si="12"/>
        <v>357.45896308571429</v>
      </c>
    </row>
    <row r="122" spans="1:27" ht="15" customHeight="1" x14ac:dyDescent="0.2">
      <c r="I122" s="72"/>
      <c r="P122" s="387" t="s">
        <v>231</v>
      </c>
      <c r="U122" s="185">
        <v>30</v>
      </c>
      <c r="V122" s="524">
        <f t="shared" si="27"/>
        <v>415.40285714285716</v>
      </c>
      <c r="X122" s="194">
        <f t="shared" si="13"/>
        <v>415.40285714285716</v>
      </c>
      <c r="Z122" s="527">
        <f t="shared" si="11"/>
        <v>0.88</v>
      </c>
      <c r="AA122" s="263">
        <f t="shared" si="12"/>
        <v>365.55451428571428</v>
      </c>
    </row>
    <row r="123" spans="1:27" ht="15" customHeight="1" x14ac:dyDescent="0.2">
      <c r="I123" s="72"/>
      <c r="M123" s="386" t="s">
        <v>229</v>
      </c>
      <c r="U123" s="185">
        <v>31</v>
      </c>
      <c r="V123" s="524">
        <f t="shared" si="27"/>
        <v>426.36494285714281</v>
      </c>
      <c r="X123" s="194">
        <f t="shared" si="13"/>
        <v>426.36494285714281</v>
      </c>
      <c r="Z123" s="527">
        <f t="shared" si="11"/>
        <v>0.876</v>
      </c>
      <c r="AA123" s="263">
        <f t="shared" si="12"/>
        <v>373.4956899428571</v>
      </c>
    </row>
    <row r="124" spans="1:27" ht="15" customHeight="1" x14ac:dyDescent="0.2">
      <c r="D124" s="293" t="s">
        <v>240</v>
      </c>
      <c r="I124" s="72"/>
      <c r="U124" s="185">
        <v>32</v>
      </c>
      <c r="V124" s="524">
        <f t="shared" si="27"/>
        <v>437.25040000000001</v>
      </c>
      <c r="X124" s="194">
        <f t="shared" si="13"/>
        <v>437.25040000000001</v>
      </c>
      <c r="Z124" s="527">
        <f t="shared" si="11"/>
        <v>0.872</v>
      </c>
      <c r="AA124" s="263">
        <f t="shared" si="12"/>
        <v>381.28234880000002</v>
      </c>
    </row>
    <row r="125" spans="1:27" ht="15" customHeight="1" x14ac:dyDescent="0.2">
      <c r="F125" s="72"/>
      <c r="G125" s="72"/>
      <c r="H125" s="72"/>
      <c r="I125" s="72"/>
      <c r="J125" s="439" t="s">
        <v>351</v>
      </c>
      <c r="K125" s="293"/>
      <c r="L125" s="293"/>
      <c r="M125" s="196" t="s">
        <v>276</v>
      </c>
      <c r="O125" s="72"/>
      <c r="P125" s="72"/>
      <c r="Q125" s="72"/>
      <c r="U125" s="185">
        <v>33</v>
      </c>
      <c r="V125" s="524">
        <f t="shared" si="27"/>
        <v>448.05802857142857</v>
      </c>
      <c r="X125" s="194">
        <f t="shared" si="13"/>
        <v>448.05802857142857</v>
      </c>
      <c r="Z125" s="527">
        <f t="shared" si="11"/>
        <v>0.86799999999999999</v>
      </c>
      <c r="AA125" s="263">
        <f t="shared" si="12"/>
        <v>388.91436879999998</v>
      </c>
    </row>
    <row r="126" spans="1:27" ht="15" customHeight="1" x14ac:dyDescent="0.2">
      <c r="B126" s="195"/>
      <c r="C126" s="170" t="s">
        <v>133</v>
      </c>
      <c r="D126" s="170" t="s">
        <v>133</v>
      </c>
      <c r="E126" s="284" t="s">
        <v>133</v>
      </c>
      <c r="F126" s="278" t="s">
        <v>133</v>
      </c>
      <c r="G126" s="278" t="s">
        <v>133</v>
      </c>
      <c r="H126" s="332" t="str">
        <f>J99</f>
        <v>stiff</v>
      </c>
      <c r="I126" s="196" t="s">
        <v>111</v>
      </c>
      <c r="J126" s="388" t="s">
        <v>180</v>
      </c>
      <c r="K126" s="388" t="s">
        <v>181</v>
      </c>
      <c r="L126" s="170" t="s">
        <v>50</v>
      </c>
      <c r="M126" s="196" t="s">
        <v>50</v>
      </c>
      <c r="O126" s="170" t="s">
        <v>111</v>
      </c>
      <c r="P126" s="170" t="s">
        <v>111</v>
      </c>
      <c r="Q126" s="284" t="s">
        <v>111</v>
      </c>
      <c r="R126" s="495" t="s">
        <v>374</v>
      </c>
      <c r="S126" s="482" t="s">
        <v>372</v>
      </c>
      <c r="U126" s="185">
        <v>34</v>
      </c>
      <c r="V126" s="524">
        <f t="shared" si="27"/>
        <v>458.78662857142854</v>
      </c>
      <c r="X126" s="194">
        <f t="shared" si="13"/>
        <v>458.78662857142854</v>
      </c>
      <c r="Z126" s="527">
        <f t="shared" si="11"/>
        <v>0.86399999999999999</v>
      </c>
      <c r="AA126" s="263">
        <f t="shared" si="12"/>
        <v>396.39164708571423</v>
      </c>
    </row>
    <row r="127" spans="1:27" ht="15" customHeight="1" x14ac:dyDescent="0.2">
      <c r="B127" s="195"/>
      <c r="C127" s="174" t="s">
        <v>117</v>
      </c>
      <c r="D127" s="163" t="s">
        <v>118</v>
      </c>
      <c r="E127" s="196" t="s">
        <v>109</v>
      </c>
      <c r="F127" s="183" t="s">
        <v>110</v>
      </c>
      <c r="G127" s="183" t="s">
        <v>112</v>
      </c>
      <c r="H127" s="332" t="s">
        <v>105</v>
      </c>
      <c r="I127" s="388" t="s">
        <v>232</v>
      </c>
      <c r="J127" s="388" t="s">
        <v>232</v>
      </c>
      <c r="K127" s="388" t="s">
        <v>239</v>
      </c>
      <c r="L127" s="174" t="s">
        <v>233</v>
      </c>
      <c r="M127" s="196" t="s">
        <v>232</v>
      </c>
      <c r="O127" s="174" t="s">
        <v>232</v>
      </c>
      <c r="P127" s="174" t="s">
        <v>233</v>
      </c>
      <c r="Q127" s="481" t="s">
        <v>118</v>
      </c>
      <c r="R127" s="483" t="s">
        <v>370</v>
      </c>
      <c r="S127" s="484" t="s">
        <v>112</v>
      </c>
      <c r="U127" s="185">
        <v>35</v>
      </c>
      <c r="V127" s="524">
        <f t="shared" si="27"/>
        <v>469.435</v>
      </c>
      <c r="X127" s="194">
        <f t="shared" si="13"/>
        <v>469.435</v>
      </c>
      <c r="Z127" s="527">
        <f t="shared" si="11"/>
        <v>0.86</v>
      </c>
      <c r="AA127" s="263">
        <f t="shared" si="12"/>
        <v>403.71409999999997</v>
      </c>
    </row>
    <row r="128" spans="1:27" ht="15" customHeight="1" x14ac:dyDescent="0.2">
      <c r="B128" s="195" t="s">
        <v>39</v>
      </c>
      <c r="C128" s="192" t="s">
        <v>235</v>
      </c>
      <c r="D128" s="192" t="s">
        <v>235</v>
      </c>
      <c r="E128" s="192" t="s">
        <v>235</v>
      </c>
      <c r="F128" s="331" t="s">
        <v>130</v>
      </c>
      <c r="G128" s="331" t="s">
        <v>130</v>
      </c>
      <c r="H128" s="391" t="s">
        <v>235</v>
      </c>
      <c r="I128" s="192" t="s">
        <v>234</v>
      </c>
      <c r="J128" s="192" t="s">
        <v>238</v>
      </c>
      <c r="K128" s="192" t="s">
        <v>235</v>
      </c>
      <c r="L128" s="192" t="s">
        <v>238</v>
      </c>
      <c r="M128" s="192" t="s">
        <v>238</v>
      </c>
      <c r="O128" s="192" t="s">
        <v>234</v>
      </c>
      <c r="P128" s="192" t="s">
        <v>234</v>
      </c>
      <c r="Q128" s="285" t="s">
        <v>234</v>
      </c>
      <c r="R128" s="485" t="s">
        <v>371</v>
      </c>
      <c r="S128" s="486" t="s">
        <v>373</v>
      </c>
      <c r="U128" s="185">
        <v>36</v>
      </c>
      <c r="V128" s="524">
        <f t="shared" si="27"/>
        <v>480.00194285714286</v>
      </c>
      <c r="X128" s="194">
        <f t="shared" si="13"/>
        <v>480.00194285714286</v>
      </c>
      <c r="Z128" s="527">
        <f t="shared" si="11"/>
        <v>0.85599999999999998</v>
      </c>
      <c r="AA128" s="263">
        <f t="shared" si="12"/>
        <v>410.88166308571431</v>
      </c>
    </row>
    <row r="129" spans="1:27" ht="15" customHeight="1" x14ac:dyDescent="0.2">
      <c r="B129" s="185">
        <v>1</v>
      </c>
      <c r="C129" s="198">
        <f>(D129-J129)</f>
        <v>51.181636248825882</v>
      </c>
      <c r="D129" s="198">
        <f>(F129+G129+J129+K129+L129)</f>
        <v>120.18163624882588</v>
      </c>
      <c r="E129" s="198">
        <f>F129+G129</f>
        <v>30.381636248825888</v>
      </c>
      <c r="F129" s="198">
        <f t="shared" ref="F129:G138" si="28">D101</f>
        <v>29.773636248825888</v>
      </c>
      <c r="G129" s="254">
        <f t="shared" si="28"/>
        <v>0.60799999999999998</v>
      </c>
      <c r="H129" s="234">
        <f>G129/E129</f>
        <v>2.0012088717687036E-2</v>
      </c>
      <c r="I129" s="198">
        <f>O129</f>
        <v>73.8</v>
      </c>
      <c r="J129" s="320">
        <v>69</v>
      </c>
      <c r="K129" s="395">
        <f>I129-J129</f>
        <v>4.7999999999999972</v>
      </c>
      <c r="L129" s="320">
        <v>16</v>
      </c>
      <c r="M129" s="320">
        <v>73</v>
      </c>
      <c r="O129" s="389">
        <v>73.8</v>
      </c>
      <c r="P129" s="320">
        <v>13.9</v>
      </c>
      <c r="Q129" s="323">
        <v>119</v>
      </c>
      <c r="R129" s="487">
        <f>D129-Q129</f>
        <v>1.1816362488258818</v>
      </c>
      <c r="S129" s="488">
        <f>G129-G30</f>
        <v>-1.0920000000000001</v>
      </c>
      <c r="U129" s="185">
        <v>37</v>
      </c>
      <c r="V129" s="524">
        <f t="shared" si="27"/>
        <v>490.48625714285714</v>
      </c>
      <c r="X129" s="194">
        <f t="shared" si="13"/>
        <v>490.48625714285714</v>
      </c>
      <c r="Z129" s="527">
        <f t="shared" si="11"/>
        <v>0.85199999999999998</v>
      </c>
      <c r="AA129" s="263">
        <f t="shared" si="12"/>
        <v>417.89429108571426</v>
      </c>
    </row>
    <row r="130" spans="1:27" ht="15" customHeight="1" x14ac:dyDescent="0.2">
      <c r="B130" s="185">
        <v>2</v>
      </c>
      <c r="C130" s="199">
        <f t="shared" ref="C130:C138" si="29">(D130-J130)</f>
        <v>80.268628994956202</v>
      </c>
      <c r="D130" s="199">
        <f t="shared" ref="D130:D138" si="30">(F130+G130+J130+K130+L130)</f>
        <v>149.2686289949562</v>
      </c>
      <c r="E130" s="199">
        <f t="shared" ref="E130:E135" si="31">F130+G130</f>
        <v>59.668628994956215</v>
      </c>
      <c r="F130" s="199">
        <f t="shared" si="28"/>
        <v>57.282628994956212</v>
      </c>
      <c r="G130" s="255">
        <f t="shared" si="28"/>
        <v>2.3860000000000001</v>
      </c>
      <c r="H130" s="235">
        <f t="shared" ref="H130:H138" si="32">G130/E130</f>
        <v>3.9987511699015051E-2</v>
      </c>
      <c r="I130" s="199">
        <f t="shared" ref="I130:I138" si="33">O130</f>
        <v>73.599999999999994</v>
      </c>
      <c r="J130" s="321">
        <v>69</v>
      </c>
      <c r="K130" s="396">
        <f t="shared" ref="K130:K138" si="34">I130-J130</f>
        <v>4.5999999999999943</v>
      </c>
      <c r="L130" s="321">
        <v>16</v>
      </c>
      <c r="M130" s="321">
        <v>73</v>
      </c>
      <c r="O130" s="321">
        <v>73.599999999999994</v>
      </c>
      <c r="P130" s="321">
        <v>15.9</v>
      </c>
      <c r="Q130" s="324">
        <v>151</v>
      </c>
      <c r="R130" s="489">
        <f t="shared" ref="R130:R138" si="35">D130-Q130</f>
        <v>-1.7313710050437976</v>
      </c>
      <c r="S130" s="490">
        <f t="shared" ref="S130:S138" si="36">G130-G31</f>
        <v>-1.6139999999999999</v>
      </c>
      <c r="U130" s="185">
        <v>38</v>
      </c>
      <c r="V130" s="524">
        <f t="shared" si="27"/>
        <v>500.88674285714279</v>
      </c>
      <c r="X130" s="194">
        <f t="shared" si="13"/>
        <v>500.88674285714279</v>
      </c>
      <c r="Z130" s="527">
        <f t="shared" si="11"/>
        <v>0.84799999999999998</v>
      </c>
      <c r="AA130" s="263">
        <f t="shared" si="12"/>
        <v>424.75195794285708</v>
      </c>
    </row>
    <row r="131" spans="1:27" ht="15" customHeight="1" x14ac:dyDescent="0.2">
      <c r="B131" s="185">
        <v>3</v>
      </c>
      <c r="C131" s="200">
        <f t="shared" si="29"/>
        <v>104.87922095492178</v>
      </c>
      <c r="D131" s="200">
        <f t="shared" si="30"/>
        <v>173.87922095492178</v>
      </c>
      <c r="E131" s="200">
        <f t="shared" si="31"/>
        <v>84.579220954921794</v>
      </c>
      <c r="F131" s="200">
        <f t="shared" si="28"/>
        <v>79.677220954921793</v>
      </c>
      <c r="G131" s="256">
        <f t="shared" si="28"/>
        <v>4.9020000000000001</v>
      </c>
      <c r="H131" s="236">
        <f t="shared" si="32"/>
        <v>5.79574976531484E-2</v>
      </c>
      <c r="I131" s="200">
        <f t="shared" si="33"/>
        <v>73.3</v>
      </c>
      <c r="J131" s="322">
        <v>69</v>
      </c>
      <c r="K131" s="397">
        <f t="shared" si="34"/>
        <v>4.2999999999999972</v>
      </c>
      <c r="L131" s="322">
        <v>16</v>
      </c>
      <c r="M131" s="322">
        <v>73</v>
      </c>
      <c r="O131" s="322">
        <v>73.3</v>
      </c>
      <c r="P131" s="322">
        <v>17.399999999999999</v>
      </c>
      <c r="Q131" s="325">
        <v>177</v>
      </c>
      <c r="R131" s="491">
        <f t="shared" si="35"/>
        <v>-3.1207790450782227</v>
      </c>
      <c r="S131" s="492">
        <f t="shared" si="36"/>
        <v>-1.8979999999999997</v>
      </c>
      <c r="U131" s="185">
        <v>39</v>
      </c>
      <c r="V131" s="524">
        <f t="shared" si="27"/>
        <v>511.2022</v>
      </c>
      <c r="X131" s="194">
        <f t="shared" si="13"/>
        <v>511.2022</v>
      </c>
      <c r="Z131" s="527">
        <f t="shared" si="11"/>
        <v>0.84399999999999997</v>
      </c>
      <c r="AA131" s="263">
        <f t="shared" si="12"/>
        <v>431.45465680000001</v>
      </c>
    </row>
    <row r="132" spans="1:27" ht="15" customHeight="1" x14ac:dyDescent="0.2">
      <c r="B132" s="185">
        <v>4</v>
      </c>
      <c r="C132" s="200">
        <f t="shared" si="29"/>
        <v>126.37215096573553</v>
      </c>
      <c r="D132" s="200">
        <f t="shared" si="30"/>
        <v>195.37215096573553</v>
      </c>
      <c r="E132" s="200">
        <f t="shared" si="31"/>
        <v>105.97215096573552</v>
      </c>
      <c r="F132" s="200">
        <f t="shared" si="28"/>
        <v>98.014150965735524</v>
      </c>
      <c r="G132" s="256">
        <f t="shared" si="28"/>
        <v>7.9580000000000002</v>
      </c>
      <c r="H132" s="236">
        <f t="shared" si="32"/>
        <v>7.5095201215393828E-2</v>
      </c>
      <c r="I132" s="200">
        <f t="shared" si="33"/>
        <v>73.400000000000006</v>
      </c>
      <c r="J132" s="322">
        <v>69</v>
      </c>
      <c r="K132" s="397">
        <f t="shared" si="34"/>
        <v>4.4000000000000057</v>
      </c>
      <c r="L132" s="322">
        <v>16</v>
      </c>
      <c r="M132" s="322">
        <v>73</v>
      </c>
      <c r="O132" s="322">
        <v>73.400000000000006</v>
      </c>
      <c r="P132" s="322">
        <v>16.8</v>
      </c>
      <c r="Q132" s="325">
        <v>196</v>
      </c>
      <c r="R132" s="491">
        <f t="shared" si="35"/>
        <v>-0.62784903426447158</v>
      </c>
      <c r="S132" s="492">
        <f t="shared" si="36"/>
        <v>-1.4420000000000002</v>
      </c>
      <c r="U132" s="185">
        <v>40</v>
      </c>
      <c r="V132" s="524">
        <f t="shared" si="27"/>
        <v>521.43142857142857</v>
      </c>
      <c r="X132" s="194">
        <f t="shared" si="13"/>
        <v>521.43142857142857</v>
      </c>
      <c r="Z132" s="527">
        <f t="shared" si="11"/>
        <v>0.84</v>
      </c>
      <c r="AA132" s="263">
        <f t="shared" si="12"/>
        <v>438.00239999999997</v>
      </c>
    </row>
    <row r="133" spans="1:27" ht="15" customHeight="1" x14ac:dyDescent="0.2">
      <c r="B133" s="185">
        <v>5</v>
      </c>
      <c r="C133" s="199">
        <f t="shared" si="29"/>
        <v>144.95915786441029</v>
      </c>
      <c r="D133" s="199">
        <f t="shared" si="30"/>
        <v>213.95915786441029</v>
      </c>
      <c r="E133" s="199">
        <f t="shared" si="31"/>
        <v>124.5591578644103</v>
      </c>
      <c r="F133" s="199">
        <f t="shared" si="28"/>
        <v>113.35015786441029</v>
      </c>
      <c r="G133" s="255">
        <f t="shared" si="28"/>
        <v>11.209</v>
      </c>
      <c r="H133" s="235">
        <f t="shared" si="32"/>
        <v>8.9989368844333645E-2</v>
      </c>
      <c r="I133" s="199">
        <f t="shared" si="33"/>
        <v>73.400000000000006</v>
      </c>
      <c r="J133" s="321">
        <v>69</v>
      </c>
      <c r="K133" s="396">
        <f t="shared" si="34"/>
        <v>4.4000000000000057</v>
      </c>
      <c r="L133" s="321">
        <v>16</v>
      </c>
      <c r="M133" s="321">
        <v>73</v>
      </c>
      <c r="O133" s="321">
        <v>73.400000000000006</v>
      </c>
      <c r="P133" s="321">
        <v>17.100000000000001</v>
      </c>
      <c r="Q133" s="324">
        <v>216</v>
      </c>
      <c r="R133" s="489">
        <f t="shared" si="35"/>
        <v>-2.0408421355897133</v>
      </c>
      <c r="S133" s="490">
        <f t="shared" si="36"/>
        <v>-0.89100000000000001</v>
      </c>
      <c r="U133" s="185">
        <v>41</v>
      </c>
      <c r="V133" s="524">
        <f t="shared" si="27"/>
        <v>531.57322857142856</v>
      </c>
      <c r="X133" s="194">
        <f t="shared" si="13"/>
        <v>531.57322857142856</v>
      </c>
      <c r="Z133" s="527">
        <f t="shared" si="11"/>
        <v>0.83599999999999997</v>
      </c>
      <c r="AA133" s="263">
        <f t="shared" si="12"/>
        <v>444.39521908571425</v>
      </c>
    </row>
    <row r="134" spans="1:27" ht="15" customHeight="1" x14ac:dyDescent="0.2">
      <c r="B134" s="185">
        <v>10</v>
      </c>
      <c r="C134" s="200">
        <f t="shared" si="29"/>
        <v>226.12967391414662</v>
      </c>
      <c r="D134" s="200">
        <f t="shared" si="30"/>
        <v>295.12967391414662</v>
      </c>
      <c r="E134" s="200">
        <f t="shared" si="31"/>
        <v>205.62967391414662</v>
      </c>
      <c r="F134" s="200">
        <f t="shared" si="28"/>
        <v>181.95967391414661</v>
      </c>
      <c r="G134" s="256">
        <f t="shared" si="28"/>
        <v>23.67</v>
      </c>
      <c r="H134" s="236">
        <f t="shared" si="32"/>
        <v>0.1151098455268794</v>
      </c>
      <c r="I134" s="200">
        <f t="shared" si="33"/>
        <v>73.5</v>
      </c>
      <c r="J134" s="322">
        <v>69</v>
      </c>
      <c r="K134" s="397">
        <f t="shared" si="34"/>
        <v>4.5</v>
      </c>
      <c r="L134" s="322">
        <v>16</v>
      </c>
      <c r="M134" s="322">
        <v>73</v>
      </c>
      <c r="O134" s="322">
        <v>73.5</v>
      </c>
      <c r="P134" s="322">
        <v>15.4</v>
      </c>
      <c r="Q134" s="325">
        <v>296</v>
      </c>
      <c r="R134" s="491">
        <f t="shared" si="35"/>
        <v>-0.87032608585337812</v>
      </c>
      <c r="S134" s="492">
        <f t="shared" si="36"/>
        <v>-1.4299999999999997</v>
      </c>
      <c r="U134" s="185">
        <v>42</v>
      </c>
      <c r="V134" s="524">
        <f t="shared" si="27"/>
        <v>541.62639999999999</v>
      </c>
      <c r="X134" s="194">
        <f t="shared" si="13"/>
        <v>541.62639999999999</v>
      </c>
      <c r="Z134" s="527">
        <f t="shared" si="11"/>
        <v>0.83199999999999996</v>
      </c>
      <c r="AA134" s="263">
        <f t="shared" si="12"/>
        <v>450.63316479999997</v>
      </c>
    </row>
    <row r="135" spans="1:27" ht="15" customHeight="1" x14ac:dyDescent="0.2">
      <c r="B135" s="185">
        <v>20</v>
      </c>
      <c r="C135" s="200">
        <f t="shared" si="29"/>
        <v>367.45242857142858</v>
      </c>
      <c r="D135" s="200">
        <f t="shared" si="30"/>
        <v>436.45242857142858</v>
      </c>
      <c r="E135" s="200">
        <f t="shared" si="31"/>
        <v>346.95242857142858</v>
      </c>
      <c r="F135" s="200">
        <f t="shared" si="28"/>
        <v>301.8314285714286</v>
      </c>
      <c r="G135" s="256">
        <f t="shared" si="28"/>
        <v>45.121000000000002</v>
      </c>
      <c r="H135" s="236">
        <f t="shared" si="32"/>
        <v>0.13004952922734983</v>
      </c>
      <c r="I135" s="200">
        <f t="shared" si="33"/>
        <v>73.5</v>
      </c>
      <c r="J135" s="322">
        <v>69</v>
      </c>
      <c r="K135" s="397">
        <f t="shared" si="34"/>
        <v>4.5</v>
      </c>
      <c r="L135" s="322">
        <v>16</v>
      </c>
      <c r="M135" s="322">
        <v>73</v>
      </c>
      <c r="O135" s="322">
        <v>73.5</v>
      </c>
      <c r="P135" s="322">
        <v>13.9</v>
      </c>
      <c r="Q135" s="325">
        <v>436</v>
      </c>
      <c r="R135" s="491">
        <f t="shared" si="35"/>
        <v>0.45242857142858384</v>
      </c>
      <c r="S135" s="492">
        <f t="shared" si="36"/>
        <v>-2.0790000000000006</v>
      </c>
      <c r="U135" s="185">
        <v>43</v>
      </c>
      <c r="V135" s="524">
        <f t="shared" si="27"/>
        <v>551.58974285714282</v>
      </c>
      <c r="X135" s="194">
        <f t="shared" si="13"/>
        <v>551.58974285714282</v>
      </c>
      <c r="Z135" s="527">
        <f t="shared" si="11"/>
        <v>0.82799999999999996</v>
      </c>
      <c r="AA135" s="263">
        <f t="shared" si="12"/>
        <v>456.71630708571422</v>
      </c>
    </row>
    <row r="136" spans="1:27" ht="15" customHeight="1" x14ac:dyDescent="0.2">
      <c r="B136" s="185">
        <v>30</v>
      </c>
      <c r="C136" s="200">
        <f t="shared" si="29"/>
        <v>498.26585714285716</v>
      </c>
      <c r="D136" s="200">
        <f t="shared" si="30"/>
        <v>567.26585714285716</v>
      </c>
      <c r="E136" s="200">
        <f>F136+G136</f>
        <v>477.46585714285715</v>
      </c>
      <c r="F136" s="200">
        <f t="shared" si="28"/>
        <v>415.40285714285716</v>
      </c>
      <c r="G136" s="256">
        <f t="shared" si="28"/>
        <v>62.063000000000002</v>
      </c>
      <c r="H136" s="236">
        <f t="shared" si="32"/>
        <v>0.12998416341512528</v>
      </c>
      <c r="I136" s="200">
        <f t="shared" si="33"/>
        <v>73.8</v>
      </c>
      <c r="J136" s="322">
        <v>69</v>
      </c>
      <c r="K136" s="397">
        <f t="shared" si="34"/>
        <v>4.7999999999999972</v>
      </c>
      <c r="L136" s="322">
        <v>16</v>
      </c>
      <c r="M136" s="322">
        <v>73</v>
      </c>
      <c r="O136" s="322">
        <v>73.8</v>
      </c>
      <c r="P136" s="322">
        <v>11.1</v>
      </c>
      <c r="Q136" s="325">
        <v>566</v>
      </c>
      <c r="R136" s="491">
        <f t="shared" si="35"/>
        <v>1.2658571428571577</v>
      </c>
      <c r="S136" s="492">
        <f t="shared" si="36"/>
        <v>-3.1370000000000005</v>
      </c>
      <c r="U136" s="185">
        <v>44</v>
      </c>
      <c r="V136" s="524">
        <f t="shared" si="27"/>
        <v>561.46205714285713</v>
      </c>
      <c r="X136" s="194">
        <f t="shared" si="13"/>
        <v>561.46205714285713</v>
      </c>
      <c r="Z136" s="527">
        <f t="shared" si="11"/>
        <v>0.82400000000000007</v>
      </c>
      <c r="AA136" s="263">
        <f t="shared" si="12"/>
        <v>462.64473508571433</v>
      </c>
    </row>
    <row r="137" spans="1:27" ht="15" customHeight="1" x14ac:dyDescent="0.2">
      <c r="B137" s="185">
        <v>40</v>
      </c>
      <c r="C137" s="200">
        <f t="shared" si="29"/>
        <v>620.62842857142857</v>
      </c>
      <c r="D137" s="200">
        <f t="shared" si="30"/>
        <v>689.62842857142857</v>
      </c>
      <c r="E137" s="200">
        <f t="shared" ref="E137:E138" si="37">F137+G137</f>
        <v>599.32842857142862</v>
      </c>
      <c r="F137" s="200">
        <f t="shared" si="28"/>
        <v>521.43142857142857</v>
      </c>
      <c r="G137" s="256">
        <f t="shared" si="28"/>
        <v>77.897000000000006</v>
      </c>
      <c r="H137" s="236">
        <f t="shared" si="32"/>
        <v>0.12997381116339979</v>
      </c>
      <c r="I137" s="200">
        <f t="shared" si="33"/>
        <v>74.3</v>
      </c>
      <c r="J137" s="322">
        <v>69</v>
      </c>
      <c r="K137" s="397">
        <f t="shared" si="34"/>
        <v>5.2999999999999972</v>
      </c>
      <c r="L137" s="322">
        <v>16</v>
      </c>
      <c r="M137" s="322">
        <v>74</v>
      </c>
      <c r="O137" s="322">
        <v>74.3</v>
      </c>
      <c r="P137" s="322">
        <v>10.6</v>
      </c>
      <c r="Q137" s="325">
        <v>687</v>
      </c>
      <c r="R137" s="491">
        <f t="shared" si="35"/>
        <v>2.6284285714285716</v>
      </c>
      <c r="S137" s="492">
        <f t="shared" si="36"/>
        <v>-3.2029999999999887</v>
      </c>
      <c r="U137" s="185">
        <v>45</v>
      </c>
      <c r="V137" s="524">
        <f t="shared" si="27"/>
        <v>571.24214285714288</v>
      </c>
      <c r="X137" s="194">
        <f t="shared" si="13"/>
        <v>571.24214285714288</v>
      </c>
      <c r="Z137" s="527">
        <f t="shared" si="11"/>
        <v>0.82000000000000006</v>
      </c>
      <c r="AA137" s="263">
        <f t="shared" si="12"/>
        <v>468.4185571428572</v>
      </c>
    </row>
    <row r="138" spans="1:27" ht="15" customHeight="1" x14ac:dyDescent="0.2">
      <c r="B138" s="185">
        <v>50</v>
      </c>
      <c r="C138" s="199">
        <f t="shared" si="29"/>
        <v>733.59914285714274</v>
      </c>
      <c r="D138" s="199">
        <f t="shared" si="30"/>
        <v>802.59914285714274</v>
      </c>
      <c r="E138" s="199">
        <f t="shared" si="37"/>
        <v>711.19914285714276</v>
      </c>
      <c r="F138" s="199">
        <f t="shared" si="28"/>
        <v>618.71714285714279</v>
      </c>
      <c r="G138" s="255">
        <f t="shared" si="28"/>
        <v>92.481999999999999</v>
      </c>
      <c r="H138" s="235">
        <f t="shared" si="32"/>
        <v>0.13003671465135144</v>
      </c>
      <c r="I138" s="199">
        <f t="shared" si="33"/>
        <v>75.400000000000006</v>
      </c>
      <c r="J138" s="321">
        <v>69</v>
      </c>
      <c r="K138" s="396">
        <f t="shared" si="34"/>
        <v>6.4000000000000057</v>
      </c>
      <c r="L138" s="321">
        <v>16</v>
      </c>
      <c r="M138" s="321">
        <v>75</v>
      </c>
      <c r="O138" s="321">
        <v>75.400000000000006</v>
      </c>
      <c r="P138" s="321">
        <v>13.3</v>
      </c>
      <c r="Q138" s="324">
        <v>803</v>
      </c>
      <c r="R138" s="493">
        <f t="shared" si="35"/>
        <v>-0.40085714285726226</v>
      </c>
      <c r="S138" s="494">
        <f t="shared" si="36"/>
        <v>-3.0180000000000007</v>
      </c>
      <c r="U138" s="185">
        <v>46</v>
      </c>
      <c r="V138" s="524">
        <f t="shared" si="27"/>
        <v>580.92880000000002</v>
      </c>
      <c r="X138" s="194">
        <f t="shared" si="13"/>
        <v>580.92880000000002</v>
      </c>
      <c r="Z138" s="527">
        <f t="shared" si="11"/>
        <v>0.81600000000000006</v>
      </c>
      <c r="AA138" s="263">
        <f t="shared" si="12"/>
        <v>474.03790080000005</v>
      </c>
    </row>
    <row r="139" spans="1:27" ht="15" customHeight="1" x14ac:dyDescent="0.2">
      <c r="I139" s="72"/>
      <c r="U139" s="185">
        <v>47</v>
      </c>
      <c r="V139" s="524">
        <f t="shared" si="27"/>
        <v>590.52082857142852</v>
      </c>
      <c r="X139" s="194">
        <f t="shared" si="13"/>
        <v>590.52082857142852</v>
      </c>
      <c r="Z139" s="527">
        <f t="shared" si="11"/>
        <v>0.81200000000000006</v>
      </c>
      <c r="AA139" s="263">
        <f t="shared" si="12"/>
        <v>479.50291279999999</v>
      </c>
    </row>
    <row r="140" spans="1:27" ht="15" customHeight="1" x14ac:dyDescent="0.2">
      <c r="I140" s="72"/>
      <c r="P140" s="513">
        <f>SUM(P129:P133)/5</f>
        <v>16.22</v>
      </c>
      <c r="Q140" s="510" t="s">
        <v>389</v>
      </c>
      <c r="U140" s="185">
        <v>48</v>
      </c>
      <c r="V140" s="524">
        <f t="shared" si="27"/>
        <v>600.01702857142857</v>
      </c>
      <c r="X140" s="194">
        <f t="shared" si="13"/>
        <v>600.01702857142857</v>
      </c>
      <c r="Z140" s="527">
        <f t="shared" si="11"/>
        <v>0.80800000000000005</v>
      </c>
      <c r="AA140" s="263">
        <f t="shared" si="12"/>
        <v>484.81375908571431</v>
      </c>
    </row>
    <row r="141" spans="1:27" x14ac:dyDescent="0.2">
      <c r="A141" s="169" t="s">
        <v>159</v>
      </c>
      <c r="B141" s="143" t="s">
        <v>160</v>
      </c>
      <c r="I141" s="72"/>
      <c r="U141" s="185">
        <v>49</v>
      </c>
      <c r="V141" s="524">
        <f t="shared" si="27"/>
        <v>609.4162</v>
      </c>
      <c r="X141" s="194">
        <f t="shared" si="13"/>
        <v>609.4162</v>
      </c>
      <c r="Z141" s="527">
        <f t="shared" si="11"/>
        <v>0.80400000000000005</v>
      </c>
      <c r="AA141" s="263">
        <f t="shared" si="12"/>
        <v>489.97062480000005</v>
      </c>
    </row>
    <row r="142" spans="1:27" ht="15" customHeight="1" x14ac:dyDescent="0.2">
      <c r="Q142" s="50" t="s">
        <v>247</v>
      </c>
      <c r="U142" s="185">
        <v>50</v>
      </c>
      <c r="V142" s="524">
        <f t="shared" si="27"/>
        <v>618.71714285714279</v>
      </c>
      <c r="X142" s="194">
        <f t="shared" si="13"/>
        <v>618.71714285714279</v>
      </c>
      <c r="Z142" s="527">
        <f t="shared" si="11"/>
        <v>0.8</v>
      </c>
      <c r="AA142" s="263">
        <f t="shared" si="12"/>
        <v>494.97371428571427</v>
      </c>
    </row>
    <row r="143" spans="1:27" ht="15" customHeight="1" x14ac:dyDescent="0.2">
      <c r="B143" s="169" t="s">
        <v>168</v>
      </c>
      <c r="C143" s="83"/>
      <c r="I143" s="72"/>
    </row>
    <row r="144" spans="1:27" ht="15" customHeight="1" x14ac:dyDescent="0.2">
      <c r="B144" s="143" t="s">
        <v>169</v>
      </c>
      <c r="C144" s="83"/>
      <c r="D144" s="83"/>
      <c r="E144" s="83"/>
      <c r="F144" s="83"/>
      <c r="G144" s="83"/>
      <c r="H144" s="83"/>
      <c r="I144" s="83"/>
      <c r="J144" s="83"/>
      <c r="K144" s="83"/>
      <c r="L144" s="83"/>
      <c r="Q144" s="54" t="s">
        <v>245</v>
      </c>
    </row>
    <row r="145" spans="2:19" ht="15" customHeight="1" x14ac:dyDescent="0.2">
      <c r="B145" s="169" t="s">
        <v>170</v>
      </c>
      <c r="C145" s="83"/>
      <c r="D145" s="83"/>
      <c r="E145" s="83"/>
      <c r="F145" s="385" t="s">
        <v>230</v>
      </c>
      <c r="G145" s="83"/>
      <c r="H145" s="83"/>
      <c r="I145" s="54" t="s">
        <v>62</v>
      </c>
      <c r="J145" s="83"/>
      <c r="K145" s="83"/>
      <c r="Q145" s="54" t="s">
        <v>246</v>
      </c>
    </row>
    <row r="146" spans="2:19" ht="15" customHeight="1" x14ac:dyDescent="0.2">
      <c r="D146" s="118"/>
      <c r="H146" s="59" t="s">
        <v>23</v>
      </c>
      <c r="I146" s="60"/>
      <c r="J146" s="60"/>
      <c r="K146" s="61"/>
      <c r="L146" s="59" t="s">
        <v>29</v>
      </c>
      <c r="M146" s="60"/>
      <c r="N146" s="61"/>
      <c r="O146" s="163"/>
      <c r="P146" s="170" t="s">
        <v>133</v>
      </c>
      <c r="Q146" t="s">
        <v>194</v>
      </c>
    </row>
    <row r="147" spans="2:19" ht="15" customHeight="1" x14ac:dyDescent="0.2">
      <c r="C147" s="84"/>
      <c r="D147" s="119"/>
      <c r="F147" s="383" t="s">
        <v>161</v>
      </c>
      <c r="G147" s="380" t="s">
        <v>196</v>
      </c>
      <c r="H147" s="35" t="s">
        <v>24</v>
      </c>
      <c r="I147" s="238" t="s">
        <v>104</v>
      </c>
      <c r="J147" s="21"/>
      <c r="K147" s="22"/>
      <c r="L147" s="35" t="s">
        <v>30</v>
      </c>
      <c r="M147" s="238" t="s">
        <v>117</v>
      </c>
      <c r="N147" s="43"/>
      <c r="O147" s="163"/>
      <c r="P147" s="174" t="s">
        <v>117</v>
      </c>
      <c r="Q147" s="333" t="e">
        <f>P147/M147</f>
        <v>#DIV/0!</v>
      </c>
      <c r="R147" s="333" t="e">
        <f>G147*Q147</f>
        <v>#DIV/0!</v>
      </c>
      <c r="S147" s="346" t="s">
        <v>207</v>
      </c>
    </row>
    <row r="148" spans="2:19" ht="15" customHeight="1" x14ac:dyDescent="0.2">
      <c r="B148" s="335" t="s">
        <v>15</v>
      </c>
      <c r="C148" s="336"/>
      <c r="D148" s="337"/>
      <c r="E148" s="382" t="s">
        <v>39</v>
      </c>
      <c r="F148" s="384" t="s">
        <v>61</v>
      </c>
      <c r="G148" s="381" t="s">
        <v>197</v>
      </c>
      <c r="H148" s="37" t="s">
        <v>25</v>
      </c>
      <c r="I148" s="38" t="s">
        <v>27</v>
      </c>
      <c r="J148" s="1"/>
      <c r="K148" s="39"/>
      <c r="L148" s="37" t="s">
        <v>31</v>
      </c>
      <c r="M148" s="38" t="s">
        <v>33</v>
      </c>
      <c r="N148" s="25"/>
      <c r="O148" s="163" t="s">
        <v>39</v>
      </c>
      <c r="P148" s="192" t="s">
        <v>131</v>
      </c>
      <c r="Q148" s="344" t="s">
        <v>192</v>
      </c>
      <c r="R148" s="344" t="s">
        <v>193</v>
      </c>
    </row>
    <row r="149" spans="2:19" ht="15" customHeight="1" x14ac:dyDescent="0.2">
      <c r="B149" s="338" t="s">
        <v>16</v>
      </c>
      <c r="C149" s="24" t="s">
        <v>19</v>
      </c>
      <c r="D149" s="339">
        <v>2.46</v>
      </c>
      <c r="E149" s="334">
        <v>1</v>
      </c>
      <c r="F149" s="328">
        <v>1.374510155469604</v>
      </c>
      <c r="G149" s="201">
        <v>1.3888371862908135</v>
      </c>
      <c r="H149" s="62">
        <f>(D150*2.20462*25.4*12)</f>
        <v>3124.6520184000001</v>
      </c>
      <c r="I149" s="14">
        <f>F149*D$149*SQRT(4*D$151*H$149/32.2)/12</f>
        <v>51.181636248825889</v>
      </c>
      <c r="J149" s="1"/>
      <c r="K149" s="39"/>
      <c r="L149" s="175">
        <v>1</v>
      </c>
      <c r="M149" s="171">
        <f>L149*I149</f>
        <v>51.181636248825889</v>
      </c>
      <c r="N149" s="25"/>
      <c r="O149" s="163">
        <v>1</v>
      </c>
      <c r="P149" s="171">
        <f>C129</f>
        <v>51.181636248825882</v>
      </c>
      <c r="Q149" s="333">
        <v>0.98968415379237284</v>
      </c>
      <c r="R149" s="333">
        <v>1.374510155469604</v>
      </c>
      <c r="S149" s="346" t="s">
        <v>215</v>
      </c>
    </row>
    <row r="150" spans="2:19" ht="15" customHeight="1" x14ac:dyDescent="0.2">
      <c r="B150" s="338" t="s">
        <v>17</v>
      </c>
      <c r="C150" s="24" t="s">
        <v>20</v>
      </c>
      <c r="D150" s="339">
        <v>4.6500000000000004</v>
      </c>
      <c r="E150" s="334">
        <v>2</v>
      </c>
      <c r="F150" s="329">
        <v>1.0778284342337745</v>
      </c>
      <c r="G150" s="202">
        <v>1.0342004042915363</v>
      </c>
      <c r="H150" s="63"/>
      <c r="I150" s="14">
        <f t="shared" ref="I150:I158" si="38">F150*D$149*SQRT(4*D$151*H$149/32.2)/12</f>
        <v>40.134314497478094</v>
      </c>
      <c r="J150" s="1"/>
      <c r="K150" s="39"/>
      <c r="L150" s="176">
        <v>2</v>
      </c>
      <c r="M150" s="172">
        <f>L150*I150</f>
        <v>80.268628994956188</v>
      </c>
      <c r="N150" s="25"/>
      <c r="O150" s="163">
        <v>2</v>
      </c>
      <c r="P150" s="172">
        <f t="shared" ref="P150:P158" si="39">C130</f>
        <v>80.268628994956202</v>
      </c>
      <c r="Q150" s="333">
        <v>1.0421852764330768</v>
      </c>
      <c r="R150" s="333">
        <v>1.0778284342337745</v>
      </c>
      <c r="S150" s="346" t="s">
        <v>216</v>
      </c>
    </row>
    <row r="151" spans="2:19" ht="15" customHeight="1" x14ac:dyDescent="0.2">
      <c r="B151" s="340" t="s">
        <v>18</v>
      </c>
      <c r="C151" s="341" t="s">
        <v>28</v>
      </c>
      <c r="D151" s="342">
        <v>85</v>
      </c>
      <c r="E151" s="334">
        <v>3</v>
      </c>
      <c r="F151" s="328">
        <v>0.93886248314688914</v>
      </c>
      <c r="G151" s="201">
        <v>0.89719463247261089</v>
      </c>
      <c r="H151" s="63"/>
      <c r="I151" s="14">
        <f t="shared" si="38"/>
        <v>34.959740318307261</v>
      </c>
      <c r="J151" s="1"/>
      <c r="K151" s="39"/>
      <c r="L151" s="177">
        <v>3</v>
      </c>
      <c r="M151" s="173">
        <f t="shared" ref="M151:M157" si="40">L151*I151</f>
        <v>104.87922095492178</v>
      </c>
      <c r="N151" s="25"/>
      <c r="O151" s="163">
        <v>3</v>
      </c>
      <c r="P151" s="173">
        <f t="shared" si="39"/>
        <v>104.87922095492178</v>
      </c>
      <c r="Q151" s="333">
        <v>1.0464423762316146</v>
      </c>
      <c r="R151" s="333">
        <v>0.93886248314688914</v>
      </c>
    </row>
    <row r="152" spans="2:19" ht="15" customHeight="1" x14ac:dyDescent="0.2">
      <c r="E152" s="58">
        <v>4</v>
      </c>
      <c r="F152" s="328">
        <v>0.84844788874313337</v>
      </c>
      <c r="G152" s="201">
        <v>0.81785549927044798</v>
      </c>
      <c r="H152" s="63"/>
      <c r="I152" s="14">
        <f t="shared" si="38"/>
        <v>31.593037741433879</v>
      </c>
      <c r="J152" s="1"/>
      <c r="K152" s="39"/>
      <c r="L152" s="177">
        <v>4</v>
      </c>
      <c r="M152" s="173">
        <f t="shared" si="40"/>
        <v>126.37215096573551</v>
      </c>
      <c r="N152" s="25"/>
      <c r="O152" s="163">
        <v>4</v>
      </c>
      <c r="P152" s="173">
        <f t="shared" si="39"/>
        <v>126.37215096573553</v>
      </c>
      <c r="Q152" s="333">
        <v>1.0374056168846144</v>
      </c>
      <c r="R152" s="333">
        <v>0.84844788874313337</v>
      </c>
    </row>
    <row r="153" spans="2:19" ht="15" customHeight="1" x14ac:dyDescent="0.2">
      <c r="B153" s="347" t="s">
        <v>209</v>
      </c>
      <c r="E153" s="58">
        <v>5</v>
      </c>
      <c r="F153" s="329">
        <v>0.77859110890587913</v>
      </c>
      <c r="G153" s="202">
        <v>0.76262465808846736</v>
      </c>
      <c r="H153" s="63"/>
      <c r="I153" s="14">
        <f t="shared" si="38"/>
        <v>28.991831572882052</v>
      </c>
      <c r="J153" s="1"/>
      <c r="K153" s="39"/>
      <c r="L153" s="176">
        <v>5</v>
      </c>
      <c r="M153" s="172">
        <f t="shared" si="40"/>
        <v>144.95915786441026</v>
      </c>
      <c r="N153" s="25"/>
      <c r="O153" s="163">
        <v>5</v>
      </c>
      <c r="P153" s="172">
        <f t="shared" si="39"/>
        <v>144.95915786441029</v>
      </c>
      <c r="Q153" s="333">
        <v>1.0209361848559053</v>
      </c>
      <c r="R153" s="333">
        <v>0.77859110890587913</v>
      </c>
    </row>
    <row r="154" spans="2:19" ht="15" customHeight="1" x14ac:dyDescent="0.2">
      <c r="B154" s="85" t="s">
        <v>208</v>
      </c>
      <c r="E154" s="58">
        <v>10</v>
      </c>
      <c r="F154" s="328">
        <v>0.6072833071161432</v>
      </c>
      <c r="G154" s="201">
        <v>0.60019353355614069</v>
      </c>
      <c r="H154" s="63"/>
      <c r="I154" s="14">
        <f t="shared" si="38"/>
        <v>22.612967391414667</v>
      </c>
      <c r="J154" s="1"/>
      <c r="K154" s="39"/>
      <c r="L154" s="177">
        <v>10</v>
      </c>
      <c r="M154" s="173">
        <f t="shared" si="40"/>
        <v>226.12967391414668</v>
      </c>
      <c r="N154" s="25"/>
      <c r="O154" s="163">
        <v>10</v>
      </c>
      <c r="P154" s="173">
        <f t="shared" si="39"/>
        <v>226.12967391414662</v>
      </c>
      <c r="Q154" s="333">
        <v>1.0118124790815317</v>
      </c>
      <c r="R154" s="333">
        <v>0.6072833071161432</v>
      </c>
    </row>
    <row r="155" spans="2:19" ht="15" customHeight="1" x14ac:dyDescent="0.2">
      <c r="E155" s="58">
        <v>20</v>
      </c>
      <c r="F155" s="328">
        <v>0.49340655334654737</v>
      </c>
      <c r="G155" s="201">
        <v>0.47690914197366402</v>
      </c>
      <c r="H155" s="63"/>
      <c r="I155" s="14">
        <f t="shared" si="38"/>
        <v>18.372621428571431</v>
      </c>
      <c r="J155" s="1"/>
      <c r="K155" s="39"/>
      <c r="L155" s="177">
        <v>20</v>
      </c>
      <c r="M155" s="173">
        <f t="shared" si="40"/>
        <v>367.45242857142864</v>
      </c>
      <c r="N155" s="25"/>
      <c r="O155" s="163">
        <v>20</v>
      </c>
      <c r="P155" s="173">
        <f t="shared" si="39"/>
        <v>367.45242857142858</v>
      </c>
      <c r="Q155" s="333">
        <v>1.0345923571618059</v>
      </c>
      <c r="R155" s="333">
        <v>0.49340655334654737</v>
      </c>
    </row>
    <row r="156" spans="2:19" ht="15" customHeight="1" x14ac:dyDescent="0.2">
      <c r="E156" s="58">
        <v>30</v>
      </c>
      <c r="F156" s="328">
        <v>0.44603985007242059</v>
      </c>
      <c r="G156" s="201">
        <v>0.42394668757173437</v>
      </c>
      <c r="H156" s="63"/>
      <c r="I156" s="14">
        <f t="shared" si="38"/>
        <v>16.608861904761902</v>
      </c>
      <c r="J156" s="1"/>
      <c r="K156" s="39"/>
      <c r="L156" s="177">
        <v>30</v>
      </c>
      <c r="M156" s="173">
        <f>L156*I156</f>
        <v>498.26585714285704</v>
      </c>
      <c r="N156" s="25"/>
      <c r="O156" s="163">
        <v>30</v>
      </c>
      <c r="P156" s="173">
        <f t="shared" si="39"/>
        <v>498.26585714285716</v>
      </c>
      <c r="Q156" s="333">
        <v>1.0521130678652795</v>
      </c>
      <c r="R156" s="333">
        <v>0.44603985007242059</v>
      </c>
    </row>
    <row r="157" spans="2:19" ht="15" customHeight="1" x14ac:dyDescent="0.2">
      <c r="E157" s="58">
        <v>40</v>
      </c>
      <c r="F157" s="328">
        <v>0.41668269147224635</v>
      </c>
      <c r="G157" s="201">
        <v>0.38953324298813469</v>
      </c>
      <c r="H157" s="63"/>
      <c r="I157" s="14">
        <f t="shared" si="38"/>
        <v>15.515710714285712</v>
      </c>
      <c r="J157" s="1"/>
      <c r="K157" s="39"/>
      <c r="L157" s="177">
        <v>40</v>
      </c>
      <c r="M157" s="173">
        <f t="shared" si="40"/>
        <v>620.62842857142846</v>
      </c>
      <c r="N157" s="25"/>
      <c r="O157" s="163">
        <v>40</v>
      </c>
      <c r="P157" s="205">
        <f t="shared" si="39"/>
        <v>620.62842857142857</v>
      </c>
      <c r="Q157" s="333">
        <v>1.0696973851983633</v>
      </c>
      <c r="R157" s="333">
        <v>0.41668269147224635</v>
      </c>
    </row>
    <row r="158" spans="2:19" ht="15" customHeight="1" x14ac:dyDescent="0.2">
      <c r="E158" s="58">
        <v>50</v>
      </c>
      <c r="F158" s="329">
        <v>0.39402392959801896</v>
      </c>
      <c r="G158" s="202">
        <v>0.36258913574738344</v>
      </c>
      <c r="H158" s="64"/>
      <c r="I158" s="41">
        <f t="shared" si="38"/>
        <v>14.671982857142853</v>
      </c>
      <c r="J158" s="42"/>
      <c r="K158" s="31"/>
      <c r="L158" s="178">
        <v>50</v>
      </c>
      <c r="M158" s="179">
        <f>L158*I158</f>
        <v>733.59914285714262</v>
      </c>
      <c r="N158" s="28"/>
      <c r="O158" s="186">
        <v>50</v>
      </c>
      <c r="P158" s="206">
        <f t="shared" si="39"/>
        <v>733.59914285714274</v>
      </c>
      <c r="Q158" s="333">
        <v>1.0866953550217131</v>
      </c>
      <c r="R158" s="333">
        <v>0.39402392959801896</v>
      </c>
    </row>
    <row r="159" spans="2:19" ht="15" customHeight="1" x14ac:dyDescent="0.2">
      <c r="E159" s="3"/>
      <c r="F159" s="239"/>
      <c r="G159" s="239"/>
      <c r="H159" s="83"/>
      <c r="I159" s="240"/>
      <c r="J159" s="83"/>
      <c r="K159" s="83"/>
      <c r="L159" s="241"/>
      <c r="M159" s="241"/>
      <c r="N159" s="145"/>
      <c r="O159" s="242"/>
      <c r="P159" s="241"/>
    </row>
    <row r="160" spans="2:19" ht="15" customHeight="1" x14ac:dyDescent="0.2">
      <c r="E160" s="3"/>
      <c r="F160" s="239"/>
      <c r="G160" s="239"/>
      <c r="H160" s="83"/>
      <c r="I160" s="240"/>
      <c r="J160" s="83"/>
      <c r="L160" s="241"/>
      <c r="M160" s="400"/>
      <c r="N160" s="401" t="s">
        <v>244</v>
      </c>
      <c r="P160" s="241"/>
    </row>
    <row r="161" spans="1:19" ht="15" customHeight="1" x14ac:dyDescent="0.2">
      <c r="F161" s="84"/>
      <c r="G161" s="84"/>
      <c r="H161" s="84"/>
      <c r="I161" s="84"/>
      <c r="J161" s="84"/>
      <c r="K161" s="84"/>
      <c r="L161" s="84"/>
      <c r="M161" s="84"/>
      <c r="P161" s="84"/>
    </row>
    <row r="162" spans="1:19" ht="15" customHeight="1" x14ac:dyDescent="0.2">
      <c r="A162" s="169" t="s">
        <v>162</v>
      </c>
      <c r="B162" s="143" t="s">
        <v>163</v>
      </c>
    </row>
    <row r="163" spans="1:19" ht="15" customHeight="1" x14ac:dyDescent="0.2">
      <c r="B163" s="169" t="s">
        <v>164</v>
      </c>
    </row>
    <row r="164" spans="1:19" ht="15" customHeight="1" x14ac:dyDescent="0.2"/>
    <row r="165" spans="1:19" ht="15" customHeight="1" x14ac:dyDescent="0.2">
      <c r="B165" s="169"/>
      <c r="F165" s="1"/>
    </row>
    <row r="166" spans="1:19" ht="15" customHeight="1" x14ac:dyDescent="0.2">
      <c r="B166" s="143"/>
      <c r="J166" s="143" t="s">
        <v>165</v>
      </c>
    </row>
    <row r="167" spans="1:19" ht="15" customHeight="1" x14ac:dyDescent="0.2">
      <c r="B167" s="169"/>
      <c r="H167" s="386" t="s">
        <v>166</v>
      </c>
    </row>
    <row r="168" spans="1:19" ht="15" customHeight="1" x14ac:dyDescent="0.2">
      <c r="F168" s="196" t="s">
        <v>133</v>
      </c>
      <c r="L168" s="243" t="s">
        <v>167</v>
      </c>
      <c r="P168" s="498"/>
    </row>
    <row r="169" spans="1:19" ht="15" customHeight="1" x14ac:dyDescent="0.2">
      <c r="F169" s="196" t="s">
        <v>110</v>
      </c>
      <c r="H169" s="252" t="s">
        <v>110</v>
      </c>
      <c r="L169" s="144">
        <v>1</v>
      </c>
      <c r="M169" s="109" t="s">
        <v>24</v>
      </c>
      <c r="N169" s="203" t="s">
        <v>104</v>
      </c>
      <c r="O169" s="109" t="s">
        <v>110</v>
      </c>
      <c r="P169" s="181" t="s">
        <v>129</v>
      </c>
      <c r="S169" s="253" t="s">
        <v>174</v>
      </c>
    </row>
    <row r="170" spans="1:19" ht="15" customHeight="1" x14ac:dyDescent="0.2">
      <c r="B170" s="348">
        <f>D149</f>
        <v>2.46</v>
      </c>
      <c r="C170" s="157" t="s">
        <v>6</v>
      </c>
      <c r="D170" s="22"/>
      <c r="E170" s="5" t="s">
        <v>2</v>
      </c>
      <c r="F170" s="196" t="s">
        <v>149</v>
      </c>
      <c r="G170" s="55" t="s">
        <v>37</v>
      </c>
      <c r="H170" s="6" t="s">
        <v>68</v>
      </c>
      <c r="J170" s="72" t="s">
        <v>137</v>
      </c>
      <c r="K170" s="5" t="s">
        <v>2</v>
      </c>
      <c r="L170" s="6" t="s">
        <v>68</v>
      </c>
      <c r="M170" s="38" t="s">
        <v>25</v>
      </c>
      <c r="N170" s="204" t="s">
        <v>138</v>
      </c>
      <c r="O170" s="38" t="s">
        <v>33</v>
      </c>
      <c r="P170" s="181" t="s">
        <v>113</v>
      </c>
      <c r="Q170" s="244" t="s">
        <v>173</v>
      </c>
      <c r="R170" s="244" t="s">
        <v>136</v>
      </c>
      <c r="S170" s="251" t="s">
        <v>105</v>
      </c>
    </row>
    <row r="171" spans="1:19" ht="15" customHeight="1" x14ac:dyDescent="0.2">
      <c r="B171" s="349">
        <f t="shared" ref="B171:B172" si="41">D150</f>
        <v>4.6500000000000004</v>
      </c>
      <c r="C171" s="1" t="s">
        <v>0</v>
      </c>
      <c r="D171" s="39"/>
      <c r="E171" s="150">
        <v>1</v>
      </c>
      <c r="F171" s="117">
        <f>F129</f>
        <v>29.773636248825888</v>
      </c>
      <c r="G171" s="101">
        <f>F171/E171</f>
        <v>29.773636248825888</v>
      </c>
      <c r="H171" s="142">
        <f t="shared" ref="H171:H180" si="42">SQRT(12*32.2*G171^2/(4*$B$172*($B$171*56)*$B$170^2))</f>
        <v>0.79956795740311482</v>
      </c>
      <c r="J171" s="142">
        <v>0.79956795740311482</v>
      </c>
      <c r="K171" s="150">
        <v>1</v>
      </c>
      <c r="L171" s="142">
        <f>J171*$L$169</f>
        <v>0.79956795740311482</v>
      </c>
      <c r="M171" s="14">
        <f>(B171*2.20462*25.4*12)</f>
        <v>3124.6520184000001</v>
      </c>
      <c r="N171" s="153">
        <f t="shared" ref="N171:N180" si="43">L171*B$170*SQRT(4*B$172*M$171/32.2)/12</f>
        <v>29.772931243306417</v>
      </c>
      <c r="O171" s="153">
        <f>K171*N171</f>
        <v>29.772931243306417</v>
      </c>
      <c r="P171" s="496">
        <f t="shared" ref="P171:P180" si="44">M101</f>
        <v>1.0204207505901794</v>
      </c>
      <c r="Q171" s="122">
        <f>P171*O171</f>
        <v>30.380916846564539</v>
      </c>
      <c r="R171" s="122">
        <f>Q171-O171</f>
        <v>0.6079856032581219</v>
      </c>
      <c r="S171" s="248">
        <f>R171/Q171</f>
        <v>2.0012088717687025E-2</v>
      </c>
    </row>
    <row r="172" spans="1:19" ht="15" customHeight="1" x14ac:dyDescent="0.2">
      <c r="B172" s="350">
        <f t="shared" si="41"/>
        <v>85</v>
      </c>
      <c r="C172" s="156" t="s">
        <v>1</v>
      </c>
      <c r="D172" s="31"/>
      <c r="E172" s="149">
        <v>2</v>
      </c>
      <c r="F172" s="116">
        <f t="shared" ref="F172:F180" si="45">F130</f>
        <v>57.282628994956212</v>
      </c>
      <c r="G172" s="100">
        <f t="shared" ref="G172:G180" si="46">F172/E172</f>
        <v>28.641314497478106</v>
      </c>
      <c r="H172" s="141">
        <f t="shared" si="42"/>
        <v>0.76915957253934242</v>
      </c>
      <c r="J172" s="141">
        <v>0.76915957253934242</v>
      </c>
      <c r="K172" s="149">
        <v>2</v>
      </c>
      <c r="L172" s="141">
        <f t="shared" ref="L172:L180" si="47">J172*$L$169</f>
        <v>0.76915957253934242</v>
      </c>
      <c r="N172" s="152">
        <f t="shared" si="43"/>
        <v>28.640636304037546</v>
      </c>
      <c r="O172" s="152">
        <f t="shared" ref="O172:O180" si="48">K172*N172</f>
        <v>57.281272608075092</v>
      </c>
      <c r="P172" s="496">
        <f t="shared" si="44"/>
        <v>1.0416531161691285</v>
      </c>
      <c r="Q172" s="121">
        <f t="shared" ref="Q172:Q180" si="49">P172*O172</f>
        <v>59.667216110334763</v>
      </c>
      <c r="R172" s="121">
        <f t="shared" ref="R172:R180" si="50">Q172-O172</f>
        <v>2.3859435022596713</v>
      </c>
      <c r="S172" s="249">
        <f t="shared" ref="S172:S180" si="51">R172/Q172</f>
        <v>3.9987511699015064E-2</v>
      </c>
    </row>
    <row r="173" spans="1:19" ht="15" customHeight="1" x14ac:dyDescent="0.2">
      <c r="E173" s="148">
        <v>3</v>
      </c>
      <c r="F173" s="105">
        <f t="shared" si="45"/>
        <v>79.677220954921793</v>
      </c>
      <c r="G173" s="99">
        <f t="shared" si="46"/>
        <v>26.559073651640599</v>
      </c>
      <c r="H173" s="140">
        <f t="shared" si="42"/>
        <v>0.71324120751285747</v>
      </c>
      <c r="J173" s="140">
        <v>0.71324120751285747</v>
      </c>
      <c r="K173" s="148">
        <v>3</v>
      </c>
      <c r="L173" s="140">
        <f t="shared" si="47"/>
        <v>0.71324120751285747</v>
      </c>
      <c r="N173" s="151">
        <f t="shared" si="43"/>
        <v>26.55844476327238</v>
      </c>
      <c r="O173" s="151">
        <f>K173*N173</f>
        <v>79.675334289817144</v>
      </c>
      <c r="P173" s="496">
        <f t="shared" si="44"/>
        <v>1.0615232301183466</v>
      </c>
      <c r="Q173" s="120">
        <f t="shared" si="49"/>
        <v>84.577218216085754</v>
      </c>
      <c r="R173" s="120">
        <f>Q173-O173</f>
        <v>4.90188392626861</v>
      </c>
      <c r="S173" s="250">
        <f t="shared" si="51"/>
        <v>5.79574976531484E-2</v>
      </c>
    </row>
    <row r="174" spans="1:19" ht="15" customHeight="1" x14ac:dyDescent="0.2">
      <c r="E174" s="148">
        <v>4</v>
      </c>
      <c r="F174" s="105">
        <f t="shared" si="45"/>
        <v>98.014150965735524</v>
      </c>
      <c r="G174" s="99">
        <f t="shared" si="46"/>
        <v>24.503537741433881</v>
      </c>
      <c r="H174" s="140">
        <f t="shared" si="42"/>
        <v>0.65804000080242242</v>
      </c>
      <c r="J174" s="140">
        <v>0.65804000080242242</v>
      </c>
      <c r="K174" s="148">
        <v>4</v>
      </c>
      <c r="L174" s="140">
        <f t="shared" si="47"/>
        <v>0.65804000080242242</v>
      </c>
      <c r="N174" s="151">
        <f t="shared" si="43"/>
        <v>24.502957525795793</v>
      </c>
      <c r="O174" s="151">
        <f t="shared" si="48"/>
        <v>98.011830103183172</v>
      </c>
      <c r="P174" s="496">
        <f t="shared" si="44"/>
        <v>1.0811923576502949</v>
      </c>
      <c r="Q174" s="120">
        <f t="shared" si="49"/>
        <v>105.96964166688076</v>
      </c>
      <c r="R174" s="120">
        <f t="shared" si="50"/>
        <v>7.9578115636975895</v>
      </c>
      <c r="S174" s="250">
        <f t="shared" si="51"/>
        <v>7.50952012153938E-2</v>
      </c>
    </row>
    <row r="175" spans="1:19" ht="15" customHeight="1" x14ac:dyDescent="0.2">
      <c r="E175" s="149">
        <v>5</v>
      </c>
      <c r="F175" s="116">
        <f t="shared" si="45"/>
        <v>113.35015786441029</v>
      </c>
      <c r="G175" s="100">
        <f t="shared" si="46"/>
        <v>22.67003157288206</v>
      </c>
      <c r="H175" s="141">
        <f t="shared" si="42"/>
        <v>0.60880138010379004</v>
      </c>
      <c r="J175" s="141">
        <v>0.60880138010379004</v>
      </c>
      <c r="K175" s="149">
        <v>5</v>
      </c>
      <c r="L175" s="141">
        <f t="shared" si="47"/>
        <v>0.60880138010379004</v>
      </c>
      <c r="N175" s="152">
        <f t="shared" si="43"/>
        <v>22.669494772564761</v>
      </c>
      <c r="O175" s="152">
        <f t="shared" si="48"/>
        <v>113.3474738628238</v>
      </c>
      <c r="P175" s="496">
        <f t="shared" si="44"/>
        <v>1.0988882610415791</v>
      </c>
      <c r="Q175" s="121">
        <f t="shared" si="49"/>
        <v>124.55620844657429</v>
      </c>
      <c r="R175" s="121">
        <f t="shared" si="50"/>
        <v>11.208734583750484</v>
      </c>
      <c r="S175" s="249">
        <f t="shared" si="51"/>
        <v>8.9989368844333686E-2</v>
      </c>
    </row>
    <row r="176" spans="1:19" ht="15" customHeight="1" x14ac:dyDescent="0.2">
      <c r="E176" s="148">
        <v>10</v>
      </c>
      <c r="F176" s="105">
        <f t="shared" si="45"/>
        <v>181.95967391414661</v>
      </c>
      <c r="G176" s="99">
        <f t="shared" si="46"/>
        <v>18.195967391414662</v>
      </c>
      <c r="H176" s="140">
        <f t="shared" si="42"/>
        <v>0.48865084393918579</v>
      </c>
      <c r="J176" s="140">
        <v>0.48865084393918579</v>
      </c>
      <c r="K176" s="154">
        <v>10</v>
      </c>
      <c r="L176" s="140">
        <f t="shared" si="47"/>
        <v>0.48865084393918579</v>
      </c>
      <c r="M176" s="84"/>
      <c r="N176" s="155">
        <f t="shared" si="43"/>
        <v>18.195536531799938</v>
      </c>
      <c r="O176" s="155">
        <f t="shared" si="48"/>
        <v>181.95536531799939</v>
      </c>
      <c r="P176" s="496">
        <f t="shared" si="44"/>
        <v>1.1300837679626099</v>
      </c>
      <c r="Q176" s="120">
        <f t="shared" si="49"/>
        <v>205.62480483957793</v>
      </c>
      <c r="R176" s="120">
        <f t="shared" si="50"/>
        <v>23.669439521578539</v>
      </c>
      <c r="S176" s="250">
        <f t="shared" si="51"/>
        <v>0.1151098455268794</v>
      </c>
    </row>
    <row r="177" spans="2:19" ht="15" customHeight="1" x14ac:dyDescent="0.2">
      <c r="E177" s="148">
        <v>20</v>
      </c>
      <c r="F177" s="105">
        <f t="shared" si="45"/>
        <v>301.8314285714286</v>
      </c>
      <c r="G177" s="99">
        <f t="shared" si="46"/>
        <v>15.091571428571431</v>
      </c>
      <c r="H177" s="140">
        <f t="shared" si="42"/>
        <v>0.40528260775073832</v>
      </c>
      <c r="J177" s="140">
        <v>0.40528260775073832</v>
      </c>
      <c r="K177" s="148">
        <v>20</v>
      </c>
      <c r="L177" s="140">
        <f t="shared" si="47"/>
        <v>0.40528260775073832</v>
      </c>
      <c r="N177" s="151">
        <f t="shared" si="43"/>
        <v>15.091214077488557</v>
      </c>
      <c r="O177" s="151">
        <f t="shared" si="48"/>
        <v>301.82428154977111</v>
      </c>
      <c r="P177" s="496">
        <f t="shared" si="44"/>
        <v>1.1494907280317301</v>
      </c>
      <c r="Q177" s="120">
        <f t="shared" si="49"/>
        <v>346.94421313630028</v>
      </c>
      <c r="R177" s="120">
        <f t="shared" si="50"/>
        <v>45.119931586529162</v>
      </c>
      <c r="S177" s="250">
        <f t="shared" si="51"/>
        <v>0.1300495292273498</v>
      </c>
    </row>
    <row r="178" spans="2:19" ht="15" customHeight="1" x14ac:dyDescent="0.2">
      <c r="E178" s="148">
        <v>30</v>
      </c>
      <c r="F178" s="105">
        <f t="shared" si="45"/>
        <v>415.40285714285716</v>
      </c>
      <c r="G178" s="99">
        <f t="shared" si="46"/>
        <v>13.846761904761905</v>
      </c>
      <c r="H178" s="140">
        <f t="shared" si="42"/>
        <v>0.37185337525826517</v>
      </c>
      <c r="J178" s="140">
        <v>0.37185337525826517</v>
      </c>
      <c r="K178" s="148">
        <v>30</v>
      </c>
      <c r="L178" s="140">
        <f t="shared" si="47"/>
        <v>0.37185337525826517</v>
      </c>
      <c r="N178" s="151">
        <f t="shared" si="43"/>
        <v>13.846434029339228</v>
      </c>
      <c r="O178" s="151">
        <f t="shared" si="48"/>
        <v>415.39302088017683</v>
      </c>
      <c r="P178" s="496">
        <f t="shared" si="44"/>
        <v>1.1494043647818641</v>
      </c>
      <c r="Q178" s="120">
        <f t="shared" si="49"/>
        <v>477.4545512995993</v>
      </c>
      <c r="R178" s="120">
        <f t="shared" si="50"/>
        <v>62.061530419422468</v>
      </c>
      <c r="S178" s="250">
        <f t="shared" si="51"/>
        <v>0.12998416341512536</v>
      </c>
    </row>
    <row r="179" spans="2:19" ht="15" customHeight="1" x14ac:dyDescent="0.2">
      <c r="E179" s="148">
        <v>40</v>
      </c>
      <c r="F179" s="105">
        <f t="shared" si="45"/>
        <v>521.43142857142857</v>
      </c>
      <c r="G179" s="99">
        <f t="shared" si="46"/>
        <v>13.035785714285714</v>
      </c>
      <c r="H179" s="140">
        <f t="shared" si="42"/>
        <v>0.35007469257730184</v>
      </c>
      <c r="J179" s="140">
        <v>0.35007469257730184</v>
      </c>
      <c r="K179" s="148">
        <v>40</v>
      </c>
      <c r="L179" s="140">
        <f t="shared" si="47"/>
        <v>0.35007469257730184</v>
      </c>
      <c r="N179" s="151">
        <f t="shared" si="43"/>
        <v>13.035477041848045</v>
      </c>
      <c r="O179" s="151">
        <f t="shared" si="48"/>
        <v>521.41908167392182</v>
      </c>
      <c r="P179" s="496">
        <f t="shared" si="44"/>
        <v>1.1493906882702014</v>
      </c>
      <c r="Q179" s="120">
        <f t="shared" si="49"/>
        <v>599.31423716240533</v>
      </c>
      <c r="R179" s="120">
        <f t="shared" si="50"/>
        <v>77.89515548848351</v>
      </c>
      <c r="S179" s="250">
        <f t="shared" si="51"/>
        <v>0.12997381116339987</v>
      </c>
    </row>
    <row r="180" spans="2:19" ht="15" customHeight="1" x14ac:dyDescent="0.2">
      <c r="E180" s="149">
        <v>50</v>
      </c>
      <c r="F180" s="116">
        <f t="shared" si="45"/>
        <v>618.71714285714279</v>
      </c>
      <c r="G180" s="100">
        <f t="shared" si="46"/>
        <v>12.374342857142857</v>
      </c>
      <c r="H180" s="141">
        <f t="shared" si="42"/>
        <v>0.33231171227470441</v>
      </c>
      <c r="J180" s="141">
        <v>0.33231171227470441</v>
      </c>
      <c r="K180" s="149">
        <v>50</v>
      </c>
      <c r="L180" s="141">
        <f t="shared" si="47"/>
        <v>0.33231171227470441</v>
      </c>
      <c r="N180" s="152">
        <f t="shared" si="43"/>
        <v>12.374049846912557</v>
      </c>
      <c r="O180" s="152">
        <f t="shared" si="48"/>
        <v>618.70249234562789</v>
      </c>
      <c r="P180" s="497">
        <f t="shared" si="44"/>
        <v>1.1494737960111012</v>
      </c>
      <c r="Q180" s="121">
        <f t="shared" si="49"/>
        <v>711.1823024780582</v>
      </c>
      <c r="R180" s="121">
        <f t="shared" si="50"/>
        <v>92.479810132430316</v>
      </c>
      <c r="S180" s="249">
        <f t="shared" si="51"/>
        <v>0.13003671465135139</v>
      </c>
    </row>
    <row r="181" spans="2:19" ht="15" customHeight="1" x14ac:dyDescent="0.2">
      <c r="E181" s="402"/>
      <c r="F181" s="403"/>
      <c r="G181" s="402"/>
      <c r="H181" s="404"/>
      <c r="I181" s="84"/>
      <c r="J181" s="404"/>
      <c r="K181" s="402"/>
      <c r="L181" s="404"/>
      <c r="M181" s="84"/>
      <c r="N181" s="403"/>
      <c r="O181" s="403"/>
      <c r="P181" s="405"/>
      <c r="Q181" s="403"/>
      <c r="R181" s="403"/>
      <c r="S181" s="406"/>
    </row>
    <row r="182" spans="2:19" ht="15" customHeight="1" x14ac:dyDescent="0.2">
      <c r="E182" s="402"/>
      <c r="F182" s="403"/>
      <c r="G182" s="402"/>
      <c r="H182" s="404"/>
      <c r="I182" s="84"/>
      <c r="J182" s="404"/>
      <c r="K182" s="402"/>
      <c r="L182" s="404"/>
      <c r="M182" s="84"/>
      <c r="N182" s="403"/>
      <c r="O182" s="403"/>
      <c r="P182" s="405"/>
      <c r="Q182" s="403"/>
      <c r="R182" s="390" t="s">
        <v>130</v>
      </c>
      <c r="S182" s="406"/>
    </row>
    <row r="183" spans="2:19" ht="15" customHeight="1" x14ac:dyDescent="0.2">
      <c r="E183" s="402"/>
      <c r="F183" s="403"/>
      <c r="G183" s="402"/>
      <c r="H183" s="404"/>
      <c r="I183" s="84"/>
      <c r="J183" s="404"/>
      <c r="K183" s="402"/>
      <c r="L183" s="404"/>
      <c r="M183" s="84"/>
      <c r="N183" s="403"/>
      <c r="O183" s="403"/>
      <c r="P183" s="405"/>
      <c r="Q183" s="403"/>
      <c r="R183" s="407">
        <f t="shared" ref="R183:R192" si="52">E101</f>
        <v>0.60799999999999998</v>
      </c>
      <c r="S183" s="406"/>
    </row>
    <row r="184" spans="2:19" ht="15" customHeight="1" x14ac:dyDescent="0.2">
      <c r="E184" s="402"/>
      <c r="F184" s="403"/>
      <c r="G184" s="402"/>
      <c r="H184" s="404"/>
      <c r="I184" s="84"/>
      <c r="J184" s="404"/>
      <c r="K184" s="402"/>
      <c r="L184" s="404"/>
      <c r="M184" s="84"/>
      <c r="N184" s="403"/>
      <c r="O184" s="403"/>
      <c r="P184" s="405"/>
      <c r="Q184" s="403"/>
      <c r="R184" s="121">
        <f t="shared" si="52"/>
        <v>2.3860000000000001</v>
      </c>
      <c r="S184" s="406"/>
    </row>
    <row r="185" spans="2:19" ht="15" customHeight="1" x14ac:dyDescent="0.2">
      <c r="E185" s="402"/>
      <c r="F185" s="403"/>
      <c r="G185" s="402"/>
      <c r="H185" s="404"/>
      <c r="I185" s="84"/>
      <c r="J185" s="404"/>
      <c r="K185" s="402"/>
      <c r="L185" s="404"/>
      <c r="M185" s="84"/>
      <c r="N185" s="403"/>
      <c r="O185" s="403"/>
      <c r="P185" s="405"/>
      <c r="Q185" s="403"/>
      <c r="R185" s="120">
        <f t="shared" si="52"/>
        <v>4.9020000000000001</v>
      </c>
      <c r="S185" s="406"/>
    </row>
    <row r="186" spans="2:19" ht="15" customHeight="1" x14ac:dyDescent="0.2">
      <c r="E186" s="402"/>
      <c r="F186" s="403"/>
      <c r="G186" s="402"/>
      <c r="H186" s="404"/>
      <c r="I186" s="84"/>
      <c r="J186" s="404"/>
      <c r="K186" s="402"/>
      <c r="L186" s="404"/>
      <c r="M186" s="84"/>
      <c r="N186" s="403"/>
      <c r="O186" s="403"/>
      <c r="P186" s="405"/>
      <c r="Q186" s="403"/>
      <c r="R186" s="120">
        <f t="shared" si="52"/>
        <v>7.9580000000000002</v>
      </c>
      <c r="S186" s="406"/>
    </row>
    <row r="187" spans="2:19" ht="15" customHeight="1" x14ac:dyDescent="0.2">
      <c r="R187" s="121">
        <f t="shared" si="52"/>
        <v>11.209</v>
      </c>
    </row>
    <row r="188" spans="2:19" ht="15" customHeight="1" x14ac:dyDescent="0.2">
      <c r="R188" s="120">
        <f t="shared" si="52"/>
        <v>23.67</v>
      </c>
    </row>
    <row r="189" spans="2:19" ht="15" customHeight="1" x14ac:dyDescent="0.2">
      <c r="R189" s="120">
        <f t="shared" si="52"/>
        <v>45.121000000000002</v>
      </c>
    </row>
    <row r="190" spans="2:19" ht="15" customHeight="1" x14ac:dyDescent="0.2">
      <c r="R190" s="120">
        <f t="shared" si="52"/>
        <v>62.063000000000002</v>
      </c>
    </row>
    <row r="191" spans="2:19" ht="15" customHeight="1" x14ac:dyDescent="0.2">
      <c r="F191" s="84"/>
      <c r="G191" s="84"/>
      <c r="H191" s="84"/>
      <c r="I191" s="84"/>
      <c r="J191" s="84"/>
      <c r="K191" s="84"/>
      <c r="L191" s="84"/>
      <c r="M191" s="84"/>
      <c r="N191" s="84"/>
      <c r="O191" s="84"/>
      <c r="P191" s="84"/>
      <c r="R191" s="120">
        <f t="shared" si="52"/>
        <v>77.897000000000006</v>
      </c>
    </row>
    <row r="192" spans="2:19" ht="15" customHeight="1" x14ac:dyDescent="0.2">
      <c r="B192" s="169"/>
      <c r="R192" s="121">
        <f t="shared" si="52"/>
        <v>92.481999999999999</v>
      </c>
    </row>
    <row r="193" spans="1:17" ht="15" customHeight="1" x14ac:dyDescent="0.2">
      <c r="A193" s="169" t="s">
        <v>172</v>
      </c>
      <c r="B193" s="143" t="s">
        <v>255</v>
      </c>
    </row>
    <row r="194" spans="1:17" ht="15" customHeight="1" x14ac:dyDescent="0.2"/>
    <row r="195" spans="1:17" ht="15" customHeight="1" x14ac:dyDescent="0.2">
      <c r="B195" s="169"/>
    </row>
    <row r="196" spans="1:17" ht="15" customHeight="1" x14ac:dyDescent="0.2">
      <c r="B196" s="143"/>
      <c r="J196" s="143" t="s">
        <v>165</v>
      </c>
    </row>
    <row r="197" spans="1:17" ht="15" customHeight="1" x14ac:dyDescent="0.2">
      <c r="B197" s="169"/>
      <c r="H197" s="386" t="s">
        <v>166</v>
      </c>
    </row>
    <row r="198" spans="1:17" ht="15" customHeight="1" x14ac:dyDescent="0.2">
      <c r="F198" s="196" t="s">
        <v>133</v>
      </c>
      <c r="L198" s="243" t="s">
        <v>167</v>
      </c>
    </row>
    <row r="199" spans="1:17" ht="15" customHeight="1" x14ac:dyDescent="0.2">
      <c r="F199" s="196" t="s">
        <v>112</v>
      </c>
      <c r="H199" s="252" t="s">
        <v>110</v>
      </c>
      <c r="L199" s="144">
        <v>1</v>
      </c>
      <c r="M199" s="109" t="s">
        <v>24</v>
      </c>
      <c r="N199" s="203" t="s">
        <v>104</v>
      </c>
      <c r="O199" s="260" t="s">
        <v>112</v>
      </c>
    </row>
    <row r="200" spans="1:17" ht="15" customHeight="1" x14ac:dyDescent="0.2">
      <c r="B200" s="348">
        <f>D149</f>
        <v>2.46</v>
      </c>
      <c r="C200" s="157" t="s">
        <v>6</v>
      </c>
      <c r="D200" s="22"/>
      <c r="E200" s="5" t="s">
        <v>2</v>
      </c>
      <c r="F200" s="196" t="s">
        <v>149</v>
      </c>
      <c r="G200" s="55" t="s">
        <v>37</v>
      </c>
      <c r="H200" s="6" t="s">
        <v>68</v>
      </c>
      <c r="J200" s="72" t="s">
        <v>137</v>
      </c>
      <c r="K200" s="5" t="s">
        <v>2</v>
      </c>
      <c r="L200" s="6" t="s">
        <v>68</v>
      </c>
      <c r="M200" s="38" t="s">
        <v>25</v>
      </c>
      <c r="N200" s="204" t="s">
        <v>138</v>
      </c>
      <c r="O200" s="38" t="s">
        <v>33</v>
      </c>
      <c r="Q200" s="390" t="s">
        <v>130</v>
      </c>
    </row>
    <row r="201" spans="1:17" ht="15" customHeight="1" x14ac:dyDescent="0.2">
      <c r="B201" s="349">
        <f>D150</f>
        <v>4.6500000000000004</v>
      </c>
      <c r="C201" s="1" t="s">
        <v>0</v>
      </c>
      <c r="D201" s="39"/>
      <c r="E201" s="150">
        <v>1</v>
      </c>
      <c r="F201" s="245">
        <f t="shared" ref="F201:F210" si="53">G129</f>
        <v>0.60799999999999998</v>
      </c>
      <c r="G201" s="104">
        <f>F201/E201</f>
        <v>0.60799999999999998</v>
      </c>
      <c r="H201" s="257">
        <f>SQRT(12*32.2*G201^2/(4*$B$202*($B$201*56)*$B$200^2))</f>
        <v>1.6327777838028249E-2</v>
      </c>
      <c r="J201" s="257">
        <v>1.6327777838028249E-2</v>
      </c>
      <c r="K201" s="150">
        <v>1</v>
      </c>
      <c r="L201" s="257">
        <f>J201*$L$199</f>
        <v>1.6327777838028249E-2</v>
      </c>
      <c r="M201" s="14">
        <f>(B201*2.20462*25.4*12)</f>
        <v>3124.6520184000001</v>
      </c>
      <c r="N201" s="153">
        <f>L201*B$200*SQRT(4*B$202*M$201/32.2)/12</f>
        <v>0.60798560325812223</v>
      </c>
      <c r="O201" s="297">
        <f>K201*N201</f>
        <v>0.60798560325812223</v>
      </c>
      <c r="Q201" s="297">
        <f t="shared" ref="Q201:Q210" si="54">E101</f>
        <v>0.60799999999999998</v>
      </c>
    </row>
    <row r="202" spans="1:17" ht="15" customHeight="1" x14ac:dyDescent="0.2">
      <c r="B202" s="350">
        <f>D151</f>
        <v>85</v>
      </c>
      <c r="C202" s="156" t="s">
        <v>1</v>
      </c>
      <c r="D202" s="31"/>
      <c r="E202" s="149">
        <v>2</v>
      </c>
      <c r="F202" s="246">
        <f t="shared" si="53"/>
        <v>2.3860000000000001</v>
      </c>
      <c r="G202" s="103">
        <f t="shared" ref="G202:G210" si="55">F202/E202</f>
        <v>1.1930000000000001</v>
      </c>
      <c r="H202" s="258">
        <f t="shared" ref="H202:H210" si="56">SQRT(12*32.2*G202^2/(4*$B$202*($B$201*56)*$B$200^2))</f>
        <v>3.2037893027578451E-2</v>
      </c>
      <c r="J202" s="258">
        <v>3.2037893027578451E-2</v>
      </c>
      <c r="K202" s="149">
        <v>2</v>
      </c>
      <c r="L202" s="258">
        <f t="shared" ref="L202:L210" si="57">J202*$L$199</f>
        <v>3.2037893027578451E-2</v>
      </c>
      <c r="N202" s="152">
        <f t="shared" ref="N202:N210" si="58">L202*B$200*SQRT(4*B$202*M$201/32.2)/12</f>
        <v>1.1929717511298352</v>
      </c>
      <c r="O202" s="298">
        <f t="shared" ref="O202" si="59">K202*N202</f>
        <v>2.3859435022596704</v>
      </c>
      <c r="Q202" s="298">
        <f t="shared" si="54"/>
        <v>2.3860000000000001</v>
      </c>
    </row>
    <row r="203" spans="1:17" ht="15" customHeight="1" x14ac:dyDescent="0.2">
      <c r="E203" s="148">
        <v>3</v>
      </c>
      <c r="F203" s="247">
        <f t="shared" si="53"/>
        <v>4.9020000000000001</v>
      </c>
      <c r="G203" s="102">
        <f t="shared" si="55"/>
        <v>1.6340000000000001</v>
      </c>
      <c r="H203" s="259">
        <f t="shared" si="56"/>
        <v>4.3880902939700921E-2</v>
      </c>
      <c r="J203" s="259">
        <v>4.3880902939700921E-2</v>
      </c>
      <c r="K203" s="148">
        <v>3</v>
      </c>
      <c r="L203" s="259">
        <f t="shared" si="57"/>
        <v>4.3880902939700921E-2</v>
      </c>
      <c r="N203" s="151">
        <f t="shared" si="58"/>
        <v>1.6339613087562037</v>
      </c>
      <c r="O203" s="299">
        <f>K203*N203</f>
        <v>4.9018839262686109</v>
      </c>
      <c r="Q203" s="299">
        <f t="shared" si="54"/>
        <v>4.9020000000000001</v>
      </c>
    </row>
    <row r="204" spans="1:17" ht="15" customHeight="1" x14ac:dyDescent="0.2">
      <c r="E204" s="148">
        <v>4</v>
      </c>
      <c r="F204" s="247">
        <f t="shared" si="53"/>
        <v>7.9580000000000002</v>
      </c>
      <c r="G204" s="102">
        <f t="shared" si="55"/>
        <v>1.9895</v>
      </c>
      <c r="H204" s="259">
        <f t="shared" si="56"/>
        <v>5.3427819093350655E-2</v>
      </c>
      <c r="J204" s="259">
        <v>5.3427819093350655E-2</v>
      </c>
      <c r="K204" s="148">
        <v>4</v>
      </c>
      <c r="L204" s="259">
        <f t="shared" si="57"/>
        <v>5.3427819093350655E-2</v>
      </c>
      <c r="N204" s="151">
        <f t="shared" si="58"/>
        <v>1.9894528909243983</v>
      </c>
      <c r="O204" s="299">
        <f t="shared" ref="O204:O210" si="60">K204*N204</f>
        <v>7.957811563697593</v>
      </c>
      <c r="Q204" s="299">
        <f t="shared" si="54"/>
        <v>7.9580000000000002</v>
      </c>
    </row>
    <row r="205" spans="1:17" ht="15" customHeight="1" x14ac:dyDescent="0.2">
      <c r="E205" s="149">
        <v>5</v>
      </c>
      <c r="F205" s="246">
        <f t="shared" si="53"/>
        <v>11.209</v>
      </c>
      <c r="G205" s="103">
        <f t="shared" si="55"/>
        <v>2.2418</v>
      </c>
      <c r="H205" s="258">
        <f t="shared" si="56"/>
        <v>6.0203309798177174E-2</v>
      </c>
      <c r="J205" s="258">
        <v>6.0203309798177174E-2</v>
      </c>
      <c r="K205" s="149">
        <v>5</v>
      </c>
      <c r="L205" s="258">
        <f t="shared" si="57"/>
        <v>6.0203309798177174E-2</v>
      </c>
      <c r="N205" s="152">
        <f t="shared" si="58"/>
        <v>2.2417469167500959</v>
      </c>
      <c r="O205" s="298">
        <f t="shared" si="60"/>
        <v>11.208734583750479</v>
      </c>
      <c r="Q205" s="298">
        <f t="shared" si="54"/>
        <v>11.209</v>
      </c>
    </row>
    <row r="206" spans="1:17" ht="15" customHeight="1" x14ac:dyDescent="0.2">
      <c r="E206" s="148">
        <v>10</v>
      </c>
      <c r="F206" s="247">
        <f t="shared" si="53"/>
        <v>23.67</v>
      </c>
      <c r="G206" s="102">
        <f t="shared" si="55"/>
        <v>2.367</v>
      </c>
      <c r="H206" s="259">
        <f t="shared" si="56"/>
        <v>6.3565542997718522E-2</v>
      </c>
      <c r="J206" s="259">
        <v>6.3565542997718522E-2</v>
      </c>
      <c r="K206" s="154">
        <v>10</v>
      </c>
      <c r="L206" s="259">
        <f t="shared" si="57"/>
        <v>6.3565542997718522E-2</v>
      </c>
      <c r="M206" s="84"/>
      <c r="N206" s="155">
        <f t="shared" si="58"/>
        <v>2.3669439521578539</v>
      </c>
      <c r="O206" s="300">
        <f t="shared" si="60"/>
        <v>23.669439521578539</v>
      </c>
      <c r="Q206" s="300">
        <f t="shared" si="54"/>
        <v>23.67</v>
      </c>
    </row>
    <row r="207" spans="1:17" ht="15" customHeight="1" x14ac:dyDescent="0.2">
      <c r="E207" s="148">
        <v>20</v>
      </c>
      <c r="F207" s="247">
        <f t="shared" si="53"/>
        <v>45.121000000000002</v>
      </c>
      <c r="G207" s="102">
        <f t="shared" si="55"/>
        <v>2.2560500000000001</v>
      </c>
      <c r="H207" s="259">
        <f t="shared" si="56"/>
        <v>6.0585992091255973E-2</v>
      </c>
      <c r="J207" s="259">
        <v>6.0585992091255973E-2</v>
      </c>
      <c r="K207" s="148">
        <v>20</v>
      </c>
      <c r="L207" s="259">
        <f t="shared" si="57"/>
        <v>6.0585992091255973E-2</v>
      </c>
      <c r="N207" s="151">
        <f t="shared" si="58"/>
        <v>2.2559965793264589</v>
      </c>
      <c r="O207" s="299">
        <f t="shared" si="60"/>
        <v>45.119931586529177</v>
      </c>
      <c r="Q207" s="299">
        <f t="shared" si="54"/>
        <v>45.121000000000002</v>
      </c>
    </row>
    <row r="208" spans="1:17" ht="15" customHeight="1" x14ac:dyDescent="0.2">
      <c r="E208" s="148">
        <v>30</v>
      </c>
      <c r="F208" s="247">
        <f t="shared" si="53"/>
        <v>62.063000000000002</v>
      </c>
      <c r="G208" s="102">
        <f t="shared" si="55"/>
        <v>2.0687666666666669</v>
      </c>
      <c r="H208" s="259">
        <f t="shared" si="56"/>
        <v>5.5556517322453251E-2</v>
      </c>
      <c r="J208" s="259">
        <v>5.5556517322453251E-2</v>
      </c>
      <c r="K208" s="148">
        <v>30</v>
      </c>
      <c r="L208" s="259">
        <f t="shared" si="57"/>
        <v>5.5556517322453251E-2</v>
      </c>
      <c r="N208" s="151">
        <f t="shared" si="58"/>
        <v>2.0687176806474148</v>
      </c>
      <c r="O208" s="299">
        <f t="shared" si="60"/>
        <v>62.061530419422446</v>
      </c>
      <c r="Q208" s="299">
        <f t="shared" si="54"/>
        <v>62.063000000000002</v>
      </c>
    </row>
    <row r="209" spans="1:17" ht="15" customHeight="1" x14ac:dyDescent="0.2">
      <c r="E209" s="148">
        <v>40</v>
      </c>
      <c r="F209" s="247">
        <f t="shared" si="53"/>
        <v>77.897000000000006</v>
      </c>
      <c r="G209" s="102">
        <f t="shared" si="55"/>
        <v>1.9474250000000002</v>
      </c>
      <c r="H209" s="259">
        <f t="shared" si="56"/>
        <v>5.2297899270102241E-2</v>
      </c>
      <c r="J209" s="259">
        <v>5.2297899270102241E-2</v>
      </c>
      <c r="K209" s="148">
        <v>40</v>
      </c>
      <c r="L209" s="259">
        <f t="shared" si="57"/>
        <v>5.2297899270102241E-2</v>
      </c>
      <c r="N209" s="151">
        <f t="shared" si="58"/>
        <v>1.9473788872120865</v>
      </c>
      <c r="O209" s="299">
        <f t="shared" si="60"/>
        <v>77.895155488483454</v>
      </c>
      <c r="Q209" s="299">
        <f t="shared" si="54"/>
        <v>77.897000000000006</v>
      </c>
    </row>
    <row r="210" spans="1:17" ht="15" customHeight="1" x14ac:dyDescent="0.2">
      <c r="E210" s="149">
        <v>50</v>
      </c>
      <c r="F210" s="246">
        <f t="shared" si="53"/>
        <v>92.481999999999999</v>
      </c>
      <c r="G210" s="103">
        <f t="shared" si="55"/>
        <v>1.84964</v>
      </c>
      <c r="H210" s="258">
        <f t="shared" si="56"/>
        <v>4.967189309264896E-2</v>
      </c>
      <c r="J210" s="258">
        <v>4.967189309264896E-2</v>
      </c>
      <c r="K210" s="149">
        <v>50</v>
      </c>
      <c r="L210" s="258">
        <f t="shared" si="57"/>
        <v>4.967189309264896E-2</v>
      </c>
      <c r="N210" s="152">
        <f t="shared" si="58"/>
        <v>1.849596202648607</v>
      </c>
      <c r="O210" s="298">
        <f t="shared" si="60"/>
        <v>92.479810132430345</v>
      </c>
      <c r="Q210" s="298">
        <f t="shared" si="54"/>
        <v>92.481999999999999</v>
      </c>
    </row>
    <row r="211" spans="1:17" ht="15" customHeight="1" x14ac:dyDescent="0.2"/>
    <row r="212" spans="1:17" ht="15" customHeight="1" x14ac:dyDescent="0.2">
      <c r="O212" s="70"/>
    </row>
    <row r="213" spans="1:17" ht="15" customHeight="1" x14ac:dyDescent="0.2">
      <c r="O213" s="70"/>
    </row>
    <row r="214" spans="1:17" ht="15" customHeight="1" x14ac:dyDescent="0.2">
      <c r="O214" s="70"/>
    </row>
    <row r="215" spans="1:17" ht="15" customHeight="1" x14ac:dyDescent="0.2">
      <c r="O215" s="70"/>
    </row>
    <row r="216" spans="1:17" ht="15" customHeight="1" x14ac:dyDescent="0.2">
      <c r="O216" s="70"/>
    </row>
    <row r="217" spans="1:17" ht="15" customHeight="1" x14ac:dyDescent="0.2">
      <c r="A217" s="108"/>
      <c r="B217" s="21"/>
      <c r="C217" s="21"/>
      <c r="D217" s="21"/>
      <c r="E217" s="21"/>
      <c r="F217" s="21"/>
      <c r="G217" s="21"/>
      <c r="H217" s="21"/>
      <c r="I217" s="21"/>
      <c r="J217" s="21"/>
      <c r="K217" s="21"/>
      <c r="L217" s="21"/>
      <c r="M217" s="21"/>
      <c r="N217" s="21"/>
      <c r="O217" s="351"/>
      <c r="P217" s="22"/>
    </row>
    <row r="218" spans="1:17" ht="15" customHeight="1" x14ac:dyDescent="0.2">
      <c r="A218" s="63"/>
      <c r="B218" s="1"/>
      <c r="C218" s="1"/>
      <c r="D218" s="1"/>
      <c r="E218" s="1"/>
      <c r="F218" s="1"/>
      <c r="G218" s="1"/>
      <c r="H218" s="1"/>
      <c r="I218" s="1"/>
      <c r="J218" s="1"/>
      <c r="K218" s="1"/>
      <c r="L218" s="1"/>
      <c r="M218" s="1"/>
      <c r="N218" s="1"/>
      <c r="O218" s="413" t="s">
        <v>277</v>
      </c>
      <c r="P218" s="378"/>
    </row>
    <row r="219" spans="1:17" ht="15" customHeight="1" x14ac:dyDescent="0.2">
      <c r="A219" s="63"/>
      <c r="B219" s="1"/>
      <c r="C219" s="1"/>
      <c r="D219" s="1"/>
      <c r="E219" s="1"/>
      <c r="F219" s="1"/>
      <c r="G219" s="1"/>
      <c r="H219" s="1"/>
      <c r="I219" s="1"/>
      <c r="J219" s="1"/>
      <c r="K219" s="1"/>
      <c r="L219" s="1"/>
      <c r="M219" s="1"/>
      <c r="N219" s="1"/>
      <c r="O219" s="352"/>
      <c r="P219" s="39"/>
    </row>
    <row r="220" spans="1:17" ht="15" customHeight="1" x14ac:dyDescent="0.2">
      <c r="A220" s="353" t="s">
        <v>175</v>
      </c>
      <c r="B220" s="354" t="s">
        <v>264</v>
      </c>
      <c r="C220" s="1"/>
      <c r="D220" s="1"/>
      <c r="E220" s="1"/>
      <c r="F220" s="1"/>
      <c r="G220" s="1"/>
      <c r="H220" s="1"/>
      <c r="I220" s="1"/>
      <c r="J220" s="1"/>
      <c r="K220" s="355" t="s">
        <v>198</v>
      </c>
      <c r="L220" s="1"/>
      <c r="M220" s="1"/>
      <c r="N220" s="1"/>
      <c r="O220" s="409" t="s">
        <v>199</v>
      </c>
      <c r="P220" s="39"/>
    </row>
    <row r="221" spans="1:17" ht="15" customHeight="1" x14ac:dyDescent="0.2">
      <c r="A221" s="353"/>
      <c r="B221" s="354" t="str">
        <f>B9</f>
        <v xml:space="preserve"> 3304s</v>
      </c>
      <c r="C221" s="1"/>
      <c r="D221" s="1"/>
      <c r="E221" s="1"/>
      <c r="F221" s="1"/>
      <c r="G221" s="1"/>
      <c r="H221" s="1"/>
      <c r="I221" s="1"/>
      <c r="J221" s="1"/>
      <c r="K221" s="355"/>
      <c r="L221" s="1"/>
      <c r="M221" s="1"/>
      <c r="N221" s="1"/>
      <c r="O221" s="409"/>
      <c r="P221" s="39"/>
    </row>
    <row r="222" spans="1:17" ht="15" customHeight="1" x14ac:dyDescent="0.2">
      <c r="A222" s="353"/>
      <c r="B222" s="354" t="str">
        <f>B10</f>
        <v xml:space="preserve"> 18 SXF 350</v>
      </c>
      <c r="C222" s="1"/>
      <c r="D222" s="1" t="str">
        <f>B5</f>
        <v xml:space="preserve">  We will use the exact spring rate from the test because a good test should have decent r-zeta and r/c ratio.</v>
      </c>
      <c r="E222" s="1"/>
      <c r="F222" s="1"/>
      <c r="G222" s="1"/>
      <c r="H222" s="1"/>
      <c r="I222" s="1"/>
      <c r="J222" s="1"/>
      <c r="K222" s="355"/>
      <c r="L222" s="1"/>
      <c r="M222" s="1"/>
      <c r="N222" s="1"/>
      <c r="O222" s="409"/>
      <c r="P222" s="39"/>
    </row>
    <row r="223" spans="1:17" ht="15" customHeight="1" x14ac:dyDescent="0.2">
      <c r="A223" s="353"/>
      <c r="B223" s="354" t="str">
        <f>B11</f>
        <v xml:space="preserve"> Cody Harris</v>
      </c>
      <c r="C223" s="1"/>
      <c r="D223" s="1" t="str">
        <f>B6</f>
        <v xml:space="preserve">  We are removing calc gas (73c and 69c) and displaying linear gas force (77 lbs and 73 lbs) for 12sxf450-psh and 16sxf250-psh respectively.</v>
      </c>
      <c r="E223" s="1"/>
      <c r="F223" s="1"/>
      <c r="G223" s="1"/>
      <c r="H223" s="1"/>
      <c r="I223" s="1"/>
      <c r="J223" s="1"/>
      <c r="K223" s="355"/>
      <c r="L223" s="1"/>
      <c r="M223" s="1"/>
      <c r="N223" s="1"/>
      <c r="O223" s="409"/>
      <c r="P223" s="39"/>
    </row>
    <row r="224" spans="1:17" ht="15" customHeight="1" x14ac:dyDescent="0.2">
      <c r="A224" s="353"/>
      <c r="B224" s="354" t="str">
        <f>B12</f>
        <v xml:space="preserve"> 16sxf250-psh</v>
      </c>
      <c r="C224" s="1"/>
      <c r="D224" s="1"/>
      <c r="E224" s="1"/>
      <c r="F224" s="1"/>
      <c r="G224" s="1"/>
      <c r="H224" s="1"/>
      <c r="I224" s="1"/>
      <c r="J224" s="1"/>
      <c r="K224" s="355"/>
      <c r="L224" s="1"/>
      <c r="M224" s="1"/>
      <c r="N224" s="1"/>
      <c r="O224" s="409"/>
      <c r="P224" s="39"/>
    </row>
    <row r="225" spans="1:16" ht="15" customHeight="1" x14ac:dyDescent="0.2">
      <c r="A225" s="63"/>
      <c r="B225" s="354" t="str">
        <f>B13</f>
        <v xml:space="preserve"> TRENDLINE</v>
      </c>
      <c r="C225" s="354" t="str">
        <f>C13</f>
        <v xml:space="preserve"> v6</v>
      </c>
      <c r="D225" s="1"/>
      <c r="E225" s="1"/>
      <c r="F225" s="1"/>
      <c r="G225" s="1"/>
      <c r="H225" s="1"/>
      <c r="I225" s="1"/>
      <c r="J225" s="1"/>
      <c r="K225" s="355"/>
      <c r="L225" s="1"/>
      <c r="M225" s="1"/>
      <c r="N225" s="1"/>
      <c r="O225" s="409"/>
      <c r="P225" s="39"/>
    </row>
    <row r="226" spans="1:16" ht="15" customHeight="1" x14ac:dyDescent="0.2">
      <c r="A226" s="63"/>
      <c r="B226" s="354"/>
      <c r="C226" s="1"/>
      <c r="D226" s="1"/>
      <c r="E226" s="1"/>
      <c r="F226" s="1"/>
      <c r="G226" s="1"/>
      <c r="H226" s="1"/>
      <c r="I226" s="1"/>
      <c r="J226" s="1"/>
      <c r="K226" s="1"/>
      <c r="L226" s="1"/>
      <c r="M226" s="1"/>
      <c r="N226" s="1"/>
      <c r="O226" s="1"/>
      <c r="P226" s="39"/>
    </row>
    <row r="227" spans="1:16" ht="15" customHeight="1" x14ac:dyDescent="0.2">
      <c r="A227" s="23"/>
      <c r="B227" s="356" t="s">
        <v>284</v>
      </c>
      <c r="C227" s="354"/>
      <c r="D227" s="1"/>
      <c r="E227" s="1"/>
      <c r="F227" s="1"/>
      <c r="G227" s="1"/>
      <c r="H227" s="1"/>
      <c r="I227" s="1"/>
      <c r="J227" s="1"/>
      <c r="K227" s="1"/>
      <c r="L227" s="1"/>
      <c r="M227" s="1"/>
      <c r="N227" s="1"/>
      <c r="O227" s="1"/>
      <c r="P227" s="39"/>
    </row>
    <row r="228" spans="1:16" ht="15" customHeight="1" x14ac:dyDescent="0.2">
      <c r="A228" s="63"/>
      <c r="B228" s="1"/>
      <c r="C228" s="1"/>
      <c r="D228" s="1"/>
      <c r="E228" s="1"/>
      <c r="F228" s="1"/>
      <c r="G228" s="1"/>
      <c r="H228" s="180" t="str">
        <f>J99</f>
        <v>stiff</v>
      </c>
      <c r="I228" s="1"/>
      <c r="J228" s="1"/>
      <c r="K228" s="1"/>
      <c r="L228" s="1"/>
      <c r="M228" s="1"/>
      <c r="N228" s="1"/>
      <c r="O228" s="1"/>
      <c r="P228" s="39"/>
    </row>
    <row r="229" spans="1:16" ht="15" customHeight="1" x14ac:dyDescent="0.2">
      <c r="A229" s="379" t="s">
        <v>228</v>
      </c>
      <c r="B229" s="446">
        <f>D150</f>
        <v>4.6500000000000004</v>
      </c>
      <c r="C229" s="180" t="s">
        <v>133</v>
      </c>
      <c r="D229" s="168" t="s">
        <v>133</v>
      </c>
      <c r="E229" s="170" t="s">
        <v>133</v>
      </c>
      <c r="F229" s="272" t="s">
        <v>110</v>
      </c>
      <c r="G229" s="278" t="s">
        <v>133</v>
      </c>
      <c r="H229" s="180" t="s">
        <v>124</v>
      </c>
      <c r="I229" s="180" t="s">
        <v>50</v>
      </c>
      <c r="J229" s="182" t="s">
        <v>50</v>
      </c>
      <c r="K229" s="279" t="s">
        <v>124</v>
      </c>
      <c r="L229" s="182" t="s">
        <v>117</v>
      </c>
      <c r="M229" s="182" t="s">
        <v>110</v>
      </c>
      <c r="N229" s="182" t="s">
        <v>112</v>
      </c>
      <c r="O229" s="1"/>
      <c r="P229" s="182" t="s">
        <v>117</v>
      </c>
    </row>
    <row r="230" spans="1:16" ht="15" customHeight="1" x14ac:dyDescent="0.2">
      <c r="A230" s="63"/>
      <c r="B230" s="186"/>
      <c r="C230" s="266" t="s">
        <v>117</v>
      </c>
      <c r="D230" s="264" t="s">
        <v>118</v>
      </c>
      <c r="E230" s="196" t="s">
        <v>109</v>
      </c>
      <c r="F230" s="273" t="s">
        <v>127</v>
      </c>
      <c r="G230" s="183" t="s">
        <v>110</v>
      </c>
      <c r="H230" s="181" t="s">
        <v>112</v>
      </c>
      <c r="I230" s="181" t="s">
        <v>114</v>
      </c>
      <c r="J230" s="183" t="s">
        <v>115</v>
      </c>
      <c r="K230" s="280" t="s">
        <v>105</v>
      </c>
      <c r="L230" s="183" t="s">
        <v>116</v>
      </c>
      <c r="M230" s="183" t="s">
        <v>116</v>
      </c>
      <c r="N230" s="183" t="s">
        <v>116</v>
      </c>
      <c r="O230" s="1"/>
      <c r="P230" s="183" t="s">
        <v>116</v>
      </c>
    </row>
    <row r="231" spans="1:16" ht="15" customHeight="1" x14ac:dyDescent="0.2">
      <c r="A231" s="63"/>
      <c r="B231" s="186" t="s">
        <v>39</v>
      </c>
      <c r="C231" s="267" t="s">
        <v>130</v>
      </c>
      <c r="D231" s="265" t="s">
        <v>130</v>
      </c>
      <c r="E231" s="192" t="s">
        <v>130</v>
      </c>
      <c r="F231" s="274" t="s">
        <v>131</v>
      </c>
      <c r="G231" s="267" t="s">
        <v>130</v>
      </c>
      <c r="H231" s="267" t="s">
        <v>130</v>
      </c>
      <c r="I231" s="267" t="s">
        <v>130</v>
      </c>
      <c r="J231" s="267" t="s">
        <v>130</v>
      </c>
      <c r="K231" s="281" t="s">
        <v>195</v>
      </c>
      <c r="L231" s="267" t="s">
        <v>130</v>
      </c>
      <c r="M231" s="267" t="s">
        <v>130</v>
      </c>
      <c r="N231" s="267" t="s">
        <v>130</v>
      </c>
      <c r="O231" s="1"/>
      <c r="P231" s="183" t="s">
        <v>128</v>
      </c>
    </row>
    <row r="232" spans="1:16" ht="15" customHeight="1" x14ac:dyDescent="0.2">
      <c r="A232" s="63"/>
      <c r="B232" s="186">
        <v>1</v>
      </c>
      <c r="C232" s="268">
        <f t="shared" ref="C232:E241" si="61">C129</f>
        <v>51.181636248825882</v>
      </c>
      <c r="D232" s="301">
        <f t="shared" si="61"/>
        <v>120.18163624882588</v>
      </c>
      <c r="E232" s="275">
        <f t="shared" si="61"/>
        <v>30.381636248825888</v>
      </c>
      <c r="F232" s="275">
        <f>G232+J232</f>
        <v>45.773636248825888</v>
      </c>
      <c r="G232" s="268">
        <f t="shared" ref="G232:H241" si="62">F129</f>
        <v>29.773636248825888</v>
      </c>
      <c r="H232" s="304">
        <f t="shared" si="62"/>
        <v>0.60799999999999998</v>
      </c>
      <c r="I232" s="308">
        <f>M129</f>
        <v>73</v>
      </c>
      <c r="J232" s="268">
        <f t="shared" ref="J232:J241" si="63">L129</f>
        <v>16</v>
      </c>
      <c r="K232" s="373">
        <f>H232/E232</f>
        <v>2.0012088717687036E-2</v>
      </c>
      <c r="L232" s="312">
        <f t="shared" ref="L232:L241" si="64">F149</f>
        <v>1.374510155469604</v>
      </c>
      <c r="M232" s="312">
        <f t="shared" ref="M232:M241" si="65">H171</f>
        <v>0.79956795740311482</v>
      </c>
      <c r="N232" s="312">
        <f t="shared" ref="N232:N241" si="66">H201</f>
        <v>1.6327777838028249E-2</v>
      </c>
      <c r="O232" s="1"/>
      <c r="P232" s="316">
        <f>L232</f>
        <v>1.374510155469604</v>
      </c>
    </row>
    <row r="233" spans="1:16" ht="15" customHeight="1" x14ac:dyDescent="0.2">
      <c r="A233" s="63"/>
      <c r="B233" s="186">
        <v>2</v>
      </c>
      <c r="C233" s="269">
        <f t="shared" si="61"/>
        <v>80.268628994956202</v>
      </c>
      <c r="D233" s="302">
        <f t="shared" si="61"/>
        <v>149.2686289949562</v>
      </c>
      <c r="E233" s="276">
        <f t="shared" si="61"/>
        <v>59.668628994956215</v>
      </c>
      <c r="F233" s="276">
        <f t="shared" ref="F233:F241" si="67">G233+J233</f>
        <v>73.282628994956212</v>
      </c>
      <c r="G233" s="269">
        <f t="shared" si="62"/>
        <v>57.282628994956212</v>
      </c>
      <c r="H233" s="305">
        <f t="shared" si="62"/>
        <v>2.3860000000000001</v>
      </c>
      <c r="I233" s="309">
        <f t="shared" ref="I233:I241" si="68">M130</f>
        <v>73</v>
      </c>
      <c r="J233" s="269">
        <f t="shared" si="63"/>
        <v>16</v>
      </c>
      <c r="K233" s="374">
        <f t="shared" ref="K233:K241" si="69">H233/E233</f>
        <v>3.9987511699015051E-2</v>
      </c>
      <c r="L233" s="313">
        <f t="shared" si="64"/>
        <v>1.0778284342337745</v>
      </c>
      <c r="M233" s="313">
        <f t="shared" si="65"/>
        <v>0.76915957253934242</v>
      </c>
      <c r="N233" s="313">
        <f t="shared" si="66"/>
        <v>3.2037893027578451E-2</v>
      </c>
      <c r="O233" s="1"/>
      <c r="P233" s="317">
        <f t="shared" ref="P233:P241" si="70">L233</f>
        <v>1.0778284342337745</v>
      </c>
    </row>
    <row r="234" spans="1:16" ht="15" customHeight="1" x14ac:dyDescent="0.2">
      <c r="A234" s="63"/>
      <c r="B234" s="186">
        <v>3</v>
      </c>
      <c r="C234" s="270">
        <f t="shared" si="61"/>
        <v>104.87922095492178</v>
      </c>
      <c r="D234" s="303">
        <f t="shared" si="61"/>
        <v>173.87922095492178</v>
      </c>
      <c r="E234" s="277">
        <f t="shared" si="61"/>
        <v>84.579220954921794</v>
      </c>
      <c r="F234" s="277">
        <f t="shared" si="67"/>
        <v>95.677220954921793</v>
      </c>
      <c r="G234" s="270">
        <f t="shared" si="62"/>
        <v>79.677220954921793</v>
      </c>
      <c r="H234" s="306">
        <f t="shared" si="62"/>
        <v>4.9020000000000001</v>
      </c>
      <c r="I234" s="310">
        <f t="shared" si="68"/>
        <v>73</v>
      </c>
      <c r="J234" s="270">
        <f t="shared" si="63"/>
        <v>16</v>
      </c>
      <c r="K234" s="375">
        <f t="shared" si="69"/>
        <v>5.79574976531484E-2</v>
      </c>
      <c r="L234" s="314">
        <f t="shared" si="64"/>
        <v>0.93886248314688914</v>
      </c>
      <c r="M234" s="314">
        <f t="shared" si="65"/>
        <v>0.71324120751285747</v>
      </c>
      <c r="N234" s="314">
        <f t="shared" si="66"/>
        <v>4.3880902939700921E-2</v>
      </c>
      <c r="O234" s="1"/>
      <c r="P234" s="318">
        <f t="shared" si="70"/>
        <v>0.93886248314688914</v>
      </c>
    </row>
    <row r="235" spans="1:16" ht="15" customHeight="1" x14ac:dyDescent="0.2">
      <c r="A235" s="63"/>
      <c r="B235" s="186">
        <v>4</v>
      </c>
      <c r="C235" s="270">
        <f t="shared" si="61"/>
        <v>126.37215096573553</v>
      </c>
      <c r="D235" s="303">
        <f t="shared" si="61"/>
        <v>195.37215096573553</v>
      </c>
      <c r="E235" s="277">
        <f t="shared" si="61"/>
        <v>105.97215096573552</v>
      </c>
      <c r="F235" s="277">
        <f t="shared" si="67"/>
        <v>114.01415096573552</v>
      </c>
      <c r="G235" s="270">
        <f t="shared" si="62"/>
        <v>98.014150965735524</v>
      </c>
      <c r="H235" s="306">
        <f t="shared" si="62"/>
        <v>7.9580000000000002</v>
      </c>
      <c r="I235" s="310">
        <f t="shared" si="68"/>
        <v>73</v>
      </c>
      <c r="J235" s="270">
        <f t="shared" si="63"/>
        <v>16</v>
      </c>
      <c r="K235" s="375">
        <f t="shared" si="69"/>
        <v>7.5095201215393828E-2</v>
      </c>
      <c r="L235" s="314">
        <f t="shared" si="64"/>
        <v>0.84844788874313337</v>
      </c>
      <c r="M235" s="314">
        <f t="shared" si="65"/>
        <v>0.65804000080242242</v>
      </c>
      <c r="N235" s="314">
        <f t="shared" si="66"/>
        <v>5.3427819093350655E-2</v>
      </c>
      <c r="O235" s="1"/>
      <c r="P235" s="318">
        <f t="shared" si="70"/>
        <v>0.84844788874313337</v>
      </c>
    </row>
    <row r="236" spans="1:16" ht="15" customHeight="1" x14ac:dyDescent="0.2">
      <c r="A236" s="63"/>
      <c r="B236" s="186">
        <v>5</v>
      </c>
      <c r="C236" s="269">
        <f t="shared" si="61"/>
        <v>144.95915786441029</v>
      </c>
      <c r="D236" s="302">
        <f t="shared" si="61"/>
        <v>213.95915786441029</v>
      </c>
      <c r="E236" s="276">
        <f t="shared" si="61"/>
        <v>124.5591578644103</v>
      </c>
      <c r="F236" s="276">
        <f t="shared" si="67"/>
        <v>129.35015786441028</v>
      </c>
      <c r="G236" s="269">
        <f t="shared" si="62"/>
        <v>113.35015786441029</v>
      </c>
      <c r="H236" s="305">
        <f t="shared" si="62"/>
        <v>11.209</v>
      </c>
      <c r="I236" s="309">
        <f t="shared" si="68"/>
        <v>73</v>
      </c>
      <c r="J236" s="269">
        <f t="shared" si="63"/>
        <v>16</v>
      </c>
      <c r="K236" s="374">
        <f t="shared" si="69"/>
        <v>8.9989368844333645E-2</v>
      </c>
      <c r="L236" s="313">
        <f t="shared" si="64"/>
        <v>0.77859110890587913</v>
      </c>
      <c r="M236" s="313">
        <f t="shared" si="65"/>
        <v>0.60880138010379004</v>
      </c>
      <c r="N236" s="313">
        <f t="shared" si="66"/>
        <v>6.0203309798177174E-2</v>
      </c>
      <c r="O236" s="1"/>
      <c r="P236" s="317">
        <f t="shared" si="70"/>
        <v>0.77859110890587913</v>
      </c>
    </row>
    <row r="237" spans="1:16" ht="15" customHeight="1" x14ac:dyDescent="0.2">
      <c r="A237" s="63"/>
      <c r="B237" s="186">
        <v>10</v>
      </c>
      <c r="C237" s="270">
        <f t="shared" si="61"/>
        <v>226.12967391414662</v>
      </c>
      <c r="D237" s="303">
        <f t="shared" si="61"/>
        <v>295.12967391414662</v>
      </c>
      <c r="E237" s="277">
        <f t="shared" si="61"/>
        <v>205.62967391414662</v>
      </c>
      <c r="F237" s="277">
        <f t="shared" si="67"/>
        <v>197.95967391414661</v>
      </c>
      <c r="G237" s="270">
        <f t="shared" si="62"/>
        <v>181.95967391414661</v>
      </c>
      <c r="H237" s="306">
        <f t="shared" si="62"/>
        <v>23.67</v>
      </c>
      <c r="I237" s="310">
        <f t="shared" si="68"/>
        <v>73</v>
      </c>
      <c r="J237" s="270">
        <f t="shared" si="63"/>
        <v>16</v>
      </c>
      <c r="K237" s="375">
        <f t="shared" si="69"/>
        <v>0.1151098455268794</v>
      </c>
      <c r="L237" s="314">
        <f t="shared" si="64"/>
        <v>0.6072833071161432</v>
      </c>
      <c r="M237" s="314">
        <f t="shared" si="65"/>
        <v>0.48865084393918579</v>
      </c>
      <c r="N237" s="314">
        <f t="shared" si="66"/>
        <v>6.3565542997718522E-2</v>
      </c>
      <c r="O237" s="1"/>
      <c r="P237" s="318">
        <f t="shared" si="70"/>
        <v>0.6072833071161432</v>
      </c>
    </row>
    <row r="238" spans="1:16" ht="15" customHeight="1" x14ac:dyDescent="0.2">
      <c r="A238" s="63"/>
      <c r="B238" s="186">
        <v>20</v>
      </c>
      <c r="C238" s="270">
        <f t="shared" si="61"/>
        <v>367.45242857142858</v>
      </c>
      <c r="D238" s="303">
        <f t="shared" si="61"/>
        <v>436.45242857142858</v>
      </c>
      <c r="E238" s="277">
        <f t="shared" si="61"/>
        <v>346.95242857142858</v>
      </c>
      <c r="F238" s="277">
        <f t="shared" si="67"/>
        <v>317.8314285714286</v>
      </c>
      <c r="G238" s="270">
        <f t="shared" si="62"/>
        <v>301.8314285714286</v>
      </c>
      <c r="H238" s="306">
        <f t="shared" si="62"/>
        <v>45.121000000000002</v>
      </c>
      <c r="I238" s="310">
        <f t="shared" si="68"/>
        <v>73</v>
      </c>
      <c r="J238" s="270">
        <f t="shared" si="63"/>
        <v>16</v>
      </c>
      <c r="K238" s="375">
        <f t="shared" si="69"/>
        <v>0.13004952922734983</v>
      </c>
      <c r="L238" s="314">
        <f t="shared" si="64"/>
        <v>0.49340655334654737</v>
      </c>
      <c r="M238" s="314">
        <f t="shared" si="65"/>
        <v>0.40528260775073832</v>
      </c>
      <c r="N238" s="314">
        <f t="shared" si="66"/>
        <v>6.0585992091255973E-2</v>
      </c>
      <c r="O238" s="1"/>
      <c r="P238" s="318">
        <f t="shared" si="70"/>
        <v>0.49340655334654737</v>
      </c>
    </row>
    <row r="239" spans="1:16" ht="15" customHeight="1" x14ac:dyDescent="0.2">
      <c r="A239" s="63"/>
      <c r="B239" s="186">
        <v>30</v>
      </c>
      <c r="C239" s="270">
        <f t="shared" si="61"/>
        <v>498.26585714285716</v>
      </c>
      <c r="D239" s="303">
        <f t="shared" si="61"/>
        <v>567.26585714285716</v>
      </c>
      <c r="E239" s="277">
        <f t="shared" si="61"/>
        <v>477.46585714285715</v>
      </c>
      <c r="F239" s="277">
        <f t="shared" si="67"/>
        <v>431.40285714285716</v>
      </c>
      <c r="G239" s="270">
        <f t="shared" si="62"/>
        <v>415.40285714285716</v>
      </c>
      <c r="H239" s="306">
        <f t="shared" si="62"/>
        <v>62.063000000000002</v>
      </c>
      <c r="I239" s="310">
        <f t="shared" si="68"/>
        <v>73</v>
      </c>
      <c r="J239" s="270">
        <f t="shared" si="63"/>
        <v>16</v>
      </c>
      <c r="K239" s="375">
        <f t="shared" si="69"/>
        <v>0.12998416341512528</v>
      </c>
      <c r="L239" s="314">
        <f t="shared" si="64"/>
        <v>0.44603985007242059</v>
      </c>
      <c r="M239" s="314">
        <f t="shared" si="65"/>
        <v>0.37185337525826517</v>
      </c>
      <c r="N239" s="314">
        <f t="shared" si="66"/>
        <v>5.5556517322453251E-2</v>
      </c>
      <c r="O239" s="1"/>
      <c r="P239" s="318">
        <f t="shared" si="70"/>
        <v>0.44603985007242059</v>
      </c>
    </row>
    <row r="240" spans="1:16" ht="15" customHeight="1" x14ac:dyDescent="0.2">
      <c r="A240" s="63"/>
      <c r="B240" s="186">
        <v>40</v>
      </c>
      <c r="C240" s="270">
        <f t="shared" si="61"/>
        <v>620.62842857142857</v>
      </c>
      <c r="D240" s="303">
        <f t="shared" si="61"/>
        <v>689.62842857142857</v>
      </c>
      <c r="E240" s="277">
        <f t="shared" si="61"/>
        <v>599.32842857142862</v>
      </c>
      <c r="F240" s="277">
        <f t="shared" si="67"/>
        <v>537.43142857142857</v>
      </c>
      <c r="G240" s="270">
        <f t="shared" si="62"/>
        <v>521.43142857142857</v>
      </c>
      <c r="H240" s="306">
        <f t="shared" si="62"/>
        <v>77.897000000000006</v>
      </c>
      <c r="I240" s="310">
        <f t="shared" si="68"/>
        <v>74</v>
      </c>
      <c r="J240" s="270">
        <f t="shared" si="63"/>
        <v>16</v>
      </c>
      <c r="K240" s="375">
        <f t="shared" si="69"/>
        <v>0.12997381116339979</v>
      </c>
      <c r="L240" s="314">
        <f t="shared" si="64"/>
        <v>0.41668269147224635</v>
      </c>
      <c r="M240" s="314">
        <f t="shared" si="65"/>
        <v>0.35007469257730184</v>
      </c>
      <c r="N240" s="314">
        <f t="shared" si="66"/>
        <v>5.2297899270102241E-2</v>
      </c>
      <c r="O240" s="1"/>
      <c r="P240" s="318">
        <f t="shared" si="70"/>
        <v>0.41668269147224635</v>
      </c>
    </row>
    <row r="241" spans="1:16" ht="15" customHeight="1" x14ac:dyDescent="0.2">
      <c r="A241" s="63"/>
      <c r="B241" s="186">
        <v>50</v>
      </c>
      <c r="C241" s="271">
        <f t="shared" si="61"/>
        <v>733.59914285714274</v>
      </c>
      <c r="D241" s="302">
        <f t="shared" si="61"/>
        <v>802.59914285714274</v>
      </c>
      <c r="E241" s="276">
        <f t="shared" si="61"/>
        <v>711.19914285714276</v>
      </c>
      <c r="F241" s="276">
        <f t="shared" si="67"/>
        <v>634.71714285714279</v>
      </c>
      <c r="G241" s="271">
        <f t="shared" si="62"/>
        <v>618.71714285714279</v>
      </c>
      <c r="H241" s="307">
        <f t="shared" si="62"/>
        <v>92.481999999999999</v>
      </c>
      <c r="I241" s="311">
        <f t="shared" si="68"/>
        <v>75</v>
      </c>
      <c r="J241" s="271">
        <f t="shared" si="63"/>
        <v>16</v>
      </c>
      <c r="K241" s="376">
        <f t="shared" si="69"/>
        <v>0.13003671465135144</v>
      </c>
      <c r="L241" s="315">
        <f t="shared" si="64"/>
        <v>0.39402392959801896</v>
      </c>
      <c r="M241" s="315">
        <f t="shared" si="65"/>
        <v>0.33231171227470441</v>
      </c>
      <c r="N241" s="315">
        <f t="shared" si="66"/>
        <v>4.967189309264896E-2</v>
      </c>
      <c r="O241" s="1"/>
      <c r="P241" s="319">
        <f t="shared" si="70"/>
        <v>0.39402392959801896</v>
      </c>
    </row>
    <row r="242" spans="1:16" ht="15" customHeight="1" x14ac:dyDescent="0.2">
      <c r="A242" s="63"/>
      <c r="B242" s="1"/>
      <c r="C242" s="1"/>
      <c r="D242" s="1"/>
      <c r="E242" s="1"/>
      <c r="F242" s="1"/>
      <c r="G242" s="1"/>
      <c r="H242" s="1"/>
      <c r="I242" s="1"/>
      <c r="J242" s="1"/>
      <c r="K242" s="1"/>
      <c r="L242" s="1"/>
      <c r="M242" s="1"/>
      <c r="N242" s="1"/>
      <c r="O242" s="1"/>
      <c r="P242" s="39"/>
    </row>
    <row r="243" spans="1:16" ht="15" customHeight="1" x14ac:dyDescent="0.2">
      <c r="A243" s="63"/>
      <c r="B243" s="1"/>
      <c r="C243" s="1"/>
      <c r="D243" s="1"/>
      <c r="E243" s="1"/>
      <c r="F243" s="1"/>
      <c r="G243" s="1"/>
      <c r="H243" s="1"/>
      <c r="I243" s="1"/>
      <c r="J243" s="1"/>
      <c r="K243" s="1"/>
      <c r="L243" s="357" t="s">
        <v>210</v>
      </c>
      <c r="M243" s="360" t="s">
        <v>402</v>
      </c>
      <c r="N243" s="1"/>
      <c r="O243" s="1"/>
      <c r="P243" s="39"/>
    </row>
    <row r="244" spans="1:16" ht="15" customHeight="1" x14ac:dyDescent="0.2">
      <c r="A244" s="63"/>
      <c r="B244" s="1"/>
      <c r="C244" s="1"/>
      <c r="D244" s="1"/>
      <c r="E244" s="1"/>
      <c r="F244" s="1"/>
      <c r="G244" s="1"/>
      <c r="H244" s="1"/>
      <c r="I244" s="1"/>
      <c r="J244" s="1"/>
      <c r="K244" s="1"/>
      <c r="L244" s="1" t="s">
        <v>400</v>
      </c>
      <c r="M244" s="1"/>
      <c r="N244" s="1"/>
      <c r="O244" s="1"/>
      <c r="P244" s="39"/>
    </row>
    <row r="245" spans="1:16" ht="15" customHeight="1" x14ac:dyDescent="0.2">
      <c r="A245" s="63"/>
      <c r="B245" s="1"/>
      <c r="C245" s="1"/>
      <c r="D245" s="1"/>
      <c r="E245" s="1"/>
      <c r="F245" s="1"/>
      <c r="G245" s="1"/>
      <c r="H245" s="1"/>
      <c r="I245" s="1"/>
      <c r="J245" s="1"/>
      <c r="K245" s="1"/>
      <c r="L245" s="1"/>
      <c r="M245" s="359"/>
      <c r="N245" s="1"/>
      <c r="O245" s="1"/>
      <c r="P245" s="39"/>
    </row>
    <row r="246" spans="1:16" ht="15" customHeight="1" x14ac:dyDescent="0.2">
      <c r="A246" s="64"/>
      <c r="B246" s="42"/>
      <c r="C246" s="42"/>
      <c r="D246" s="42"/>
      <c r="E246" s="42"/>
      <c r="F246" s="42"/>
      <c r="G246" s="42"/>
      <c r="H246" s="42"/>
      <c r="I246" s="42"/>
      <c r="J246" s="42"/>
      <c r="K246" s="42"/>
      <c r="L246" s="42"/>
      <c r="M246" s="42"/>
      <c r="N246" s="42"/>
      <c r="O246" s="42"/>
      <c r="P246" s="31"/>
    </row>
    <row r="247" spans="1:16" ht="15" customHeight="1" x14ac:dyDescent="0.2"/>
    <row r="248" spans="1:16" ht="15" customHeight="1" x14ac:dyDescent="0.2"/>
    <row r="249" spans="1:16" ht="15" customHeight="1" x14ac:dyDescent="0.2"/>
    <row r="250" spans="1:16" ht="15" customHeight="1" x14ac:dyDescent="0.2"/>
    <row r="251" spans="1:16" ht="15" customHeight="1" x14ac:dyDescent="0.2"/>
    <row r="252" spans="1:16" ht="15" customHeight="1" x14ac:dyDescent="0.2"/>
    <row r="253" spans="1:16" ht="15" customHeight="1" x14ac:dyDescent="0.2"/>
    <row r="254" spans="1:16" ht="15" customHeight="1" x14ac:dyDescent="0.2"/>
    <row r="255" spans="1:16" ht="15" customHeight="1" x14ac:dyDescent="0.2"/>
    <row r="256" spans="1:16" ht="15" customHeight="1" x14ac:dyDescent="0.2"/>
    <row r="257" spans="1:21" ht="15" customHeight="1" x14ac:dyDescent="0.2"/>
    <row r="258" spans="1:21" ht="15" customHeight="1" x14ac:dyDescent="0.2"/>
    <row r="259" spans="1:21" ht="15" customHeight="1" x14ac:dyDescent="0.2"/>
    <row r="260" spans="1:21" ht="15" customHeight="1" x14ac:dyDescent="0.2"/>
    <row r="261" spans="1:21" ht="15" customHeight="1" x14ac:dyDescent="0.2"/>
    <row r="262" spans="1:21" ht="15" customHeight="1" x14ac:dyDescent="0.2"/>
    <row r="263" spans="1:21" ht="15" customHeight="1" x14ac:dyDescent="0.2"/>
    <row r="264" spans="1:21" ht="15" customHeight="1" x14ac:dyDescent="0.2"/>
    <row r="265" spans="1:21" ht="15" customHeight="1" x14ac:dyDescent="0.2"/>
    <row r="266" spans="1:21" ht="15" customHeight="1" x14ac:dyDescent="0.2">
      <c r="A266" s="42"/>
      <c r="B266" s="42"/>
      <c r="C266" s="42"/>
      <c r="D266" s="42"/>
      <c r="E266" s="42"/>
      <c r="F266" s="42"/>
      <c r="G266" s="42"/>
      <c r="H266" s="42"/>
      <c r="I266" s="42"/>
      <c r="J266" s="42"/>
      <c r="K266" s="42"/>
      <c r="L266" s="42"/>
      <c r="M266" s="42"/>
      <c r="N266" s="42"/>
      <c r="O266" s="42"/>
      <c r="P266" s="42"/>
      <c r="Q266" s="42"/>
      <c r="R266" s="42"/>
      <c r="S266" s="42"/>
      <c r="T266" s="42"/>
      <c r="U266" s="42"/>
    </row>
    <row r="267" spans="1:21" ht="15" customHeight="1" x14ac:dyDescent="0.2"/>
    <row r="268" spans="1:21" ht="15" customHeight="1" x14ac:dyDescent="0.2"/>
    <row r="269" spans="1:21" ht="15" customHeight="1" x14ac:dyDescent="0.2"/>
    <row r="270" spans="1:21" ht="15" customHeight="1" x14ac:dyDescent="0.2"/>
    <row r="271" spans="1:21" ht="15" customHeight="1" x14ac:dyDescent="0.2"/>
    <row r="272" spans="1:21"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sheetData>
  <pageMargins left="0.45" right="0.45" top="0.5" bottom="0.5" header="0.3" footer="0.3"/>
  <pageSetup scale="77"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9">
    <tabColor theme="6" tint="0.59999389629810485"/>
    <pageSetUpPr fitToPage="1"/>
  </sheetPr>
  <dimension ref="A1:AD340"/>
  <sheetViews>
    <sheetView showGridLines="0" zoomScale="86" zoomScaleNormal="86" workbookViewId="0">
      <selection activeCell="M17" sqref="M17"/>
    </sheetView>
  </sheetViews>
  <sheetFormatPr defaultRowHeight="12.75" x14ac:dyDescent="0.2"/>
  <cols>
    <col min="2" max="2" width="11.42578125" customWidth="1"/>
    <col min="3" max="4" width="10.5703125" customWidth="1"/>
    <col min="5" max="5" width="10.7109375" customWidth="1"/>
    <col min="6" max="6" width="10.5703125" customWidth="1"/>
    <col min="7" max="7" width="10.7109375" customWidth="1"/>
    <col min="8" max="10" width="10.5703125" customWidth="1"/>
    <col min="11" max="12" width="10.7109375" customWidth="1"/>
    <col min="13" max="13" width="10.5703125" customWidth="1"/>
    <col min="14" max="16" width="10.7109375" customWidth="1"/>
    <col min="17" max="17" width="11.7109375" customWidth="1"/>
    <col min="18" max="18" width="11.5703125" customWidth="1"/>
    <col min="20" max="20" width="9.140625" customWidth="1"/>
    <col min="29" max="29" width="9.140625" customWidth="1"/>
  </cols>
  <sheetData>
    <row r="1" spans="1:29" ht="15" customHeight="1" x14ac:dyDescent="0.2">
      <c r="K1" t="s">
        <v>73</v>
      </c>
    </row>
    <row r="2" spans="1:29" ht="15" customHeight="1" x14ac:dyDescent="0.2">
      <c r="A2" s="411" t="s">
        <v>266</v>
      </c>
      <c r="B2" s="410" t="s">
        <v>267</v>
      </c>
      <c r="C2" s="411"/>
      <c r="D2" s="411"/>
      <c r="E2" s="411"/>
      <c r="F2" s="411"/>
    </row>
    <row r="3" spans="1:29" ht="15" customHeight="1" x14ac:dyDescent="0.2">
      <c r="A3" s="411"/>
      <c r="B3" s="427" t="s">
        <v>376</v>
      </c>
      <c r="C3" s="411"/>
      <c r="D3" s="411"/>
      <c r="E3" s="411"/>
      <c r="F3" s="411"/>
    </row>
    <row r="4" spans="1:29" ht="15" customHeight="1" x14ac:dyDescent="0.2">
      <c r="A4" s="411"/>
      <c r="B4" s="427" t="s">
        <v>377</v>
      </c>
      <c r="C4" s="411"/>
      <c r="D4" s="411"/>
      <c r="E4" s="411"/>
      <c r="F4" s="411"/>
      <c r="G4" s="411"/>
    </row>
    <row r="5" spans="1:29" ht="15" customHeight="1" x14ac:dyDescent="0.2">
      <c r="A5" s="411"/>
      <c r="B5" s="412" t="s">
        <v>268</v>
      </c>
      <c r="C5" s="411"/>
      <c r="D5" s="411"/>
      <c r="E5" s="411"/>
      <c r="F5" s="411"/>
      <c r="G5" s="411"/>
    </row>
    <row r="6" spans="1:29" ht="15" customHeight="1" x14ac:dyDescent="0.2">
      <c r="A6" s="411"/>
      <c r="B6" s="412" t="s">
        <v>278</v>
      </c>
      <c r="C6" s="411"/>
      <c r="D6" s="411"/>
      <c r="E6" s="411"/>
      <c r="F6" s="411"/>
    </row>
    <row r="7" spans="1:29" ht="15" customHeight="1" x14ac:dyDescent="0.2">
      <c r="A7" s="411"/>
      <c r="B7" s="411"/>
      <c r="C7" s="411"/>
      <c r="D7" s="411"/>
      <c r="E7" s="411"/>
      <c r="F7" s="411"/>
      <c r="P7" s="289" t="s">
        <v>183</v>
      </c>
      <c r="Q7" s="289" t="s">
        <v>184</v>
      </c>
    </row>
    <row r="8" spans="1:29" ht="15" customHeight="1" x14ac:dyDescent="0.2">
      <c r="B8" s="17" t="s">
        <v>14</v>
      </c>
      <c r="C8" s="18"/>
      <c r="D8" s="18"/>
      <c r="E8" s="18"/>
      <c r="F8" s="18"/>
      <c r="G8" s="18"/>
      <c r="H8" s="18"/>
      <c r="I8" s="18"/>
      <c r="J8" s="18"/>
      <c r="K8" s="18"/>
      <c r="L8" s="19"/>
      <c r="O8" s="291" t="s">
        <v>185</v>
      </c>
      <c r="P8">
        <v>77</v>
      </c>
      <c r="Q8">
        <v>73</v>
      </c>
      <c r="Y8" s="428"/>
      <c r="Z8" s="428"/>
      <c r="AA8" s="428"/>
      <c r="AB8" s="428"/>
      <c r="AC8" s="428"/>
    </row>
    <row r="9" spans="1:29" ht="15" customHeight="1" x14ac:dyDescent="0.2">
      <c r="A9" t="s">
        <v>263</v>
      </c>
      <c r="B9" s="287" t="s">
        <v>341</v>
      </c>
      <c r="C9" s="237"/>
      <c r="D9" s="237"/>
      <c r="E9" s="237"/>
      <c r="F9" s="237"/>
      <c r="G9" s="237"/>
      <c r="H9" s="237"/>
      <c r="I9" s="237"/>
      <c r="J9" s="237"/>
      <c r="K9" s="237"/>
      <c r="L9" s="237"/>
      <c r="O9" s="291" t="s">
        <v>187</v>
      </c>
      <c r="P9" s="292">
        <v>73</v>
      </c>
      <c r="Q9" s="292">
        <v>69</v>
      </c>
      <c r="Y9" s="428"/>
      <c r="Z9" s="428"/>
      <c r="AA9" s="428"/>
      <c r="AB9" s="428"/>
      <c r="AC9" s="428"/>
    </row>
    <row r="10" spans="1:29" ht="15" customHeight="1" x14ac:dyDescent="0.2">
      <c r="A10" t="s">
        <v>263</v>
      </c>
      <c r="B10" s="399" t="s">
        <v>396</v>
      </c>
      <c r="C10" s="237"/>
      <c r="D10" s="237"/>
      <c r="E10" s="237" t="s">
        <v>395</v>
      </c>
      <c r="F10" s="237"/>
      <c r="G10" s="237"/>
      <c r="H10" s="237"/>
      <c r="I10" s="237"/>
      <c r="J10" s="237"/>
      <c r="K10" s="237"/>
      <c r="L10" s="237"/>
      <c r="O10" s="290" t="s">
        <v>186</v>
      </c>
      <c r="P10">
        <f>P8-P9</f>
        <v>4</v>
      </c>
      <c r="Q10">
        <f>Q8-Q9</f>
        <v>4</v>
      </c>
      <c r="Y10" s="428"/>
      <c r="Z10" s="428"/>
      <c r="AA10" s="428"/>
      <c r="AB10" s="428"/>
      <c r="AC10" s="428"/>
    </row>
    <row r="11" spans="1:29" ht="15" customHeight="1" x14ac:dyDescent="0.2">
      <c r="A11" t="s">
        <v>263</v>
      </c>
      <c r="B11" s="399" t="s">
        <v>261</v>
      </c>
      <c r="C11" s="237"/>
      <c r="D11" s="237"/>
      <c r="E11" s="237"/>
      <c r="F11" s="237"/>
      <c r="G11" s="237"/>
      <c r="H11" s="237"/>
      <c r="I11" s="237"/>
      <c r="J11" s="237"/>
      <c r="K11" s="237"/>
      <c r="L11" s="237"/>
      <c r="Y11" s="428"/>
      <c r="Z11" s="428"/>
      <c r="AA11" s="428"/>
      <c r="AB11" s="428"/>
      <c r="AC11" s="428"/>
    </row>
    <row r="12" spans="1:29" ht="15" customHeight="1" x14ac:dyDescent="0.2">
      <c r="A12" t="s">
        <v>263</v>
      </c>
      <c r="B12" s="399" t="s">
        <v>242</v>
      </c>
      <c r="C12" s="237"/>
      <c r="D12" s="237"/>
      <c r="E12" s="237"/>
      <c r="F12" s="237"/>
      <c r="G12" s="237"/>
      <c r="H12" s="237"/>
      <c r="I12" s="237"/>
      <c r="J12" s="237"/>
      <c r="K12" s="237"/>
      <c r="L12" s="237"/>
      <c r="M12" s="84"/>
      <c r="Y12" s="428"/>
      <c r="Z12" s="428"/>
      <c r="AA12" s="428"/>
      <c r="AB12" s="428"/>
      <c r="AC12" s="428"/>
    </row>
    <row r="13" spans="1:29" ht="15" customHeight="1" x14ac:dyDescent="0.2">
      <c r="A13" t="s">
        <v>263</v>
      </c>
      <c r="B13" s="287" t="s">
        <v>262</v>
      </c>
      <c r="C13" s="287" t="s">
        <v>352</v>
      </c>
      <c r="D13" s="426" t="s">
        <v>392</v>
      </c>
      <c r="E13" s="237" t="s">
        <v>358</v>
      </c>
      <c r="F13" s="237"/>
      <c r="G13" s="237"/>
      <c r="H13" s="237"/>
      <c r="I13" s="237"/>
      <c r="J13" s="237"/>
      <c r="K13" s="237"/>
      <c r="L13" s="237"/>
      <c r="M13" s="84"/>
      <c r="U13" s="169" t="s">
        <v>395</v>
      </c>
      <c r="Y13" s="428"/>
      <c r="Z13" s="428"/>
      <c r="AA13" s="428"/>
      <c r="AB13" s="428"/>
      <c r="AC13" s="428"/>
    </row>
    <row r="14" spans="1:29" ht="15" customHeight="1" x14ac:dyDescent="0.2">
      <c r="A14" s="84"/>
      <c r="B14" s="288" t="s">
        <v>365</v>
      </c>
      <c r="C14" s="83"/>
      <c r="D14" s="83"/>
      <c r="E14" s="83"/>
      <c r="F14" s="83"/>
      <c r="G14" s="83"/>
      <c r="H14" s="83"/>
      <c r="I14" s="83"/>
      <c r="J14" s="83"/>
      <c r="K14" s="83"/>
      <c r="L14" s="83"/>
      <c r="M14" s="84"/>
      <c r="Y14" s="428"/>
      <c r="Z14" s="428"/>
      <c r="AA14" s="428"/>
      <c r="AB14" s="428"/>
      <c r="AC14" s="428"/>
    </row>
    <row r="15" spans="1:29" ht="15" customHeight="1" x14ac:dyDescent="0.2">
      <c r="A15" s="84"/>
      <c r="B15" s="288"/>
      <c r="C15" s="83"/>
      <c r="D15" s="83"/>
      <c r="E15" s="83"/>
      <c r="F15" s="83"/>
      <c r="G15" s="83"/>
      <c r="H15" s="83"/>
      <c r="I15" s="83"/>
      <c r="J15" s="83"/>
      <c r="K15" s="83"/>
      <c r="L15" s="83"/>
      <c r="M15" s="84"/>
      <c r="U15" s="410" t="s">
        <v>380</v>
      </c>
      <c r="V15" s="411" t="s">
        <v>286</v>
      </c>
      <c r="W15" s="411"/>
      <c r="X15" s="428"/>
      <c r="Y15" s="428"/>
      <c r="Z15" s="428"/>
      <c r="AA15" s="428"/>
      <c r="AB15" s="428"/>
      <c r="AC15" s="428"/>
    </row>
    <row r="16" spans="1:29" ht="15" customHeight="1" x14ac:dyDescent="0.2">
      <c r="A16" s="84"/>
      <c r="B16" s="288"/>
      <c r="C16" s="83"/>
      <c r="D16" s="83"/>
      <c r="E16" s="83"/>
      <c r="F16" s="83"/>
      <c r="G16" s="83"/>
      <c r="H16" s="83"/>
      <c r="I16" s="83"/>
      <c r="J16" s="83"/>
      <c r="K16" s="83"/>
      <c r="L16" s="83"/>
      <c r="M16" s="84"/>
      <c r="U16" s="184" t="s">
        <v>121</v>
      </c>
      <c r="V16" s="411" t="s">
        <v>287</v>
      </c>
      <c r="W16" s="411"/>
      <c r="X16" s="428"/>
      <c r="Y16" s="428"/>
      <c r="Z16" s="428"/>
      <c r="AA16" s="428"/>
      <c r="AB16" s="428"/>
      <c r="AC16" s="428"/>
    </row>
    <row r="17" spans="1:29" ht="15" customHeight="1" x14ac:dyDescent="0.2">
      <c r="A17" s="84"/>
      <c r="B17" s="408"/>
      <c r="M17" s="84"/>
      <c r="U17" s="184" t="s">
        <v>122</v>
      </c>
      <c r="V17" s="422" t="s">
        <v>305</v>
      </c>
      <c r="W17" s="411"/>
      <c r="X17" s="428"/>
      <c r="Y17" s="428"/>
      <c r="Z17" s="428"/>
      <c r="AA17" s="428"/>
      <c r="AB17" s="428"/>
      <c r="AC17" s="428"/>
    </row>
    <row r="18" spans="1:29" ht="15" customHeight="1" x14ac:dyDescent="0.2">
      <c r="A18" s="84"/>
      <c r="B18" s="437" t="s">
        <v>381</v>
      </c>
      <c r="C18" s="83"/>
      <c r="D18" s="83"/>
      <c r="E18" s="83"/>
      <c r="F18" s="83"/>
      <c r="G18" s="83"/>
      <c r="H18" s="83"/>
      <c r="I18" s="83"/>
      <c r="J18" s="83"/>
      <c r="K18" s="83"/>
      <c r="L18" s="83"/>
      <c r="M18" s="84"/>
      <c r="U18" s="184" t="s">
        <v>125</v>
      </c>
      <c r="V18" s="422" t="s">
        <v>299</v>
      </c>
      <c r="W18" s="411"/>
      <c r="X18" s="428"/>
      <c r="Y18" s="428"/>
      <c r="Z18" s="428"/>
      <c r="AA18" s="428"/>
      <c r="AB18" s="428"/>
      <c r="AC18" s="428"/>
    </row>
    <row r="19" spans="1:29" ht="15" customHeight="1" x14ac:dyDescent="0.2">
      <c r="A19" s="84"/>
      <c r="B19" s="415" t="s">
        <v>279</v>
      </c>
      <c r="C19" s="416"/>
      <c r="D19" s="21"/>
      <c r="E19" s="511">
        <v>10</v>
      </c>
      <c r="F19" s="420"/>
      <c r="G19" s="83"/>
      <c r="H19" s="83"/>
      <c r="I19" s="83"/>
      <c r="J19" s="83"/>
      <c r="K19" s="83"/>
      <c r="L19" s="83"/>
      <c r="M19" s="84"/>
      <c r="U19" s="184" t="s">
        <v>152</v>
      </c>
      <c r="V19" s="422" t="s">
        <v>296</v>
      </c>
      <c r="W19" s="411"/>
      <c r="X19" s="428"/>
      <c r="Y19" s="428"/>
      <c r="Z19" s="428"/>
      <c r="AA19" s="428"/>
      <c r="AB19" s="428"/>
      <c r="AC19" s="428"/>
    </row>
    <row r="20" spans="1:29" ht="15" customHeight="1" x14ac:dyDescent="0.2">
      <c r="A20" s="84"/>
      <c r="B20" s="417"/>
      <c r="C20" s="414" t="str">
        <f>L243</f>
        <v>C-ZETA CURVE</v>
      </c>
      <c r="D20" s="83" t="str">
        <f>M243</f>
        <v xml:space="preserve"> 113_61_31a</v>
      </c>
      <c r="E20" s="83"/>
      <c r="F20" s="418"/>
      <c r="G20" s="83"/>
      <c r="H20" s="83"/>
      <c r="I20" s="83"/>
      <c r="J20" s="83"/>
      <c r="K20" s="83"/>
      <c r="L20" s="83"/>
      <c r="M20" s="84"/>
      <c r="U20" s="184" t="s">
        <v>157</v>
      </c>
      <c r="V20" s="422" t="s">
        <v>379</v>
      </c>
      <c r="W20" s="411"/>
      <c r="X20" s="428"/>
      <c r="Y20" s="428"/>
      <c r="Z20" s="428"/>
      <c r="AA20" s="428"/>
      <c r="AB20" s="428"/>
      <c r="AC20" s="428"/>
    </row>
    <row r="21" spans="1:29" ht="15" customHeight="1" x14ac:dyDescent="0.2">
      <c r="B21" s="419" t="s">
        <v>390</v>
      </c>
      <c r="C21" s="42"/>
      <c r="D21" s="42"/>
      <c r="E21" s="42"/>
      <c r="F21" s="31"/>
      <c r="U21" s="184"/>
      <c r="V21" s="422" t="s">
        <v>306</v>
      </c>
      <c r="W21" s="411"/>
      <c r="X21" s="428"/>
      <c r="Y21" s="428"/>
      <c r="Z21" s="428"/>
      <c r="AA21" s="428"/>
      <c r="AB21" s="428"/>
      <c r="AC21" s="428"/>
    </row>
    <row r="22" spans="1:29" ht="15" customHeight="1" x14ac:dyDescent="0.2">
      <c r="A22" s="169" t="s">
        <v>121</v>
      </c>
      <c r="B22" s="143" t="s">
        <v>139</v>
      </c>
      <c r="U22" s="184"/>
      <c r="V22" s="411" t="s">
        <v>290</v>
      </c>
      <c r="W22" s="411"/>
      <c r="X22" s="428"/>
      <c r="Y22" s="428"/>
      <c r="Z22" s="428"/>
      <c r="AA22" s="428"/>
      <c r="AB22" s="428"/>
      <c r="AC22" s="428"/>
    </row>
    <row r="23" spans="1:29" ht="15" customHeight="1" x14ac:dyDescent="0.2">
      <c r="U23" s="184" t="s">
        <v>159</v>
      </c>
      <c r="V23" s="411" t="s">
        <v>291</v>
      </c>
      <c r="W23" s="411"/>
      <c r="X23" s="428"/>
      <c r="Y23" s="428"/>
      <c r="Z23" s="428"/>
      <c r="AA23" s="428"/>
      <c r="AB23" s="428"/>
      <c r="AC23" s="428"/>
    </row>
    <row r="24" spans="1:29" ht="15" customHeight="1" x14ac:dyDescent="0.2">
      <c r="B24" s="54" t="s">
        <v>140</v>
      </c>
      <c r="U24" s="184" t="s">
        <v>162</v>
      </c>
      <c r="V24" s="411" t="s">
        <v>292</v>
      </c>
      <c r="W24" s="411"/>
      <c r="X24" s="428"/>
      <c r="Y24" s="428"/>
      <c r="Z24" s="428"/>
      <c r="AA24" s="428"/>
      <c r="AB24" s="428"/>
      <c r="AC24" s="428"/>
    </row>
    <row r="25" spans="1:29" ht="15" customHeight="1" x14ac:dyDescent="0.2">
      <c r="B25" s="54" t="s">
        <v>204</v>
      </c>
      <c r="U25" s="184" t="s">
        <v>172</v>
      </c>
      <c r="V25" s="422" t="s">
        <v>293</v>
      </c>
      <c r="W25" s="411"/>
      <c r="X25" s="428"/>
      <c r="Y25" s="428"/>
      <c r="Z25" s="428"/>
      <c r="AA25" s="428"/>
      <c r="AB25" s="428"/>
      <c r="AC25" s="428"/>
    </row>
    <row r="26" spans="1:29" ht="15" customHeight="1" x14ac:dyDescent="0.2">
      <c r="I26" s="1"/>
      <c r="J26" s="1"/>
      <c r="U26" s="184" t="s">
        <v>175</v>
      </c>
      <c r="V26" s="422" t="s">
        <v>294</v>
      </c>
      <c r="W26" s="411"/>
      <c r="X26" s="428"/>
    </row>
    <row r="27" spans="1:29" ht="15" customHeight="1" x14ac:dyDescent="0.2">
      <c r="B27" s="146"/>
      <c r="C27" s="476" t="s">
        <v>105</v>
      </c>
      <c r="D27" s="476" t="s">
        <v>105</v>
      </c>
      <c r="E27" s="480" t="s">
        <v>105</v>
      </c>
      <c r="G27" s="462" t="s">
        <v>202</v>
      </c>
      <c r="I27" s="1"/>
      <c r="J27" s="1"/>
      <c r="U27" s="184"/>
      <c r="V27" s="411"/>
      <c r="W27" s="411"/>
      <c r="X27" s="428"/>
    </row>
    <row r="28" spans="1:29" ht="15" customHeight="1" x14ac:dyDescent="0.2">
      <c r="B28" s="146"/>
      <c r="C28" s="468" t="s">
        <v>342</v>
      </c>
      <c r="D28" s="468" t="s">
        <v>343</v>
      </c>
      <c r="E28" s="468" t="s">
        <v>108</v>
      </c>
      <c r="G28" s="463" t="s">
        <v>111</v>
      </c>
      <c r="U28" s="422" t="s">
        <v>308</v>
      </c>
      <c r="V28" s="411"/>
      <c r="W28" s="411"/>
      <c r="X28" s="428"/>
    </row>
    <row r="29" spans="1:29" ht="15" customHeight="1" x14ac:dyDescent="0.2">
      <c r="B29" s="147" t="s">
        <v>39</v>
      </c>
      <c r="C29" s="477" t="s">
        <v>106</v>
      </c>
      <c r="D29" s="477" t="s">
        <v>107</v>
      </c>
      <c r="E29" s="475" t="s">
        <v>151</v>
      </c>
      <c r="G29" s="463" t="s">
        <v>112</v>
      </c>
      <c r="U29" s="422" t="s">
        <v>382</v>
      </c>
      <c r="V29" s="411"/>
      <c r="W29" s="411"/>
      <c r="X29" s="428"/>
    </row>
    <row r="30" spans="1:29" ht="15" customHeight="1" x14ac:dyDescent="0.2">
      <c r="B30" s="147">
        <v>1</v>
      </c>
      <c r="C30" s="478">
        <v>2</v>
      </c>
      <c r="D30" s="478">
        <v>0.75</v>
      </c>
      <c r="E30" s="469">
        <f>SUM(C30:D30)/2</f>
        <v>1.375</v>
      </c>
      <c r="G30" s="464">
        <v>0</v>
      </c>
      <c r="I30" s="54" t="s">
        <v>367</v>
      </c>
      <c r="U30" s="429"/>
      <c r="V30" s="428"/>
      <c r="W30" s="428"/>
      <c r="X30" s="428"/>
    </row>
    <row r="31" spans="1:29" ht="15" customHeight="1" x14ac:dyDescent="0.2">
      <c r="B31" s="147">
        <v>2</v>
      </c>
      <c r="C31" s="478">
        <v>4</v>
      </c>
      <c r="D31" s="478">
        <v>2</v>
      </c>
      <c r="E31" s="469">
        <f t="shared" ref="E31:E39" si="0">SUM(C31:D31)/2</f>
        <v>3</v>
      </c>
      <c r="G31" s="465">
        <v>0.4</v>
      </c>
      <c r="I31" t="s">
        <v>366</v>
      </c>
      <c r="U31" s="429"/>
      <c r="V31" s="428"/>
      <c r="W31" s="428"/>
      <c r="X31" s="428"/>
    </row>
    <row r="32" spans="1:29" ht="15" customHeight="1" x14ac:dyDescent="0.2">
      <c r="B32" s="147">
        <v>3</v>
      </c>
      <c r="C32" s="478">
        <v>5.8</v>
      </c>
      <c r="D32" s="478">
        <v>3.3</v>
      </c>
      <c r="E32" s="469">
        <f t="shared" si="0"/>
        <v>4.55</v>
      </c>
      <c r="G32" s="466">
        <v>1.5</v>
      </c>
    </row>
    <row r="33" spans="1:8" ht="15" customHeight="1" x14ac:dyDescent="0.2">
      <c r="B33" s="147">
        <v>4</v>
      </c>
      <c r="C33" s="478">
        <v>7.51</v>
      </c>
      <c r="D33" s="478">
        <v>4.7</v>
      </c>
      <c r="E33" s="469">
        <f t="shared" si="0"/>
        <v>6.1050000000000004</v>
      </c>
      <c r="G33" s="466">
        <v>2.4</v>
      </c>
    </row>
    <row r="34" spans="1:8" ht="15" customHeight="1" x14ac:dyDescent="0.2">
      <c r="B34" s="147">
        <v>5</v>
      </c>
      <c r="C34" s="478">
        <v>9</v>
      </c>
      <c r="D34" s="478">
        <v>5.9</v>
      </c>
      <c r="E34" s="469">
        <f t="shared" si="0"/>
        <v>7.45</v>
      </c>
      <c r="G34" s="465">
        <v>4</v>
      </c>
    </row>
    <row r="35" spans="1:8" ht="15" customHeight="1" x14ac:dyDescent="0.2">
      <c r="B35" s="147">
        <v>10</v>
      </c>
      <c r="C35" s="478">
        <v>11.51</v>
      </c>
      <c r="D35" s="478">
        <v>10</v>
      </c>
      <c r="E35" s="469">
        <f t="shared" si="0"/>
        <v>10.754999999999999</v>
      </c>
      <c r="G35" s="466">
        <v>15</v>
      </c>
    </row>
    <row r="36" spans="1:8" ht="15" customHeight="1" x14ac:dyDescent="0.2">
      <c r="B36" s="147">
        <v>20</v>
      </c>
      <c r="C36" s="478">
        <v>13</v>
      </c>
      <c r="D36" s="478">
        <v>13</v>
      </c>
      <c r="E36" s="469">
        <f t="shared" si="0"/>
        <v>13</v>
      </c>
      <c r="G36" s="466">
        <v>41.9</v>
      </c>
    </row>
    <row r="37" spans="1:8" ht="15" customHeight="1" x14ac:dyDescent="0.2">
      <c r="B37" s="147">
        <v>30</v>
      </c>
      <c r="C37" s="478">
        <v>13</v>
      </c>
      <c r="D37" s="478">
        <v>13</v>
      </c>
      <c r="E37" s="469">
        <f t="shared" si="0"/>
        <v>13</v>
      </c>
      <c r="G37" s="466">
        <v>57.4</v>
      </c>
    </row>
    <row r="38" spans="1:8" ht="15" customHeight="1" x14ac:dyDescent="0.2">
      <c r="B38" s="147">
        <v>40</v>
      </c>
      <c r="C38" s="478">
        <v>13</v>
      </c>
      <c r="D38" s="478">
        <v>13</v>
      </c>
      <c r="E38" s="469">
        <f t="shared" si="0"/>
        <v>13</v>
      </c>
      <c r="G38" s="466">
        <v>69.5</v>
      </c>
      <c r="H38" s="1"/>
    </row>
    <row r="39" spans="1:8" ht="15" customHeight="1" x14ac:dyDescent="0.2">
      <c r="B39" s="147">
        <v>50</v>
      </c>
      <c r="C39" s="479">
        <v>13</v>
      </c>
      <c r="D39" s="479">
        <v>13</v>
      </c>
      <c r="E39" s="470">
        <f t="shared" si="0"/>
        <v>13</v>
      </c>
      <c r="G39" s="467">
        <v>81.400000000000006</v>
      </c>
    </row>
    <row r="40" spans="1:8" ht="15" customHeight="1" x14ac:dyDescent="0.2"/>
    <row r="41" spans="1:8" ht="15" customHeight="1" x14ac:dyDescent="0.2"/>
    <row r="42" spans="1:8" ht="15" customHeight="1" x14ac:dyDescent="0.2"/>
    <row r="43" spans="1:8" ht="15" customHeight="1" x14ac:dyDescent="0.2"/>
    <row r="44" spans="1:8" ht="15" customHeight="1" x14ac:dyDescent="0.2">
      <c r="A44" s="143" t="s">
        <v>122</v>
      </c>
      <c r="B44" s="143" t="s">
        <v>190</v>
      </c>
    </row>
    <row r="45" spans="1:8" ht="15" customHeight="1" x14ac:dyDescent="0.2">
      <c r="B45" s="169" t="s">
        <v>142</v>
      </c>
    </row>
    <row r="46" spans="1:8" ht="15" customHeight="1" x14ac:dyDescent="0.2">
      <c r="B46" s="169" t="s">
        <v>144</v>
      </c>
    </row>
    <row r="47" spans="1:8" ht="15" customHeight="1" x14ac:dyDescent="0.2"/>
    <row r="48" spans="1:8" ht="15" customHeight="1" x14ac:dyDescent="0.2">
      <c r="B48" s="196" t="s">
        <v>202</v>
      </c>
      <c r="C48" s="196"/>
      <c r="D48" s="196"/>
    </row>
    <row r="49" spans="2:4" ht="15" customHeight="1" x14ac:dyDescent="0.2">
      <c r="B49" s="196" t="s">
        <v>111</v>
      </c>
      <c r="C49" s="196"/>
      <c r="D49" s="196" t="s">
        <v>111</v>
      </c>
    </row>
    <row r="50" spans="2:4" ht="15" customHeight="1" x14ac:dyDescent="0.2">
      <c r="B50" s="196" t="s">
        <v>119</v>
      </c>
      <c r="C50" s="196"/>
      <c r="D50" s="196" t="s">
        <v>119</v>
      </c>
    </row>
    <row r="51" spans="2:4" ht="15" customHeight="1" x14ac:dyDescent="0.2">
      <c r="B51" s="196" t="s">
        <v>120</v>
      </c>
      <c r="C51" s="196" t="s">
        <v>39</v>
      </c>
      <c r="D51" s="196" t="s">
        <v>120</v>
      </c>
    </row>
    <row r="52" spans="2:4" ht="15" customHeight="1" x14ac:dyDescent="0.2">
      <c r="B52" s="326">
        <v>22.3</v>
      </c>
      <c r="C52" s="185">
        <v>1</v>
      </c>
      <c r="D52" s="188">
        <v>22.3</v>
      </c>
    </row>
    <row r="53" spans="2:4" ht="15" customHeight="1" x14ac:dyDescent="0.2">
      <c r="B53" s="327">
        <v>44.8</v>
      </c>
      <c r="C53" s="185">
        <v>2</v>
      </c>
      <c r="D53" s="189">
        <v>44.8</v>
      </c>
    </row>
    <row r="54" spans="2:4" ht="15" customHeight="1" x14ac:dyDescent="0.2">
      <c r="B54" s="94">
        <v>62</v>
      </c>
      <c r="C54" s="185">
        <v>3</v>
      </c>
      <c r="D54" s="184">
        <v>62</v>
      </c>
    </row>
    <row r="55" spans="2:4" ht="15" customHeight="1" x14ac:dyDescent="0.2">
      <c r="B55" s="94">
        <v>75.5</v>
      </c>
      <c r="C55" s="185">
        <v>4</v>
      </c>
      <c r="D55" s="207">
        <v>77.5</v>
      </c>
    </row>
    <row r="56" spans="2:4" ht="15" customHeight="1" x14ac:dyDescent="0.2">
      <c r="B56" s="327">
        <v>91.1</v>
      </c>
      <c r="C56" s="185">
        <v>5</v>
      </c>
      <c r="D56" s="189">
        <v>91.1</v>
      </c>
    </row>
    <row r="57" spans="2:4" ht="15" customHeight="1" x14ac:dyDescent="0.2">
      <c r="B57" s="94">
        <v>150.69999999999999</v>
      </c>
      <c r="C57" s="185">
        <v>10</v>
      </c>
      <c r="D57" s="184">
        <v>150.69999999999999</v>
      </c>
    </row>
    <row r="58" spans="2:4" ht="15" customHeight="1" x14ac:dyDescent="0.2">
      <c r="B58" s="94">
        <v>252.2</v>
      </c>
      <c r="C58" s="185">
        <v>20</v>
      </c>
      <c r="D58" s="184">
        <v>252.2</v>
      </c>
    </row>
    <row r="59" spans="2:4" ht="15" customHeight="1" x14ac:dyDescent="0.2">
      <c r="B59" s="94">
        <v>340.1</v>
      </c>
      <c r="C59" s="185">
        <v>30</v>
      </c>
      <c r="D59" s="184">
        <v>340.1</v>
      </c>
    </row>
    <row r="60" spans="2:4" ht="15" customHeight="1" x14ac:dyDescent="0.2">
      <c r="B60" s="94">
        <v>420.4</v>
      </c>
      <c r="C60" s="185">
        <v>40</v>
      </c>
      <c r="D60" s="184">
        <v>420.4</v>
      </c>
    </row>
    <row r="61" spans="2:4" ht="15" customHeight="1" x14ac:dyDescent="0.2">
      <c r="B61" s="327">
        <v>498</v>
      </c>
      <c r="C61" s="185">
        <v>50</v>
      </c>
      <c r="D61" s="189">
        <v>498</v>
      </c>
    </row>
    <row r="62" spans="2:4" ht="15" customHeight="1" x14ac:dyDescent="0.2"/>
    <row r="63" spans="2:4" ht="15" customHeight="1" x14ac:dyDescent="0.2">
      <c r="C63" s="394" t="s">
        <v>203</v>
      </c>
    </row>
    <row r="64" spans="2:4" ht="15" customHeight="1" x14ac:dyDescent="0.2"/>
    <row r="65" spans="1:11" ht="15" customHeight="1" x14ac:dyDescent="0.2"/>
    <row r="66" spans="1:11" ht="15" customHeight="1" x14ac:dyDescent="0.2">
      <c r="A66" s="143" t="s">
        <v>125</v>
      </c>
      <c r="B66" s="143" t="s">
        <v>145</v>
      </c>
    </row>
    <row r="67" spans="1:11" ht="15" customHeight="1" x14ac:dyDescent="0.2">
      <c r="B67" s="169" t="s">
        <v>147</v>
      </c>
    </row>
    <row r="68" spans="1:11" ht="15" customHeight="1" x14ac:dyDescent="0.2">
      <c r="B68" s="169"/>
    </row>
    <row r="69" spans="1:11" ht="15" customHeight="1" x14ac:dyDescent="0.2"/>
    <row r="70" spans="1:11" ht="15" customHeight="1" x14ac:dyDescent="0.2">
      <c r="E70" s="504">
        <f>INDEX(LINEST(D$78:D$83,($C$78:$C$83)^{1,2,3}),1)</f>
        <v>0.12097327355534232</v>
      </c>
      <c r="F70" s="503">
        <f>INDEX(LINEST(D$83:D$87,($C$83:$C$87)^{1,2,3}),1)</f>
        <v>9.0833333333334172E-4</v>
      </c>
      <c r="H70" t="s">
        <v>387</v>
      </c>
    </row>
    <row r="71" spans="1:11" ht="15" customHeight="1" x14ac:dyDescent="0.2">
      <c r="E71" s="504">
        <f>INDEX(LINEST(D$78:D$83,($C$78:$C$83)^{1,2,3}),2)</f>
        <v>-2.5062060446282528</v>
      </c>
      <c r="F71" s="503">
        <f>INDEX(LINEST(D$83:D$87,($C$83:$C$87)^{1,2,3}),2)</f>
        <v>-0.12132142857142943</v>
      </c>
      <c r="H71" t="s">
        <v>388</v>
      </c>
    </row>
    <row r="72" spans="1:11" ht="15" customHeight="1" x14ac:dyDescent="0.2">
      <c r="E72" s="504">
        <f>INDEX(LINEST(D$78:D$83,($C$78:$C$83)^{1,2,3}),3)</f>
        <v>28.384521591904647</v>
      </c>
      <c r="F72" s="503">
        <f>INDEX(LINEST(D$83:D$87,($C$83:$C$87)^{1,2,3}),3)</f>
        <v>13.145952380952403</v>
      </c>
    </row>
    <row r="73" spans="1:11" ht="15" customHeight="1" x14ac:dyDescent="0.2">
      <c r="E73" s="504">
        <f>INDEX(LINEST(D$78:D$83,($C$78:$C$83)^{1,2,3}),4)</f>
        <v>-3.4905604975885574</v>
      </c>
      <c r="F73" s="503">
        <f>INDEX(LINEST(D$83:D$87,($C$83:$C$87)^{1,2,3}),4)</f>
        <v>30.479999999999897</v>
      </c>
    </row>
    <row r="74" spans="1:11" ht="15" customHeight="1" x14ac:dyDescent="0.2">
      <c r="E74" s="1"/>
      <c r="F74" s="1"/>
    </row>
    <row r="75" spans="1:11" ht="15" customHeight="1" x14ac:dyDescent="0.2">
      <c r="C75" s="195"/>
      <c r="D75" s="196" t="s">
        <v>146</v>
      </c>
      <c r="E75" s="196"/>
      <c r="F75" s="1"/>
      <c r="H75" s="212"/>
      <c r="I75" s="471" t="s">
        <v>133</v>
      </c>
      <c r="J75" s="212"/>
      <c r="K75" s="212"/>
    </row>
    <row r="76" spans="1:11" ht="15" customHeight="1" x14ac:dyDescent="0.2">
      <c r="C76" s="195"/>
      <c r="D76" s="196" t="s">
        <v>119</v>
      </c>
      <c r="E76" s="196"/>
      <c r="F76" s="1"/>
      <c r="H76" s="212"/>
      <c r="I76" s="472" t="s">
        <v>110</v>
      </c>
      <c r="J76" s="212" t="s">
        <v>111</v>
      </c>
      <c r="K76" s="508" t="s">
        <v>385</v>
      </c>
    </row>
    <row r="77" spans="1:11" ht="15" customHeight="1" x14ac:dyDescent="0.2">
      <c r="C77" s="195" t="s">
        <v>39</v>
      </c>
      <c r="D77" s="196" t="s">
        <v>120</v>
      </c>
      <c r="E77" s="196"/>
      <c r="F77" s="1"/>
      <c r="H77" s="212" t="s">
        <v>39</v>
      </c>
      <c r="I77" s="472" t="s">
        <v>149</v>
      </c>
      <c r="J77" s="212" t="s">
        <v>346</v>
      </c>
      <c r="K77" s="509" t="s">
        <v>386</v>
      </c>
    </row>
    <row r="78" spans="1:11" ht="15" customHeight="1" x14ac:dyDescent="0.2">
      <c r="C78" s="185">
        <v>1</v>
      </c>
      <c r="D78" s="188">
        <f>D52</f>
        <v>22.3</v>
      </c>
      <c r="E78" s="193">
        <f>(E$70*($C78)^3)+(E$71*($C78)^2)+(E$72*($C78)^1)+(E$73)</f>
        <v>22.508728323243179</v>
      </c>
      <c r="F78" s="3"/>
      <c r="H78" s="185">
        <v>1</v>
      </c>
      <c r="I78" s="473">
        <f>E78</f>
        <v>22.508728323243179</v>
      </c>
      <c r="J78" s="188">
        <f>B52</f>
        <v>22.3</v>
      </c>
      <c r="K78" s="505">
        <f>I78-J78</f>
        <v>0.20872832324317869</v>
      </c>
    </row>
    <row r="79" spans="1:11" ht="15" customHeight="1" x14ac:dyDescent="0.2">
      <c r="C79" s="185">
        <v>2</v>
      </c>
      <c r="D79" s="189">
        <f t="shared" ref="D79:D87" si="1">D53</f>
        <v>44.8</v>
      </c>
      <c r="E79" s="193">
        <f t="shared" ref="E79:E83" si="2">(E$70*($C79)^3)+(E$71*($C79)^2)+(E$72*($C79)^1)+(E$73)</f>
        <v>44.221444696150471</v>
      </c>
      <c r="F79" s="3"/>
      <c r="H79" s="185">
        <v>2</v>
      </c>
      <c r="I79" s="473">
        <f>E79</f>
        <v>44.221444696150471</v>
      </c>
      <c r="J79" s="189">
        <f t="shared" ref="J79:J87" si="3">B53</f>
        <v>44.8</v>
      </c>
      <c r="K79" s="506">
        <f t="shared" ref="K79:K87" si="4">I79-J79</f>
        <v>-0.57855530384952658</v>
      </c>
    </row>
    <row r="80" spans="1:11" ht="15" customHeight="1" x14ac:dyDescent="0.2">
      <c r="B80" t="s">
        <v>383</v>
      </c>
      <c r="C80" s="185">
        <v>3</v>
      </c>
      <c r="D80" s="184">
        <f t="shared" si="1"/>
        <v>62</v>
      </c>
      <c r="E80" s="193">
        <f t="shared" si="2"/>
        <v>62.373428262465353</v>
      </c>
      <c r="F80" s="3"/>
      <c r="H80" s="185">
        <v>3</v>
      </c>
      <c r="I80" s="473">
        <f>E80</f>
        <v>62.373428262465353</v>
      </c>
      <c r="J80" s="184">
        <f t="shared" si="3"/>
        <v>62</v>
      </c>
      <c r="K80" s="507">
        <f t="shared" si="4"/>
        <v>0.3734282624653531</v>
      </c>
    </row>
    <row r="81" spans="1:11" ht="15" customHeight="1" x14ac:dyDescent="0.2">
      <c r="C81" s="185">
        <v>4</v>
      </c>
      <c r="D81" s="184">
        <f t="shared" si="1"/>
        <v>77.5</v>
      </c>
      <c r="E81" s="193">
        <f t="shared" si="2"/>
        <v>77.690518663519896</v>
      </c>
      <c r="F81" s="3"/>
      <c r="H81" s="185">
        <v>4</v>
      </c>
      <c r="I81" s="473">
        <f>E81</f>
        <v>77.690518663519896</v>
      </c>
      <c r="J81" s="184">
        <f t="shared" si="3"/>
        <v>75.5</v>
      </c>
      <c r="K81" s="507">
        <f t="shared" si="4"/>
        <v>2.1905186635198959</v>
      </c>
    </row>
    <row r="82" spans="1:11" ht="15" customHeight="1" x14ac:dyDescent="0.2">
      <c r="C82" s="185">
        <v>5</v>
      </c>
      <c r="D82" s="189">
        <f t="shared" si="1"/>
        <v>91.1</v>
      </c>
      <c r="E82" s="193">
        <f t="shared" si="2"/>
        <v>90.898555540646157</v>
      </c>
      <c r="F82" s="3"/>
      <c r="H82" s="185">
        <v>5</v>
      </c>
      <c r="I82" s="473">
        <f>E82</f>
        <v>90.898555540646157</v>
      </c>
      <c r="J82" s="189">
        <f t="shared" si="3"/>
        <v>91.1</v>
      </c>
      <c r="K82" s="506">
        <f t="shared" si="4"/>
        <v>-0.20144445935383715</v>
      </c>
    </row>
    <row r="83" spans="1:11" ht="15" customHeight="1" x14ac:dyDescent="0.2">
      <c r="C83" s="185">
        <v>10</v>
      </c>
      <c r="D83" s="184">
        <f t="shared" si="1"/>
        <v>150.69999999999999</v>
      </c>
      <c r="E83" s="193">
        <f t="shared" si="2"/>
        <v>150.70732451397498</v>
      </c>
      <c r="F83" s="194">
        <f>(F$70*($C83)^3)+(F$71*($C83)^2)+(F$72*($C83)^1)+(F$73)</f>
        <v>150.71571428571431</v>
      </c>
      <c r="H83" s="185">
        <v>10</v>
      </c>
      <c r="I83" s="473">
        <f>(E83+F83)/2</f>
        <v>150.71151939984463</v>
      </c>
      <c r="J83" s="184">
        <f t="shared" si="3"/>
        <v>150.69999999999999</v>
      </c>
      <c r="K83" s="507">
        <f t="shared" si="4"/>
        <v>1.151939984464434E-2</v>
      </c>
    </row>
    <row r="84" spans="1:11" ht="15" customHeight="1" x14ac:dyDescent="0.2">
      <c r="C84" s="185">
        <v>20</v>
      </c>
      <c r="D84" s="184">
        <f t="shared" si="1"/>
        <v>252.2</v>
      </c>
      <c r="E84" s="3"/>
      <c r="F84" s="194">
        <f t="shared" ref="F84:F87" si="5">(F$70*($C84)^3)+(F$71*($C84)^2)+(F$72*($C84)^1)+(F$73)</f>
        <v>252.13714285714292</v>
      </c>
      <c r="H84" s="185">
        <v>20</v>
      </c>
      <c r="I84" s="473">
        <f>F84</f>
        <v>252.13714285714292</v>
      </c>
      <c r="J84" s="184">
        <f t="shared" si="3"/>
        <v>252.2</v>
      </c>
      <c r="K84" s="507">
        <f t="shared" si="4"/>
        <v>-6.2857142857069448E-2</v>
      </c>
    </row>
    <row r="85" spans="1:11" ht="15" customHeight="1" x14ac:dyDescent="0.2">
      <c r="B85" s="54" t="s">
        <v>384</v>
      </c>
      <c r="C85" s="185">
        <v>30</v>
      </c>
      <c r="D85" s="184">
        <f t="shared" si="1"/>
        <v>340.1</v>
      </c>
      <c r="E85" s="3"/>
      <c r="F85" s="194">
        <f t="shared" si="5"/>
        <v>340.1942857142858</v>
      </c>
      <c r="H85" s="185">
        <v>30</v>
      </c>
      <c r="I85" s="473">
        <f>F85</f>
        <v>340.1942857142858</v>
      </c>
      <c r="J85" s="184">
        <f t="shared" si="3"/>
        <v>340.1</v>
      </c>
      <c r="K85" s="507">
        <f t="shared" si="4"/>
        <v>9.4285714285774702E-2</v>
      </c>
    </row>
    <row r="86" spans="1:11" ht="15" customHeight="1" x14ac:dyDescent="0.2">
      <c r="C86" s="185">
        <v>40</v>
      </c>
      <c r="D86" s="184">
        <f t="shared" si="1"/>
        <v>420.4</v>
      </c>
      <c r="E86" s="3"/>
      <c r="F86" s="194">
        <f t="shared" si="5"/>
        <v>420.33714285714279</v>
      </c>
      <c r="H86" s="185">
        <v>40</v>
      </c>
      <c r="I86" s="473">
        <f>F86</f>
        <v>420.33714285714279</v>
      </c>
      <c r="J86" s="184">
        <f t="shared" si="3"/>
        <v>420.4</v>
      </c>
      <c r="K86" s="507">
        <f t="shared" si="4"/>
        <v>-6.2857142857183135E-2</v>
      </c>
    </row>
    <row r="87" spans="1:11" ht="15" customHeight="1" x14ac:dyDescent="0.2">
      <c r="C87" s="185">
        <v>50</v>
      </c>
      <c r="D87" s="189">
        <f t="shared" si="1"/>
        <v>498</v>
      </c>
      <c r="E87" s="3"/>
      <c r="F87" s="194">
        <f t="shared" si="5"/>
        <v>498.01571428571424</v>
      </c>
      <c r="H87" s="185">
        <v>50</v>
      </c>
      <c r="I87" s="474">
        <f>F87</f>
        <v>498.01571428571424</v>
      </c>
      <c r="J87" s="189">
        <f t="shared" si="3"/>
        <v>498</v>
      </c>
      <c r="K87" s="506">
        <f t="shared" si="4"/>
        <v>1.571428571423894E-2</v>
      </c>
    </row>
    <row r="88" spans="1:11" ht="15" customHeight="1" x14ac:dyDescent="0.2">
      <c r="I88" s="72"/>
    </row>
    <row r="89" spans="1:11" ht="15" customHeight="1" x14ac:dyDescent="0.2"/>
    <row r="90" spans="1:11" ht="15" customHeight="1" x14ac:dyDescent="0.2"/>
    <row r="91" spans="1:11" ht="15" customHeight="1" x14ac:dyDescent="0.2">
      <c r="I91" s="72"/>
    </row>
    <row r="92" spans="1:11" ht="15" customHeight="1" x14ac:dyDescent="0.2">
      <c r="A92" s="143" t="s">
        <v>152</v>
      </c>
      <c r="B92" s="143" t="s">
        <v>150</v>
      </c>
    </row>
    <row r="93" spans="1:11" ht="15" customHeight="1" x14ac:dyDescent="0.2">
      <c r="A93" s="143"/>
      <c r="B93" s="143"/>
    </row>
    <row r="94" spans="1:11" ht="15" customHeight="1" x14ac:dyDescent="0.2">
      <c r="A94" s="143"/>
      <c r="B94" s="143" t="s">
        <v>153</v>
      </c>
    </row>
    <row r="95" spans="1:11" ht="15" customHeight="1" x14ac:dyDescent="0.2">
      <c r="A95" s="143"/>
      <c r="B95" s="143"/>
      <c r="K95" s="169" t="s">
        <v>155</v>
      </c>
    </row>
    <row r="96" spans="1:11" ht="15" customHeight="1" x14ac:dyDescent="0.2">
      <c r="I96" s="72"/>
    </row>
    <row r="97" spans="2:18" ht="15" customHeight="1" x14ac:dyDescent="0.2">
      <c r="G97" s="448"/>
      <c r="H97" s="449" t="s">
        <v>112</v>
      </c>
      <c r="I97" s="72"/>
      <c r="J97" s="50"/>
      <c r="M97" t="s">
        <v>171</v>
      </c>
    </row>
    <row r="98" spans="2:18" ht="15" customHeight="1" x14ac:dyDescent="0.2">
      <c r="B98" s="212"/>
      <c r="C98" s="392"/>
      <c r="D98" s="471" t="s">
        <v>133</v>
      </c>
      <c r="E98" s="471" t="s">
        <v>133</v>
      </c>
      <c r="F98" s="212"/>
      <c r="G98" s="450" t="s">
        <v>111</v>
      </c>
      <c r="H98" s="451" t="s">
        <v>368</v>
      </c>
      <c r="J98" s="498" t="s">
        <v>105</v>
      </c>
      <c r="K98" s="226"/>
      <c r="M98" s="498"/>
      <c r="N98" s="218" t="s">
        <v>156</v>
      </c>
    </row>
    <row r="99" spans="2:18" ht="15" customHeight="1" x14ac:dyDescent="0.2">
      <c r="B99" s="212"/>
      <c r="C99" s="196" t="s">
        <v>109</v>
      </c>
      <c r="D99" s="472" t="s">
        <v>110</v>
      </c>
      <c r="E99" s="472" t="s">
        <v>112</v>
      </c>
      <c r="F99" s="212" t="s">
        <v>105</v>
      </c>
      <c r="G99" s="450" t="s">
        <v>112</v>
      </c>
      <c r="H99" s="451" t="s">
        <v>369</v>
      </c>
      <c r="J99" s="499" t="s">
        <v>304</v>
      </c>
      <c r="K99" s="227" t="s">
        <v>154</v>
      </c>
      <c r="M99" s="181" t="s">
        <v>129</v>
      </c>
      <c r="N99" s="219" t="s">
        <v>119</v>
      </c>
    </row>
    <row r="100" spans="2:18" ht="15" customHeight="1" x14ac:dyDescent="0.2">
      <c r="B100" s="212" t="s">
        <v>39</v>
      </c>
      <c r="C100" s="502" t="s">
        <v>130</v>
      </c>
      <c r="D100" s="331" t="s">
        <v>130</v>
      </c>
      <c r="E100" s="331" t="s">
        <v>237</v>
      </c>
      <c r="F100" s="447" t="s">
        <v>235</v>
      </c>
      <c r="G100" s="452" t="s">
        <v>130</v>
      </c>
      <c r="H100" s="453" t="s">
        <v>235</v>
      </c>
      <c r="J100" s="500" t="s">
        <v>151</v>
      </c>
      <c r="K100" s="501" t="s">
        <v>375</v>
      </c>
      <c r="M100" s="181" t="s">
        <v>113</v>
      </c>
      <c r="N100" s="219"/>
      <c r="O100" s="344" t="s">
        <v>205</v>
      </c>
      <c r="P100" s="72" t="s">
        <v>213</v>
      </c>
      <c r="Q100" s="293" t="s">
        <v>214</v>
      </c>
    </row>
    <row r="101" spans="2:18" ht="15" customHeight="1" x14ac:dyDescent="0.2">
      <c r="B101" s="185">
        <v>1</v>
      </c>
      <c r="C101" s="198">
        <f>D101+E101</f>
        <v>22.822728323243179</v>
      </c>
      <c r="D101" s="198">
        <f t="shared" ref="D101:D110" si="6">I78</f>
        <v>22.508728323243179</v>
      </c>
      <c r="E101" s="197">
        <v>0.314</v>
      </c>
      <c r="F101" s="231">
        <f>E101/C101</f>
        <v>1.3758214861639279E-2</v>
      </c>
      <c r="G101" s="454">
        <f t="shared" ref="G101:G110" si="7">G30</f>
        <v>0</v>
      </c>
      <c r="H101" s="455">
        <f>E101-G101</f>
        <v>0.314</v>
      </c>
      <c r="J101" s="496">
        <f>E30/100</f>
        <v>1.375E-2</v>
      </c>
      <c r="K101" s="229">
        <f t="shared" ref="K101:K110" si="8">J101-F101</f>
        <v>-8.2148616392784674E-6</v>
      </c>
      <c r="M101" s="496">
        <f t="shared" ref="M101:M110" si="9">C101/D101</f>
        <v>1.013950143939307</v>
      </c>
      <c r="N101" s="222">
        <f t="shared" ref="N101:N110" si="10">D101*M101</f>
        <v>22.822728323243179</v>
      </c>
      <c r="O101" s="366">
        <f t="shared" ref="O101:O110" si="11">N101-C101</f>
        <v>0</v>
      </c>
      <c r="P101" s="367">
        <f t="shared" ref="P101:P110" si="12">J101/F101</f>
        <v>0.99940291224392908</v>
      </c>
      <c r="Q101" s="368">
        <f t="shared" ref="Q101:Q110" si="13">P101*E101</f>
        <v>0.31381251444459374</v>
      </c>
      <c r="R101" s="346" t="s">
        <v>282</v>
      </c>
    </row>
    <row r="102" spans="2:18" ht="15" customHeight="1" x14ac:dyDescent="0.2">
      <c r="B102" s="185">
        <v>2</v>
      </c>
      <c r="C102" s="199">
        <f t="shared" ref="C102:C110" si="14">D102+E102</f>
        <v>45.589444696150473</v>
      </c>
      <c r="D102" s="199">
        <f t="shared" si="6"/>
        <v>44.221444696150471</v>
      </c>
      <c r="E102" s="197">
        <v>1.3680000000000001</v>
      </c>
      <c r="F102" s="232">
        <f t="shared" ref="F102:F110" si="15">E102/C102</f>
        <v>3.0006945886654167E-2</v>
      </c>
      <c r="G102" s="456">
        <f t="shared" si="7"/>
        <v>0.4</v>
      </c>
      <c r="H102" s="457">
        <f t="shared" ref="H102:H110" si="16">E102-G102</f>
        <v>0.96800000000000008</v>
      </c>
      <c r="J102" s="496">
        <f t="shared" ref="J102:J110" si="17">E31/100</f>
        <v>0.03</v>
      </c>
      <c r="K102" s="229">
        <f t="shared" si="8"/>
        <v>-6.9458866541680098E-6</v>
      </c>
      <c r="M102" s="496">
        <f t="shared" si="9"/>
        <v>1.0309352172774917</v>
      </c>
      <c r="N102" s="223">
        <f t="shared" si="10"/>
        <v>45.589444696150466</v>
      </c>
      <c r="O102" s="366">
        <f t="shared" si="11"/>
        <v>0</v>
      </c>
      <c r="P102" s="367">
        <f t="shared" si="12"/>
        <v>0.99976852403838745</v>
      </c>
      <c r="Q102" s="369">
        <f t="shared" si="13"/>
        <v>1.3676833408845142</v>
      </c>
      <c r="R102" s="346" t="s">
        <v>218</v>
      </c>
    </row>
    <row r="103" spans="2:18" ht="15" customHeight="1" x14ac:dyDescent="0.2">
      <c r="B103" s="185">
        <v>3</v>
      </c>
      <c r="C103" s="200">
        <f t="shared" si="14"/>
        <v>65.349428262465352</v>
      </c>
      <c r="D103" s="200">
        <f t="shared" si="6"/>
        <v>62.373428262465353</v>
      </c>
      <c r="E103" s="197">
        <v>2.976</v>
      </c>
      <c r="F103" s="233">
        <f t="shared" si="15"/>
        <v>4.5539801634489896E-2</v>
      </c>
      <c r="G103" s="458">
        <f t="shared" si="7"/>
        <v>1.5</v>
      </c>
      <c r="H103" s="459">
        <f t="shared" si="16"/>
        <v>1.476</v>
      </c>
      <c r="J103" s="496">
        <f t="shared" si="17"/>
        <v>4.5499999999999999E-2</v>
      </c>
      <c r="K103" s="229">
        <f t="shared" si="8"/>
        <v>-3.9801634489897153E-5</v>
      </c>
      <c r="M103" s="496">
        <f t="shared" si="9"/>
        <v>1.0477126251178159</v>
      </c>
      <c r="N103" s="224">
        <f t="shared" si="10"/>
        <v>65.349428262465352</v>
      </c>
      <c r="O103" s="366">
        <f t="shared" si="11"/>
        <v>0</v>
      </c>
      <c r="P103" s="367">
        <f t="shared" si="12"/>
        <v>0.99912600334078416</v>
      </c>
      <c r="Q103" s="367">
        <f t="shared" si="13"/>
        <v>2.9733989859421737</v>
      </c>
      <c r="R103" s="346" t="s">
        <v>220</v>
      </c>
    </row>
    <row r="104" spans="2:18" ht="15" customHeight="1" x14ac:dyDescent="0.2">
      <c r="B104" s="185">
        <v>4</v>
      </c>
      <c r="C104" s="200">
        <f t="shared" si="14"/>
        <v>82.742518663519888</v>
      </c>
      <c r="D104" s="200">
        <f t="shared" si="6"/>
        <v>77.690518663519896</v>
      </c>
      <c r="E104" s="197">
        <v>5.0519999999999996</v>
      </c>
      <c r="F104" s="233">
        <f t="shared" si="15"/>
        <v>6.1056879601942324E-2</v>
      </c>
      <c r="G104" s="458">
        <f t="shared" si="7"/>
        <v>2.4</v>
      </c>
      <c r="H104" s="459">
        <f t="shared" si="16"/>
        <v>2.6519999999999997</v>
      </c>
      <c r="J104" s="496">
        <f t="shared" si="17"/>
        <v>6.1050000000000007E-2</v>
      </c>
      <c r="K104" s="229">
        <f t="shared" si="8"/>
        <v>-6.8796019423167376E-6</v>
      </c>
      <c r="M104" s="496">
        <f t="shared" si="9"/>
        <v>1.0650272399632235</v>
      </c>
      <c r="N104" s="224">
        <f t="shared" si="10"/>
        <v>82.742518663519888</v>
      </c>
      <c r="O104" s="366">
        <f t="shared" si="11"/>
        <v>0</v>
      </c>
      <c r="P104" s="367">
        <f t="shared" si="12"/>
        <v>0.99988732470464969</v>
      </c>
      <c r="Q104" s="367">
        <f t="shared" si="13"/>
        <v>5.0514307644078897</v>
      </c>
      <c r="R104" s="167" t="s">
        <v>219</v>
      </c>
    </row>
    <row r="105" spans="2:18" ht="15" customHeight="1" x14ac:dyDescent="0.2">
      <c r="B105" s="185">
        <v>5</v>
      </c>
      <c r="C105" s="199">
        <f t="shared" si="14"/>
        <v>98.219555540646155</v>
      </c>
      <c r="D105" s="199">
        <f t="shared" si="6"/>
        <v>90.898555540646157</v>
      </c>
      <c r="E105" s="197">
        <v>7.3209999999999997</v>
      </c>
      <c r="F105" s="232">
        <f t="shared" si="15"/>
        <v>7.4537091516061207E-2</v>
      </c>
      <c r="G105" s="456">
        <f t="shared" si="7"/>
        <v>4</v>
      </c>
      <c r="H105" s="457">
        <f t="shared" si="16"/>
        <v>3.3209999999999997</v>
      </c>
      <c r="J105" s="496">
        <f t="shared" si="17"/>
        <v>7.4499999999999997E-2</v>
      </c>
      <c r="K105" s="229">
        <f t="shared" si="8"/>
        <v>-3.7091516061210639E-5</v>
      </c>
      <c r="M105" s="496">
        <f t="shared" si="9"/>
        <v>1.0805403337429971</v>
      </c>
      <c r="N105" s="223">
        <f t="shared" si="10"/>
        <v>98.219555540646155</v>
      </c>
      <c r="O105" s="366">
        <f t="shared" si="11"/>
        <v>0</v>
      </c>
      <c r="P105" s="367">
        <f t="shared" si="12"/>
        <v>0.99950237505506612</v>
      </c>
      <c r="Q105" s="369">
        <f t="shared" si="13"/>
        <v>7.3173568877781392</v>
      </c>
    </row>
    <row r="106" spans="2:18" ht="15" customHeight="1" x14ac:dyDescent="0.2">
      <c r="B106" s="185">
        <v>10</v>
      </c>
      <c r="C106" s="200">
        <f t="shared" si="14"/>
        <v>168.87851939984463</v>
      </c>
      <c r="D106" s="200">
        <f t="shared" si="6"/>
        <v>150.71151939984463</v>
      </c>
      <c r="E106" s="197">
        <v>18.167000000000002</v>
      </c>
      <c r="F106" s="233">
        <f t="shared" si="15"/>
        <v>0.10757436804018258</v>
      </c>
      <c r="G106" s="458">
        <f t="shared" si="7"/>
        <v>15</v>
      </c>
      <c r="H106" s="459">
        <f t="shared" si="16"/>
        <v>3.1670000000000016</v>
      </c>
      <c r="J106" s="496">
        <f t="shared" si="17"/>
        <v>0.10754999999999999</v>
      </c>
      <c r="K106" s="229">
        <f t="shared" si="8"/>
        <v>-2.43680401825902E-5</v>
      </c>
      <c r="M106" s="496">
        <f t="shared" si="9"/>
        <v>1.1205415489960135</v>
      </c>
      <c r="N106" s="224">
        <f t="shared" si="10"/>
        <v>168.87851939984466</v>
      </c>
      <c r="O106" s="366">
        <f t="shared" si="11"/>
        <v>0</v>
      </c>
      <c r="P106" s="367">
        <f t="shared" si="12"/>
        <v>0.99977347726390098</v>
      </c>
      <c r="Q106" s="367">
        <f t="shared" si="13"/>
        <v>18.162884761453292</v>
      </c>
    </row>
    <row r="107" spans="2:18" ht="15" customHeight="1" x14ac:dyDescent="0.2">
      <c r="B107" s="185">
        <v>20</v>
      </c>
      <c r="C107" s="200">
        <f t="shared" si="14"/>
        <v>289.82114285714295</v>
      </c>
      <c r="D107" s="200">
        <f t="shared" si="6"/>
        <v>252.13714285714292</v>
      </c>
      <c r="E107" s="197">
        <v>37.683999999999997</v>
      </c>
      <c r="F107" s="233">
        <f t="shared" si="15"/>
        <v>0.13002502035738292</v>
      </c>
      <c r="G107" s="458">
        <f t="shared" si="7"/>
        <v>41.9</v>
      </c>
      <c r="H107" s="459">
        <f t="shared" si="16"/>
        <v>-4.2160000000000011</v>
      </c>
      <c r="J107" s="496">
        <f t="shared" si="17"/>
        <v>0.13</v>
      </c>
      <c r="K107" s="229">
        <f t="shared" si="8"/>
        <v>-2.5020357382915526E-5</v>
      </c>
      <c r="M107" s="496">
        <f t="shared" si="9"/>
        <v>1.149458344665035</v>
      </c>
      <c r="N107" s="224">
        <f t="shared" si="10"/>
        <v>289.82114285714295</v>
      </c>
      <c r="O107" s="366">
        <f t="shared" si="11"/>
        <v>0</v>
      </c>
      <c r="P107" s="367">
        <f t="shared" si="12"/>
        <v>0.99980757274781307</v>
      </c>
      <c r="Q107" s="367">
        <f t="shared" si="13"/>
        <v>37.676748571428583</v>
      </c>
    </row>
    <row r="108" spans="2:18" ht="15" customHeight="1" x14ac:dyDescent="0.2">
      <c r="B108" s="185">
        <v>30</v>
      </c>
      <c r="C108" s="200">
        <f>D108+E108</f>
        <v>391.03928571428582</v>
      </c>
      <c r="D108" s="200">
        <f t="shared" si="6"/>
        <v>340.1942857142858</v>
      </c>
      <c r="E108" s="197">
        <v>50.844999999999999</v>
      </c>
      <c r="F108" s="233">
        <f t="shared" si="15"/>
        <v>0.13002529888301317</v>
      </c>
      <c r="G108" s="458">
        <f t="shared" si="7"/>
        <v>57.4</v>
      </c>
      <c r="H108" s="459">
        <f t="shared" si="16"/>
        <v>-6.5549999999999997</v>
      </c>
      <c r="J108" s="496">
        <f t="shared" si="17"/>
        <v>0.13</v>
      </c>
      <c r="K108" s="229">
        <f t="shared" si="8"/>
        <v>-2.5298883013169515E-5</v>
      </c>
      <c r="M108" s="496">
        <f t="shared" si="9"/>
        <v>1.1494587126683913</v>
      </c>
      <c r="N108" s="224">
        <f t="shared" si="10"/>
        <v>391.03928571428582</v>
      </c>
      <c r="O108" s="366">
        <f t="shared" si="11"/>
        <v>0</v>
      </c>
      <c r="P108" s="367">
        <f t="shared" si="12"/>
        <v>0.99980543107202602</v>
      </c>
      <c r="Q108" s="367">
        <f t="shared" si="13"/>
        <v>50.835107142857161</v>
      </c>
    </row>
    <row r="109" spans="2:18" ht="15" customHeight="1" x14ac:dyDescent="0.2">
      <c r="B109" s="185">
        <v>40</v>
      </c>
      <c r="C109" s="200">
        <f t="shared" si="14"/>
        <v>483.1591428571428</v>
      </c>
      <c r="D109" s="200">
        <f t="shared" si="6"/>
        <v>420.33714285714279</v>
      </c>
      <c r="E109" s="197">
        <v>62.822000000000003</v>
      </c>
      <c r="F109" s="233">
        <f t="shared" si="15"/>
        <v>0.1300234113929927</v>
      </c>
      <c r="G109" s="458">
        <f t="shared" si="7"/>
        <v>69.5</v>
      </c>
      <c r="H109" s="459">
        <f t="shared" si="16"/>
        <v>-6.6779999999999973</v>
      </c>
      <c r="J109" s="496">
        <f t="shared" si="17"/>
        <v>0.13</v>
      </c>
      <c r="K109" s="229">
        <f t="shared" si="8"/>
        <v>-2.3411392992694902E-5</v>
      </c>
      <c r="M109" s="496">
        <f t="shared" si="9"/>
        <v>1.1494562188175479</v>
      </c>
      <c r="N109" s="224">
        <f t="shared" si="10"/>
        <v>483.1591428571428</v>
      </c>
      <c r="O109" s="366">
        <f t="shared" si="11"/>
        <v>0</v>
      </c>
      <c r="P109" s="367">
        <f t="shared" si="12"/>
        <v>0.99981994478731273</v>
      </c>
      <c r="Q109" s="367">
        <f t="shared" si="13"/>
        <v>62.810688571428564</v>
      </c>
    </row>
    <row r="110" spans="2:18" ht="15" customHeight="1" x14ac:dyDescent="0.2">
      <c r="B110" s="185">
        <v>50</v>
      </c>
      <c r="C110" s="199">
        <f t="shared" si="14"/>
        <v>572.4457142857143</v>
      </c>
      <c r="D110" s="199">
        <f t="shared" si="6"/>
        <v>498.01571428571424</v>
      </c>
      <c r="E110" s="197">
        <v>74.430000000000007</v>
      </c>
      <c r="F110" s="232">
        <f t="shared" si="15"/>
        <v>0.13002106250873446</v>
      </c>
      <c r="G110" s="460">
        <f t="shared" si="7"/>
        <v>81.400000000000006</v>
      </c>
      <c r="H110" s="461">
        <f t="shared" si="16"/>
        <v>-6.9699999999999989</v>
      </c>
      <c r="J110" s="497">
        <f t="shared" si="17"/>
        <v>0.13</v>
      </c>
      <c r="K110" s="230">
        <f t="shared" si="8"/>
        <v>-2.1062508734459584E-5</v>
      </c>
      <c r="M110" s="497">
        <f t="shared" si="9"/>
        <v>1.1494531153635428</v>
      </c>
      <c r="N110" s="225">
        <f t="shared" si="10"/>
        <v>572.4457142857143</v>
      </c>
      <c r="O110" s="366">
        <f t="shared" si="11"/>
        <v>0</v>
      </c>
      <c r="P110" s="367">
        <f t="shared" si="12"/>
        <v>0.99983800694804315</v>
      </c>
      <c r="Q110" s="369">
        <f t="shared" si="13"/>
        <v>74.417942857142862</v>
      </c>
    </row>
    <row r="111" spans="2:18" ht="15" customHeight="1" x14ac:dyDescent="0.2">
      <c r="K111" s="72"/>
    </row>
    <row r="112" spans="2:18" ht="15" customHeight="1" x14ac:dyDescent="0.2">
      <c r="K112" s="72"/>
    </row>
    <row r="113" spans="1:19" ht="15" customHeight="1" x14ac:dyDescent="0.2">
      <c r="A113" s="169" t="s">
        <v>157</v>
      </c>
      <c r="B113" s="143" t="s">
        <v>158</v>
      </c>
      <c r="I113" s="72"/>
    </row>
    <row r="114" spans="1:19" ht="15" customHeight="1" x14ac:dyDescent="0.2">
      <c r="A114" s="169"/>
      <c r="B114" s="54" t="s">
        <v>272</v>
      </c>
      <c r="I114" s="72"/>
    </row>
    <row r="115" spans="1:19" ht="15" customHeight="1" x14ac:dyDescent="0.2">
      <c r="A115" s="169"/>
      <c r="B115" s="54" t="s">
        <v>271</v>
      </c>
      <c r="I115" s="72"/>
    </row>
    <row r="116" spans="1:19" ht="15" customHeight="1" x14ac:dyDescent="0.2">
      <c r="A116" s="169"/>
      <c r="B116" s="54" t="s">
        <v>270</v>
      </c>
      <c r="I116" s="72"/>
    </row>
    <row r="117" spans="1:19" ht="15" customHeight="1" x14ac:dyDescent="0.2">
      <c r="A117" s="169"/>
      <c r="B117" s="54" t="s">
        <v>269</v>
      </c>
      <c r="I117" s="72"/>
    </row>
    <row r="118" spans="1:19" ht="15" customHeight="1" x14ac:dyDescent="0.2">
      <c r="A118" s="169"/>
      <c r="B118" s="54" t="s">
        <v>273</v>
      </c>
      <c r="I118" s="72"/>
    </row>
    <row r="119" spans="1:19" ht="15" customHeight="1" x14ac:dyDescent="0.2">
      <c r="A119" s="169"/>
      <c r="B119" s="54" t="s">
        <v>274</v>
      </c>
      <c r="I119" s="72"/>
    </row>
    <row r="120" spans="1:19" ht="15" customHeight="1" x14ac:dyDescent="0.2">
      <c r="B120" s="54" t="s">
        <v>275</v>
      </c>
      <c r="I120" s="72"/>
    </row>
    <row r="121" spans="1:19" ht="15" customHeight="1" x14ac:dyDescent="0.2">
      <c r="B121" s="54" t="s">
        <v>241</v>
      </c>
      <c r="I121" s="72"/>
    </row>
    <row r="122" spans="1:19" ht="15" customHeight="1" x14ac:dyDescent="0.2">
      <c r="I122" s="72"/>
      <c r="P122" s="387" t="s">
        <v>231</v>
      </c>
    </row>
    <row r="123" spans="1:19" ht="15" customHeight="1" x14ac:dyDescent="0.2">
      <c r="I123" s="72"/>
      <c r="M123" s="386" t="s">
        <v>229</v>
      </c>
    </row>
    <row r="124" spans="1:19" ht="15" customHeight="1" x14ac:dyDescent="0.2">
      <c r="D124" s="293" t="s">
        <v>240</v>
      </c>
      <c r="I124" s="72"/>
    </row>
    <row r="125" spans="1:19" ht="15" customHeight="1" x14ac:dyDescent="0.2">
      <c r="F125" s="72"/>
      <c r="G125" s="72"/>
      <c r="H125" s="72"/>
      <c r="I125" s="72"/>
      <c r="J125" s="439" t="s">
        <v>351</v>
      </c>
      <c r="K125" s="293"/>
      <c r="L125" s="293"/>
      <c r="M125" s="196" t="s">
        <v>276</v>
      </c>
      <c r="O125" s="72"/>
      <c r="P125" s="72"/>
      <c r="Q125" s="72"/>
    </row>
    <row r="126" spans="1:19" ht="15" customHeight="1" x14ac:dyDescent="0.2">
      <c r="B126" s="195"/>
      <c r="C126" s="170" t="s">
        <v>133</v>
      </c>
      <c r="D126" s="170" t="s">
        <v>133</v>
      </c>
      <c r="E126" s="284" t="s">
        <v>133</v>
      </c>
      <c r="F126" s="278" t="s">
        <v>133</v>
      </c>
      <c r="G126" s="278" t="s">
        <v>133</v>
      </c>
      <c r="H126" s="332" t="str">
        <f>J99</f>
        <v>aver</v>
      </c>
      <c r="I126" s="196" t="s">
        <v>111</v>
      </c>
      <c r="J126" s="388" t="s">
        <v>180</v>
      </c>
      <c r="K126" s="388" t="s">
        <v>181</v>
      </c>
      <c r="L126" s="170" t="s">
        <v>50</v>
      </c>
      <c r="M126" s="196" t="s">
        <v>50</v>
      </c>
      <c r="O126" s="170" t="s">
        <v>111</v>
      </c>
      <c r="P126" s="170" t="s">
        <v>111</v>
      </c>
      <c r="Q126" s="284" t="s">
        <v>111</v>
      </c>
      <c r="R126" s="495" t="s">
        <v>374</v>
      </c>
      <c r="S126" s="482" t="s">
        <v>372</v>
      </c>
    </row>
    <row r="127" spans="1:19" ht="15" customHeight="1" x14ac:dyDescent="0.2">
      <c r="B127" s="195"/>
      <c r="C127" s="174" t="s">
        <v>117</v>
      </c>
      <c r="D127" s="163" t="s">
        <v>118</v>
      </c>
      <c r="E127" s="196" t="s">
        <v>109</v>
      </c>
      <c r="F127" s="183" t="s">
        <v>110</v>
      </c>
      <c r="G127" s="183" t="s">
        <v>112</v>
      </c>
      <c r="H127" s="332" t="s">
        <v>105</v>
      </c>
      <c r="I127" s="388" t="s">
        <v>232</v>
      </c>
      <c r="J127" s="388" t="s">
        <v>232</v>
      </c>
      <c r="K127" s="388" t="s">
        <v>239</v>
      </c>
      <c r="L127" s="174" t="s">
        <v>233</v>
      </c>
      <c r="M127" s="196" t="s">
        <v>232</v>
      </c>
      <c r="O127" s="174" t="s">
        <v>232</v>
      </c>
      <c r="P127" s="174" t="s">
        <v>233</v>
      </c>
      <c r="Q127" s="481" t="s">
        <v>118</v>
      </c>
      <c r="R127" s="483" t="s">
        <v>370</v>
      </c>
      <c r="S127" s="484" t="s">
        <v>112</v>
      </c>
    </row>
    <row r="128" spans="1:19" ht="15" customHeight="1" x14ac:dyDescent="0.2">
      <c r="B128" s="195" t="s">
        <v>39</v>
      </c>
      <c r="C128" s="192" t="s">
        <v>235</v>
      </c>
      <c r="D128" s="192" t="s">
        <v>235</v>
      </c>
      <c r="E128" s="192" t="s">
        <v>235</v>
      </c>
      <c r="F128" s="331" t="s">
        <v>130</v>
      </c>
      <c r="G128" s="331" t="s">
        <v>130</v>
      </c>
      <c r="H128" s="391" t="s">
        <v>235</v>
      </c>
      <c r="I128" s="192" t="s">
        <v>234</v>
      </c>
      <c r="J128" s="192" t="s">
        <v>238</v>
      </c>
      <c r="K128" s="192" t="s">
        <v>235</v>
      </c>
      <c r="L128" s="192" t="s">
        <v>238</v>
      </c>
      <c r="M128" s="192" t="s">
        <v>238</v>
      </c>
      <c r="O128" s="192" t="s">
        <v>234</v>
      </c>
      <c r="P128" s="192" t="s">
        <v>234</v>
      </c>
      <c r="Q128" s="285" t="s">
        <v>234</v>
      </c>
      <c r="R128" s="485" t="s">
        <v>371</v>
      </c>
      <c r="S128" s="486" t="s">
        <v>373</v>
      </c>
    </row>
    <row r="129" spans="1:23" ht="15" customHeight="1" x14ac:dyDescent="0.2">
      <c r="B129" s="185">
        <v>1</v>
      </c>
      <c r="C129" s="198">
        <f>(D129-J129)</f>
        <v>43.62272832324318</v>
      </c>
      <c r="D129" s="198">
        <f>(F129+G129+J129+K129+L129)</f>
        <v>116.62272832324318</v>
      </c>
      <c r="E129" s="198">
        <f>F129+G129</f>
        <v>22.822728323243179</v>
      </c>
      <c r="F129" s="198">
        <f t="shared" ref="F129:G138" si="18">D101</f>
        <v>22.508728323243179</v>
      </c>
      <c r="G129" s="254">
        <f t="shared" si="18"/>
        <v>0.314</v>
      </c>
      <c r="H129" s="234">
        <f>G129/E129</f>
        <v>1.3758214861639279E-2</v>
      </c>
      <c r="I129" s="198">
        <f>O129</f>
        <v>80.8</v>
      </c>
      <c r="J129" s="320">
        <v>73</v>
      </c>
      <c r="K129" s="395">
        <f>I129-J129</f>
        <v>7.7999999999999972</v>
      </c>
      <c r="L129" s="320">
        <v>13</v>
      </c>
      <c r="M129" s="320">
        <v>77</v>
      </c>
      <c r="O129" s="389">
        <v>80.8</v>
      </c>
      <c r="P129" s="320">
        <v>12</v>
      </c>
      <c r="Q129" s="323">
        <v>115</v>
      </c>
      <c r="R129" s="487">
        <f>D129-Q129</f>
        <v>1.6227283232431802</v>
      </c>
      <c r="S129" s="488">
        <f>G129-G30</f>
        <v>0.314</v>
      </c>
    </row>
    <row r="130" spans="1:23" ht="15" customHeight="1" x14ac:dyDescent="0.2">
      <c r="B130" s="185">
        <v>2</v>
      </c>
      <c r="C130" s="199">
        <f t="shared" ref="C130:C138" si="19">(D130-J130)</f>
        <v>66.08944469615048</v>
      </c>
      <c r="D130" s="199">
        <f t="shared" ref="D130:D138" si="20">(F130+G130+J130+K130+L130)</f>
        <v>139.08944469615048</v>
      </c>
      <c r="E130" s="199">
        <f t="shared" ref="E130:E135" si="21">F130+G130</f>
        <v>45.589444696150473</v>
      </c>
      <c r="F130" s="199">
        <f t="shared" si="18"/>
        <v>44.221444696150471</v>
      </c>
      <c r="G130" s="255">
        <f t="shared" si="18"/>
        <v>1.3680000000000001</v>
      </c>
      <c r="H130" s="235">
        <f t="shared" ref="H130:H138" si="22">G130/E130</f>
        <v>3.0006945886654167E-2</v>
      </c>
      <c r="I130" s="199">
        <f t="shared" ref="I130:I138" si="23">O130</f>
        <v>80.5</v>
      </c>
      <c r="J130" s="321">
        <v>73</v>
      </c>
      <c r="K130" s="396">
        <f t="shared" ref="K130:K138" si="24">I130-J130</f>
        <v>7.5</v>
      </c>
      <c r="L130" s="321">
        <v>13</v>
      </c>
      <c r="M130" s="321">
        <v>77</v>
      </c>
      <c r="O130" s="321">
        <v>80.5</v>
      </c>
      <c r="P130" s="321">
        <v>11.3</v>
      </c>
      <c r="Q130" s="324">
        <v>137</v>
      </c>
      <c r="R130" s="489">
        <f t="shared" ref="R130:R138" si="25">D130-Q130</f>
        <v>2.0894446961504798</v>
      </c>
      <c r="S130" s="490">
        <f t="shared" ref="S130:S138" si="26">G130-G31</f>
        <v>0.96800000000000008</v>
      </c>
    </row>
    <row r="131" spans="1:23" ht="15" customHeight="1" x14ac:dyDescent="0.2">
      <c r="B131" s="185">
        <v>3</v>
      </c>
      <c r="C131" s="200">
        <f t="shared" si="19"/>
        <v>85.349428262465352</v>
      </c>
      <c r="D131" s="200">
        <f t="shared" si="20"/>
        <v>158.34942826246535</v>
      </c>
      <c r="E131" s="200">
        <f t="shared" si="21"/>
        <v>65.349428262465352</v>
      </c>
      <c r="F131" s="200">
        <f t="shared" si="18"/>
        <v>62.373428262465353</v>
      </c>
      <c r="G131" s="256">
        <f t="shared" si="18"/>
        <v>2.976</v>
      </c>
      <c r="H131" s="236">
        <f t="shared" si="22"/>
        <v>4.5539801634489896E-2</v>
      </c>
      <c r="I131" s="200">
        <f t="shared" si="23"/>
        <v>80</v>
      </c>
      <c r="J131" s="322">
        <v>73</v>
      </c>
      <c r="K131" s="397">
        <f t="shared" si="24"/>
        <v>7</v>
      </c>
      <c r="L131" s="322">
        <v>13</v>
      </c>
      <c r="M131" s="322">
        <v>77</v>
      </c>
      <c r="O131" s="322">
        <v>80</v>
      </c>
      <c r="P131" s="322">
        <v>12.5</v>
      </c>
      <c r="Q131" s="325">
        <v>156</v>
      </c>
      <c r="R131" s="491">
        <f t="shared" si="25"/>
        <v>2.3494282624653522</v>
      </c>
      <c r="S131" s="492">
        <f t="shared" si="26"/>
        <v>1.476</v>
      </c>
    </row>
    <row r="132" spans="1:23" ht="15" customHeight="1" x14ac:dyDescent="0.2">
      <c r="B132" s="185">
        <v>4</v>
      </c>
      <c r="C132" s="200">
        <f t="shared" si="19"/>
        <v>102.44251866351988</v>
      </c>
      <c r="D132" s="200">
        <f t="shared" si="20"/>
        <v>175.44251866351988</v>
      </c>
      <c r="E132" s="200">
        <f t="shared" si="21"/>
        <v>82.742518663519888</v>
      </c>
      <c r="F132" s="200">
        <f t="shared" si="18"/>
        <v>77.690518663519896</v>
      </c>
      <c r="G132" s="256">
        <f t="shared" si="18"/>
        <v>5.0519999999999996</v>
      </c>
      <c r="H132" s="236">
        <f t="shared" si="22"/>
        <v>6.1056879601942324E-2</v>
      </c>
      <c r="I132" s="200">
        <f t="shared" si="23"/>
        <v>79.7</v>
      </c>
      <c r="J132" s="322">
        <v>73</v>
      </c>
      <c r="K132" s="397">
        <f t="shared" si="24"/>
        <v>6.7000000000000028</v>
      </c>
      <c r="L132" s="322">
        <v>13</v>
      </c>
      <c r="M132" s="322">
        <v>77</v>
      </c>
      <c r="O132" s="322">
        <v>79.7</v>
      </c>
      <c r="P132" s="322">
        <v>14.4</v>
      </c>
      <c r="Q132" s="325">
        <v>172</v>
      </c>
      <c r="R132" s="491">
        <f t="shared" si="25"/>
        <v>3.442518663519877</v>
      </c>
      <c r="S132" s="492">
        <f t="shared" si="26"/>
        <v>2.6519999999999997</v>
      </c>
    </row>
    <row r="133" spans="1:23" ht="15" customHeight="1" x14ac:dyDescent="0.2">
      <c r="B133" s="185">
        <v>5</v>
      </c>
      <c r="C133" s="199">
        <f t="shared" si="19"/>
        <v>117.81955554064615</v>
      </c>
      <c r="D133" s="199">
        <f t="shared" si="20"/>
        <v>190.81955554064615</v>
      </c>
      <c r="E133" s="199">
        <f t="shared" si="21"/>
        <v>98.219555540646155</v>
      </c>
      <c r="F133" s="199">
        <f t="shared" si="18"/>
        <v>90.898555540646157</v>
      </c>
      <c r="G133" s="255">
        <f t="shared" si="18"/>
        <v>7.3209999999999997</v>
      </c>
      <c r="H133" s="235">
        <f t="shared" si="22"/>
        <v>7.4537091516061207E-2</v>
      </c>
      <c r="I133" s="199">
        <f t="shared" si="23"/>
        <v>79.599999999999994</v>
      </c>
      <c r="J133" s="321">
        <v>73</v>
      </c>
      <c r="K133" s="396">
        <f t="shared" si="24"/>
        <v>6.5999999999999943</v>
      </c>
      <c r="L133" s="321">
        <v>13</v>
      </c>
      <c r="M133" s="321">
        <v>77</v>
      </c>
      <c r="O133" s="321">
        <v>79.599999999999994</v>
      </c>
      <c r="P133" s="321">
        <v>12.3</v>
      </c>
      <c r="Q133" s="324">
        <v>187</v>
      </c>
      <c r="R133" s="489">
        <f t="shared" si="25"/>
        <v>3.8195555406461494</v>
      </c>
      <c r="S133" s="490">
        <f t="shared" si="26"/>
        <v>3.3209999999999997</v>
      </c>
    </row>
    <row r="134" spans="1:23" ht="15" customHeight="1" x14ac:dyDescent="0.2">
      <c r="B134" s="185">
        <v>10</v>
      </c>
      <c r="C134" s="200">
        <f t="shared" si="19"/>
        <v>188.57851939984465</v>
      </c>
      <c r="D134" s="200">
        <f t="shared" si="20"/>
        <v>261.57851939984465</v>
      </c>
      <c r="E134" s="200">
        <f t="shared" si="21"/>
        <v>168.87851939984463</v>
      </c>
      <c r="F134" s="200">
        <f t="shared" si="18"/>
        <v>150.71151939984463</v>
      </c>
      <c r="G134" s="256">
        <f t="shared" si="18"/>
        <v>18.167000000000002</v>
      </c>
      <c r="H134" s="236">
        <f t="shared" si="22"/>
        <v>0.10757436804018258</v>
      </c>
      <c r="I134" s="200">
        <f t="shared" si="23"/>
        <v>79.7</v>
      </c>
      <c r="J134" s="322">
        <v>73</v>
      </c>
      <c r="K134" s="397">
        <f t="shared" si="24"/>
        <v>6.7000000000000028</v>
      </c>
      <c r="L134" s="322">
        <v>13</v>
      </c>
      <c r="M134" s="322">
        <v>77</v>
      </c>
      <c r="O134" s="322">
        <v>79.7</v>
      </c>
      <c r="P134" s="322">
        <v>11.6</v>
      </c>
      <c r="Q134" s="325">
        <v>257</v>
      </c>
      <c r="R134" s="491">
        <f t="shared" si="25"/>
        <v>4.5785193998446516</v>
      </c>
      <c r="S134" s="492">
        <f t="shared" si="26"/>
        <v>3.1670000000000016</v>
      </c>
    </row>
    <row r="135" spans="1:23" ht="15" customHeight="1" x14ac:dyDescent="0.2">
      <c r="B135" s="185">
        <v>20</v>
      </c>
      <c r="C135" s="200">
        <f t="shared" si="19"/>
        <v>309.42114285714297</v>
      </c>
      <c r="D135" s="200">
        <f t="shared" si="20"/>
        <v>382.42114285714297</v>
      </c>
      <c r="E135" s="200">
        <f t="shared" si="21"/>
        <v>289.82114285714295</v>
      </c>
      <c r="F135" s="200">
        <f t="shared" si="18"/>
        <v>252.13714285714292</v>
      </c>
      <c r="G135" s="256">
        <f t="shared" si="18"/>
        <v>37.683999999999997</v>
      </c>
      <c r="H135" s="236">
        <f t="shared" si="22"/>
        <v>0.13002502035738292</v>
      </c>
      <c r="I135" s="200">
        <f t="shared" si="23"/>
        <v>79.599999999999994</v>
      </c>
      <c r="J135" s="322">
        <v>73</v>
      </c>
      <c r="K135" s="397">
        <f t="shared" si="24"/>
        <v>6.5999999999999943</v>
      </c>
      <c r="L135" s="322">
        <v>13</v>
      </c>
      <c r="M135" s="322">
        <v>77</v>
      </c>
      <c r="O135" s="322">
        <v>79.599999999999994</v>
      </c>
      <c r="P135" s="322">
        <v>11.3</v>
      </c>
      <c r="Q135" s="325">
        <v>385</v>
      </c>
      <c r="R135" s="491">
        <f t="shared" si="25"/>
        <v>-2.5788571428570322</v>
      </c>
      <c r="S135" s="492">
        <f t="shared" si="26"/>
        <v>-4.2160000000000011</v>
      </c>
    </row>
    <row r="136" spans="1:23" ht="15" customHeight="1" x14ac:dyDescent="0.2">
      <c r="B136" s="185">
        <v>30</v>
      </c>
      <c r="C136" s="200">
        <f t="shared" si="19"/>
        <v>411.03928571428582</v>
      </c>
      <c r="D136" s="200">
        <f t="shared" si="20"/>
        <v>484.03928571428582</v>
      </c>
      <c r="E136" s="200">
        <f>F136+G136</f>
        <v>391.03928571428582</v>
      </c>
      <c r="F136" s="200">
        <f t="shared" si="18"/>
        <v>340.1942857142858</v>
      </c>
      <c r="G136" s="256">
        <f t="shared" si="18"/>
        <v>50.844999999999999</v>
      </c>
      <c r="H136" s="236">
        <f t="shared" si="22"/>
        <v>0.13002529888301317</v>
      </c>
      <c r="I136" s="200">
        <f t="shared" si="23"/>
        <v>80</v>
      </c>
      <c r="J136" s="322">
        <v>73</v>
      </c>
      <c r="K136" s="397">
        <f t="shared" si="24"/>
        <v>7</v>
      </c>
      <c r="L136" s="322">
        <v>13</v>
      </c>
      <c r="M136" s="322">
        <v>77</v>
      </c>
      <c r="O136" s="322">
        <v>80</v>
      </c>
      <c r="P136" s="322">
        <v>13.5</v>
      </c>
      <c r="Q136" s="325">
        <v>491</v>
      </c>
      <c r="R136" s="491">
        <f t="shared" si="25"/>
        <v>-6.9607142857141753</v>
      </c>
      <c r="S136" s="492">
        <f t="shared" si="26"/>
        <v>-6.5549999999999997</v>
      </c>
    </row>
    <row r="137" spans="1:23" ht="15" customHeight="1" x14ac:dyDescent="0.2">
      <c r="B137" s="185">
        <v>40</v>
      </c>
      <c r="C137" s="200">
        <f t="shared" si="19"/>
        <v>504.25914285714282</v>
      </c>
      <c r="D137" s="200">
        <f t="shared" si="20"/>
        <v>577.25914285714282</v>
      </c>
      <c r="E137" s="200">
        <f t="shared" ref="E137:E138" si="27">F137+G137</f>
        <v>483.1591428571428</v>
      </c>
      <c r="F137" s="200">
        <f t="shared" si="18"/>
        <v>420.33714285714279</v>
      </c>
      <c r="G137" s="256">
        <f t="shared" si="18"/>
        <v>62.822000000000003</v>
      </c>
      <c r="H137" s="236">
        <f t="shared" si="22"/>
        <v>0.1300234113929927</v>
      </c>
      <c r="I137" s="200">
        <f t="shared" si="23"/>
        <v>81.099999999999994</v>
      </c>
      <c r="J137" s="322">
        <v>73</v>
      </c>
      <c r="K137" s="397">
        <f t="shared" si="24"/>
        <v>8.0999999999999943</v>
      </c>
      <c r="L137" s="322">
        <v>13</v>
      </c>
      <c r="M137" s="322">
        <v>78</v>
      </c>
      <c r="O137" s="322">
        <v>81.099999999999994</v>
      </c>
      <c r="P137" s="322">
        <v>15</v>
      </c>
      <c r="Q137" s="325">
        <v>586</v>
      </c>
      <c r="R137" s="491">
        <f t="shared" si="25"/>
        <v>-8.7408571428571804</v>
      </c>
      <c r="S137" s="492">
        <f t="shared" si="26"/>
        <v>-6.6779999999999973</v>
      </c>
    </row>
    <row r="138" spans="1:23" ht="15" customHeight="1" x14ac:dyDescent="0.2">
      <c r="B138" s="185">
        <v>50</v>
      </c>
      <c r="C138" s="199">
        <f t="shared" si="19"/>
        <v>595.14571428571435</v>
      </c>
      <c r="D138" s="199">
        <f t="shared" si="20"/>
        <v>668.14571428571435</v>
      </c>
      <c r="E138" s="199">
        <f t="shared" si="27"/>
        <v>572.4457142857143</v>
      </c>
      <c r="F138" s="199">
        <f t="shared" si="18"/>
        <v>498.01571428571424</v>
      </c>
      <c r="G138" s="255">
        <f t="shared" si="18"/>
        <v>74.430000000000007</v>
      </c>
      <c r="H138" s="235">
        <f t="shared" si="22"/>
        <v>0.13002106250873446</v>
      </c>
      <c r="I138" s="199">
        <f t="shared" si="23"/>
        <v>82.7</v>
      </c>
      <c r="J138" s="321">
        <v>73</v>
      </c>
      <c r="K138" s="396">
        <f t="shared" si="24"/>
        <v>9.7000000000000028</v>
      </c>
      <c r="L138" s="321">
        <v>13</v>
      </c>
      <c r="M138" s="321">
        <v>79</v>
      </c>
      <c r="O138" s="321">
        <v>82.7</v>
      </c>
      <c r="P138" s="321">
        <v>14.9</v>
      </c>
      <c r="Q138" s="324">
        <v>677</v>
      </c>
      <c r="R138" s="493">
        <f t="shared" si="25"/>
        <v>-8.8542857142856519</v>
      </c>
      <c r="S138" s="494">
        <f t="shared" si="26"/>
        <v>-6.9699999999999989</v>
      </c>
    </row>
    <row r="139" spans="1:23" ht="15" customHeight="1" x14ac:dyDescent="0.2">
      <c r="I139" s="72"/>
    </row>
    <row r="140" spans="1:23" ht="15" customHeight="1" x14ac:dyDescent="0.2">
      <c r="I140" s="72"/>
      <c r="P140" s="513">
        <f>SUM(P129:P133)/5</f>
        <v>12.5</v>
      </c>
      <c r="Q140" s="510" t="s">
        <v>389</v>
      </c>
    </row>
    <row r="141" spans="1:23" x14ac:dyDescent="0.2">
      <c r="A141" s="169" t="s">
        <v>159</v>
      </c>
      <c r="B141" s="143" t="s">
        <v>160</v>
      </c>
      <c r="I141" s="72"/>
    </row>
    <row r="142" spans="1:23" ht="15" customHeight="1" x14ac:dyDescent="0.2">
      <c r="Q142" s="50" t="s">
        <v>247</v>
      </c>
    </row>
    <row r="143" spans="1:23" ht="15" customHeight="1" x14ac:dyDescent="0.2">
      <c r="B143" s="169" t="s">
        <v>168</v>
      </c>
      <c r="C143" s="83"/>
      <c r="I143" s="72"/>
      <c r="W143" t="s">
        <v>254</v>
      </c>
    </row>
    <row r="144" spans="1:23" ht="15" customHeight="1" x14ac:dyDescent="0.2">
      <c r="B144" s="143" t="s">
        <v>169</v>
      </c>
      <c r="C144" s="83"/>
      <c r="D144" s="83"/>
      <c r="E144" s="83"/>
      <c r="F144" s="83"/>
      <c r="G144" s="83"/>
      <c r="H144" s="83"/>
      <c r="I144" s="83"/>
      <c r="J144" s="83"/>
      <c r="K144" s="83"/>
      <c r="L144" s="83"/>
      <c r="Q144" s="54" t="s">
        <v>245</v>
      </c>
    </row>
    <row r="145" spans="2:30" ht="15" customHeight="1" x14ac:dyDescent="0.2">
      <c r="B145" s="169" t="s">
        <v>170</v>
      </c>
      <c r="C145" s="83"/>
      <c r="D145" s="83"/>
      <c r="E145" s="83"/>
      <c r="F145" s="385" t="s">
        <v>230</v>
      </c>
      <c r="G145" s="83"/>
      <c r="H145" s="83"/>
      <c r="I145" s="54" t="s">
        <v>62</v>
      </c>
      <c r="J145" s="83"/>
      <c r="K145" s="83"/>
      <c r="Q145" s="54" t="s">
        <v>246</v>
      </c>
    </row>
    <row r="146" spans="2:30" ht="15" customHeight="1" x14ac:dyDescent="0.2">
      <c r="D146" s="118"/>
      <c r="H146" s="59" t="s">
        <v>23</v>
      </c>
      <c r="I146" s="60"/>
      <c r="J146" s="60"/>
      <c r="K146" s="61"/>
      <c r="L146" s="59" t="s">
        <v>29</v>
      </c>
      <c r="M146" s="60"/>
      <c r="N146" s="61"/>
      <c r="O146" s="163"/>
      <c r="P146" s="170" t="s">
        <v>133</v>
      </c>
      <c r="Q146" t="s">
        <v>194</v>
      </c>
    </row>
    <row r="147" spans="2:30" ht="15" customHeight="1" x14ac:dyDescent="0.2">
      <c r="C147" s="84"/>
      <c r="D147" s="119"/>
      <c r="F147" s="383" t="s">
        <v>161</v>
      </c>
      <c r="G147" s="380" t="s">
        <v>196</v>
      </c>
      <c r="H147" s="35" t="s">
        <v>24</v>
      </c>
      <c r="I147" s="238" t="s">
        <v>104</v>
      </c>
      <c r="J147" s="21"/>
      <c r="K147" s="22"/>
      <c r="L147" s="35" t="s">
        <v>30</v>
      </c>
      <c r="M147" s="238" t="s">
        <v>117</v>
      </c>
      <c r="N147" s="43"/>
      <c r="O147" s="163"/>
      <c r="P147" s="174" t="s">
        <v>117</v>
      </c>
      <c r="Q147" s="333" t="e">
        <f>P147/M147</f>
        <v>#DIV/0!</v>
      </c>
      <c r="R147" s="333" t="e">
        <f>G147*Q147</f>
        <v>#DIV/0!</v>
      </c>
      <c r="S147" s="346" t="s">
        <v>207</v>
      </c>
      <c r="W147" t="s">
        <v>251</v>
      </c>
      <c r="Y147" t="s">
        <v>252</v>
      </c>
      <c r="AA147" t="s">
        <v>253</v>
      </c>
    </row>
    <row r="148" spans="2:30" ht="15" customHeight="1" x14ac:dyDescent="0.2">
      <c r="B148" s="335" t="s">
        <v>15</v>
      </c>
      <c r="C148" s="336"/>
      <c r="D148" s="337"/>
      <c r="E148" s="382" t="s">
        <v>39</v>
      </c>
      <c r="F148" s="384" t="s">
        <v>61</v>
      </c>
      <c r="G148" s="381" t="s">
        <v>197</v>
      </c>
      <c r="H148" s="37" t="s">
        <v>25</v>
      </c>
      <c r="I148" s="38" t="s">
        <v>27</v>
      </c>
      <c r="J148" s="1"/>
      <c r="K148" s="39"/>
      <c r="L148" s="37" t="s">
        <v>31</v>
      </c>
      <c r="M148" s="38" t="s">
        <v>33</v>
      </c>
      <c r="N148" s="25"/>
      <c r="O148" s="163" t="s">
        <v>39</v>
      </c>
      <c r="P148" s="192" t="s">
        <v>131</v>
      </c>
      <c r="Q148" s="344" t="s">
        <v>192</v>
      </c>
      <c r="R148" s="344" t="s">
        <v>193</v>
      </c>
      <c r="W148" t="s">
        <v>248</v>
      </c>
      <c r="Y148" t="s">
        <v>249</v>
      </c>
      <c r="AA148" t="s">
        <v>250</v>
      </c>
    </row>
    <row r="149" spans="2:30" ht="15" customHeight="1" x14ac:dyDescent="0.2">
      <c r="B149" s="338" t="s">
        <v>16</v>
      </c>
      <c r="C149" s="24" t="s">
        <v>19</v>
      </c>
      <c r="D149" s="339">
        <v>2.46</v>
      </c>
      <c r="E149" s="334">
        <v>1</v>
      </c>
      <c r="F149" s="328">
        <v>1.1297649207126139</v>
      </c>
      <c r="G149" s="201">
        <v>1.3888371862908135</v>
      </c>
      <c r="H149" s="62">
        <f>(D150*2.20462*25.4*12)</f>
        <v>3359.8408799999997</v>
      </c>
      <c r="I149" s="14">
        <f>F149*D$149*SQRT(4*D$151*H$149/32.2)/12</f>
        <v>43.622728323243173</v>
      </c>
      <c r="J149" s="1"/>
      <c r="K149" s="39"/>
      <c r="L149" s="175">
        <v>1</v>
      </c>
      <c r="M149" s="171">
        <f>L149*I149</f>
        <v>43.622728323243173</v>
      </c>
      <c r="N149" s="25"/>
      <c r="O149" s="163">
        <v>1</v>
      </c>
      <c r="P149" s="171">
        <f>C129</f>
        <v>43.62272832324318</v>
      </c>
      <c r="Q149" s="333">
        <v>0.81346102470793746</v>
      </c>
      <c r="R149" s="333">
        <v>1.1297649207126139</v>
      </c>
      <c r="S149" s="346" t="s">
        <v>215</v>
      </c>
      <c r="W149" s="58">
        <v>1</v>
      </c>
      <c r="X149" s="328">
        <v>1.2719377964304703</v>
      </c>
      <c r="Y149" s="334">
        <v>1</v>
      </c>
      <c r="Z149" s="328">
        <v>1.214204604920285</v>
      </c>
      <c r="AA149" s="334">
        <v>1</v>
      </c>
      <c r="AB149" s="328">
        <v>1.0520690888441584</v>
      </c>
    </row>
    <row r="150" spans="2:30" ht="15" customHeight="1" x14ac:dyDescent="0.2">
      <c r="B150" s="338" t="s">
        <v>17</v>
      </c>
      <c r="C150" s="24" t="s">
        <v>20</v>
      </c>
      <c r="D150" s="339">
        <v>5</v>
      </c>
      <c r="E150" s="334">
        <v>2</v>
      </c>
      <c r="F150" s="329">
        <v>0.85581002286030372</v>
      </c>
      <c r="G150" s="202">
        <v>1.0342004042915363</v>
      </c>
      <c r="H150" s="63"/>
      <c r="I150" s="14">
        <f t="shared" ref="I150:I158" si="28">F150*D$149*SQRT(4*D$151*H$149/32.2)/12</f>
        <v>33.044722348075233</v>
      </c>
      <c r="J150" s="1"/>
      <c r="K150" s="39"/>
      <c r="L150" s="176">
        <v>2</v>
      </c>
      <c r="M150" s="172">
        <f>L150*I150</f>
        <v>66.089444696150466</v>
      </c>
      <c r="N150" s="25"/>
      <c r="O150" s="163">
        <v>2</v>
      </c>
      <c r="P150" s="172">
        <f t="shared" ref="P150:P158" si="29">C130</f>
        <v>66.08944469615048</v>
      </c>
      <c r="Q150" s="333">
        <v>0.82750888445703497</v>
      </c>
      <c r="R150" s="333">
        <v>0.85581002286030372</v>
      </c>
      <c r="S150" s="346" t="s">
        <v>216</v>
      </c>
      <c r="W150" s="58">
        <v>2</v>
      </c>
      <c r="X150" s="329">
        <v>0.96145357598157333</v>
      </c>
      <c r="Y150" s="334">
        <v>2</v>
      </c>
      <c r="Z150" s="329">
        <v>0.94178558278660662</v>
      </c>
      <c r="AA150" s="334">
        <v>2</v>
      </c>
      <c r="AB150" s="329">
        <v>0.81696163592350124</v>
      </c>
    </row>
    <row r="151" spans="2:30" ht="15" customHeight="1" x14ac:dyDescent="0.2">
      <c r="B151" s="340" t="s">
        <v>18</v>
      </c>
      <c r="C151" s="341" t="s">
        <v>28</v>
      </c>
      <c r="D151" s="342">
        <v>85</v>
      </c>
      <c r="E151" s="334">
        <v>3</v>
      </c>
      <c r="F151" s="328">
        <v>0.73680849227117073</v>
      </c>
      <c r="G151" s="201">
        <v>0.89719463247261089</v>
      </c>
      <c r="H151" s="63"/>
      <c r="I151" s="14">
        <f t="shared" si="28"/>
        <v>28.449809420821783</v>
      </c>
      <c r="J151" s="1"/>
      <c r="K151" s="39"/>
      <c r="L151" s="177">
        <v>3</v>
      </c>
      <c r="M151" s="173">
        <f t="shared" ref="M151:M157" si="30">L151*I151</f>
        <v>85.349428262465352</v>
      </c>
      <c r="N151" s="25"/>
      <c r="O151" s="163">
        <v>3</v>
      </c>
      <c r="P151" s="173">
        <f t="shared" si="29"/>
        <v>85.349428262465352</v>
      </c>
      <c r="Q151" s="333">
        <v>0.8212359566179902</v>
      </c>
      <c r="R151" s="333">
        <v>0.73680849227117073</v>
      </c>
      <c r="W151" s="58">
        <v>3</v>
      </c>
      <c r="X151" s="328">
        <v>0.82946548223307215</v>
      </c>
      <c r="Y151" s="334">
        <v>3</v>
      </c>
      <c r="Z151" s="328">
        <v>0.83143438654578949</v>
      </c>
      <c r="AA151" s="334">
        <v>3</v>
      </c>
      <c r="AB151" s="328">
        <v>0.71089158053897417</v>
      </c>
    </row>
    <row r="152" spans="2:30" ht="15" customHeight="1" x14ac:dyDescent="0.2">
      <c r="E152" s="58">
        <v>4</v>
      </c>
      <c r="F152" s="328">
        <v>0.66327788531411769</v>
      </c>
      <c r="G152" s="201">
        <v>0.81785549927044798</v>
      </c>
      <c r="H152" s="63"/>
      <c r="I152" s="14">
        <f t="shared" si="28"/>
        <v>25.610629665879969</v>
      </c>
      <c r="J152" s="1"/>
      <c r="K152" s="39"/>
      <c r="L152" s="177">
        <v>4</v>
      </c>
      <c r="M152" s="173">
        <f t="shared" si="30"/>
        <v>102.44251866351988</v>
      </c>
      <c r="N152" s="25"/>
      <c r="O152" s="163">
        <v>4</v>
      </c>
      <c r="P152" s="173">
        <f t="shared" si="29"/>
        <v>102.44251866351988</v>
      </c>
      <c r="Q152" s="333">
        <v>0.81099642406975525</v>
      </c>
      <c r="R152" s="333">
        <v>0.66327788531411769</v>
      </c>
      <c r="W152" s="58">
        <v>4</v>
      </c>
      <c r="X152" s="328">
        <v>0.74932421258594284</v>
      </c>
      <c r="Y152" s="58">
        <v>4</v>
      </c>
      <c r="Z152" s="328">
        <v>0.76534004310976567</v>
      </c>
      <c r="AA152" s="58">
        <v>4</v>
      </c>
      <c r="AB152" s="328">
        <v>0.64386512626185421</v>
      </c>
    </row>
    <row r="153" spans="2:30" ht="15" customHeight="1" x14ac:dyDescent="0.2">
      <c r="B153" s="347" t="s">
        <v>209</v>
      </c>
      <c r="E153" s="58">
        <v>5</v>
      </c>
      <c r="F153" s="329">
        <v>0.61027086539587361</v>
      </c>
      <c r="G153" s="202">
        <v>0.76262465808846736</v>
      </c>
      <c r="H153" s="63"/>
      <c r="I153" s="14">
        <f t="shared" si="28"/>
        <v>23.563911108129229</v>
      </c>
      <c r="J153" s="1"/>
      <c r="K153" s="39"/>
      <c r="L153" s="176">
        <v>5</v>
      </c>
      <c r="M153" s="172">
        <f t="shared" si="30"/>
        <v>117.81955554064615</v>
      </c>
      <c r="N153" s="25"/>
      <c r="O153" s="163">
        <v>5</v>
      </c>
      <c r="P153" s="172">
        <f t="shared" si="29"/>
        <v>117.81955554064615</v>
      </c>
      <c r="Q153" s="333">
        <v>0.80022440780439585</v>
      </c>
      <c r="R153" s="333">
        <v>0.61027086539587361</v>
      </c>
      <c r="W153" s="58">
        <v>5</v>
      </c>
      <c r="X153" s="329">
        <v>0.69127712745711423</v>
      </c>
      <c r="Y153" s="58">
        <v>5</v>
      </c>
      <c r="Z153" s="329">
        <v>0.71786624837291457</v>
      </c>
      <c r="AA153" s="58">
        <v>5</v>
      </c>
      <c r="AB153" s="329">
        <v>0.59470835295325186</v>
      </c>
    </row>
    <row r="154" spans="2:30" ht="15" customHeight="1" x14ac:dyDescent="0.2">
      <c r="B154" s="85" t="s">
        <v>208</v>
      </c>
      <c r="E154" s="58">
        <v>10</v>
      </c>
      <c r="F154" s="328">
        <v>0.48839080957792841</v>
      </c>
      <c r="G154" s="201">
        <v>0.60019353355614069</v>
      </c>
      <c r="H154" s="63"/>
      <c r="I154" s="14">
        <f t="shared" si="28"/>
        <v>18.857851939984467</v>
      </c>
      <c r="J154" s="1"/>
      <c r="K154" s="39"/>
      <c r="L154" s="177">
        <v>10</v>
      </c>
      <c r="M154" s="173">
        <f t="shared" si="30"/>
        <v>188.57851939984468</v>
      </c>
      <c r="N154" s="25"/>
      <c r="O154" s="163">
        <v>10</v>
      </c>
      <c r="P154" s="173">
        <f t="shared" si="29"/>
        <v>188.57851939984465</v>
      </c>
      <c r="Q154" s="333">
        <v>0.81372221170764325</v>
      </c>
      <c r="R154" s="333">
        <v>0.48839080957792841</v>
      </c>
      <c r="W154" s="58">
        <v>10</v>
      </c>
      <c r="X154" s="328">
        <v>0.53698545571268352</v>
      </c>
      <c r="Y154" s="58">
        <v>10</v>
      </c>
      <c r="Z154" s="328">
        <v>0.57439876697917092</v>
      </c>
      <c r="AA154" s="58">
        <v>10</v>
      </c>
      <c r="AB154" s="328">
        <v>0.47969906728214473</v>
      </c>
    </row>
    <row r="155" spans="2:30" ht="15" customHeight="1" x14ac:dyDescent="0.2">
      <c r="E155" s="58">
        <v>20</v>
      </c>
      <c r="F155" s="328">
        <v>0.40067777322005105</v>
      </c>
      <c r="G155" s="201">
        <v>0.47690914197366402</v>
      </c>
      <c r="H155" s="63"/>
      <c r="I155" s="14">
        <f t="shared" si="28"/>
        <v>15.47105714285715</v>
      </c>
      <c r="J155" s="1"/>
      <c r="K155" s="39"/>
      <c r="L155" s="177">
        <v>20</v>
      </c>
      <c r="M155" s="173">
        <f t="shared" si="30"/>
        <v>309.42114285714302</v>
      </c>
      <c r="N155" s="25"/>
      <c r="O155" s="163">
        <v>20</v>
      </c>
      <c r="P155" s="173">
        <f t="shared" si="29"/>
        <v>309.42114285714297</v>
      </c>
      <c r="Q155" s="333">
        <v>0.84015536284724301</v>
      </c>
      <c r="R155" s="333">
        <v>0.40067777322005105</v>
      </c>
      <c r="W155" s="58">
        <v>20</v>
      </c>
      <c r="X155" s="328">
        <v>0.43470787984188836</v>
      </c>
      <c r="Y155" s="58">
        <v>20</v>
      </c>
      <c r="Z155" s="328">
        <v>0.47089010691917027</v>
      </c>
      <c r="AA155" s="58">
        <v>20</v>
      </c>
      <c r="AB155" s="328">
        <v>0.39728546236880097</v>
      </c>
    </row>
    <row r="156" spans="2:30" ht="15" customHeight="1" x14ac:dyDescent="0.2">
      <c r="E156" s="58">
        <v>30</v>
      </c>
      <c r="F156" s="328">
        <v>0.35484389589584542</v>
      </c>
      <c r="G156" s="201">
        <v>0.42394668757173437</v>
      </c>
      <c r="H156" s="63"/>
      <c r="I156" s="14">
        <f t="shared" si="28"/>
        <v>13.701309523809522</v>
      </c>
      <c r="J156" s="1"/>
      <c r="K156" s="39"/>
      <c r="L156" s="177">
        <v>30</v>
      </c>
      <c r="M156" s="173">
        <f>L156*I156</f>
        <v>411.03928571428565</v>
      </c>
      <c r="N156" s="25"/>
      <c r="O156" s="163">
        <v>30</v>
      </c>
      <c r="P156" s="173">
        <f t="shared" si="29"/>
        <v>411.03928571428582</v>
      </c>
      <c r="Q156" s="333">
        <v>0.83700122279125877</v>
      </c>
      <c r="R156" s="333">
        <v>0.35484389589584542</v>
      </c>
      <c r="W156" s="58">
        <v>30</v>
      </c>
      <c r="X156" s="328">
        <v>0.38179437755434958</v>
      </c>
      <c r="Y156" s="58">
        <v>30</v>
      </c>
      <c r="Z156" s="328">
        <v>0.41902719697489649</v>
      </c>
      <c r="AA156" s="58">
        <v>30</v>
      </c>
      <c r="AB156" s="328">
        <v>0.35234672795609262</v>
      </c>
    </row>
    <row r="157" spans="2:30" ht="15" customHeight="1" x14ac:dyDescent="0.2">
      <c r="E157" s="58">
        <v>40</v>
      </c>
      <c r="F157" s="328">
        <v>0.32648937402951517</v>
      </c>
      <c r="G157" s="201">
        <v>0.38953324298813469</v>
      </c>
      <c r="H157" s="63"/>
      <c r="I157" s="14">
        <f t="shared" si="28"/>
        <v>12.606478571428573</v>
      </c>
      <c r="J157" s="1"/>
      <c r="K157" s="39"/>
      <c r="L157" s="177">
        <v>40</v>
      </c>
      <c r="M157" s="173">
        <f t="shared" si="30"/>
        <v>504.25914285714293</v>
      </c>
      <c r="N157" s="25"/>
      <c r="O157" s="163">
        <v>40</v>
      </c>
      <c r="P157" s="205">
        <f t="shared" si="29"/>
        <v>504.25914285714282</v>
      </c>
      <c r="Q157" s="333">
        <v>0.83815535620270576</v>
      </c>
      <c r="R157" s="333">
        <v>0.32648937402951517</v>
      </c>
      <c r="W157" s="58">
        <v>40</v>
      </c>
      <c r="X157" s="328">
        <v>0.34849284928886071</v>
      </c>
      <c r="Y157" s="58">
        <v>40</v>
      </c>
      <c r="Z157" s="328">
        <v>0.38382582895724304</v>
      </c>
      <c r="AA157" s="58">
        <v>40</v>
      </c>
      <c r="AB157" s="328">
        <v>0.32362286363689469</v>
      </c>
    </row>
    <row r="158" spans="2:30" ht="15" customHeight="1" x14ac:dyDescent="0.2">
      <c r="E158" s="58">
        <v>50</v>
      </c>
      <c r="F158" s="329">
        <v>0.30826808709908021</v>
      </c>
      <c r="G158" s="202">
        <v>0.36258913574738344</v>
      </c>
      <c r="H158" s="64"/>
      <c r="I158" s="41">
        <f t="shared" si="28"/>
        <v>11.902914285714287</v>
      </c>
      <c r="J158" s="42"/>
      <c r="K158" s="31"/>
      <c r="L158" s="178">
        <v>50</v>
      </c>
      <c r="M158" s="179">
        <f>L158*I158</f>
        <v>595.14571428571435</v>
      </c>
      <c r="N158" s="28"/>
      <c r="O158" s="186">
        <v>50</v>
      </c>
      <c r="P158" s="206">
        <f t="shared" si="29"/>
        <v>595.14571428571435</v>
      </c>
      <c r="Q158" s="333">
        <v>0.85018566941799156</v>
      </c>
      <c r="R158" s="333">
        <v>0.30826808709908021</v>
      </c>
      <c r="W158" s="58">
        <v>50</v>
      </c>
      <c r="X158" s="329">
        <v>0.32816631833683368</v>
      </c>
      <c r="Y158" s="58">
        <v>50</v>
      </c>
      <c r="Z158" s="329">
        <v>0.35861669533023494</v>
      </c>
      <c r="AA158" s="58">
        <v>50</v>
      </c>
      <c r="AB158" s="329">
        <v>0.3056214303270221</v>
      </c>
    </row>
    <row r="159" spans="2:30" ht="15" customHeight="1" x14ac:dyDescent="0.2">
      <c r="E159" s="3"/>
      <c r="F159" s="239"/>
      <c r="G159" s="239"/>
      <c r="H159" s="83"/>
      <c r="I159" s="240"/>
      <c r="J159" s="83"/>
      <c r="K159" s="83"/>
      <c r="L159" s="241"/>
      <c r="M159" s="241"/>
      <c r="N159" s="145"/>
      <c r="O159" s="242"/>
      <c r="P159" s="241"/>
    </row>
    <row r="160" spans="2:30" ht="15" customHeight="1" x14ac:dyDescent="0.2">
      <c r="E160" s="3"/>
      <c r="F160" s="239"/>
      <c r="G160" s="239"/>
      <c r="H160" s="83"/>
      <c r="I160" s="240"/>
      <c r="J160" s="83"/>
      <c r="L160" s="241"/>
      <c r="M160" s="400"/>
      <c r="N160" s="401" t="s">
        <v>244</v>
      </c>
      <c r="P160" s="241"/>
      <c r="Z160" s="111">
        <f t="shared" ref="Z160:Z169" si="31">Z149/X149</f>
        <v>0.95461005115800002</v>
      </c>
      <c r="AB160" s="111">
        <f t="shared" ref="AB160:AB169" si="32">AB149/Z149</f>
        <v>0.86646771440405534</v>
      </c>
      <c r="AD160" s="111">
        <f>AB149/X149</f>
        <v>0.82713878917401062</v>
      </c>
    </row>
    <row r="161" spans="1:30" ht="15" customHeight="1" x14ac:dyDescent="0.2">
      <c r="F161" s="84"/>
      <c r="G161" s="84"/>
      <c r="H161" s="84"/>
      <c r="I161" s="84"/>
      <c r="J161" s="84"/>
      <c r="K161" s="84"/>
      <c r="L161" s="84"/>
      <c r="M161" s="84"/>
      <c r="P161" s="84"/>
      <c r="Z161" s="111">
        <f t="shared" si="31"/>
        <v>0.97954348115572076</v>
      </c>
      <c r="AB161" s="111">
        <f t="shared" si="32"/>
        <v>0.86746033370592757</v>
      </c>
      <c r="AD161" s="111">
        <f t="shared" ref="AD161:AD169" si="33">AB150/X150</f>
        <v>0.8497151150428075</v>
      </c>
    </row>
    <row r="162" spans="1:30" ht="15" customHeight="1" x14ac:dyDescent="0.2">
      <c r="A162" s="169" t="s">
        <v>162</v>
      </c>
      <c r="B162" s="143" t="s">
        <v>163</v>
      </c>
      <c r="Z162" s="111">
        <f t="shared" si="31"/>
        <v>1.002373702528786</v>
      </c>
      <c r="AB162" s="111">
        <f t="shared" si="32"/>
        <v>0.8550182576551677</v>
      </c>
      <c r="AD162" s="111">
        <f t="shared" si="33"/>
        <v>0.85704781665552199</v>
      </c>
    </row>
    <row r="163" spans="1:30" ht="15" customHeight="1" x14ac:dyDescent="0.2">
      <c r="B163" s="169" t="s">
        <v>164</v>
      </c>
      <c r="Z163" s="111">
        <f t="shared" si="31"/>
        <v>1.0213736994678868</v>
      </c>
      <c r="AB163" s="111">
        <f t="shared" si="32"/>
        <v>0.8412798102731841</v>
      </c>
      <c r="AD163" s="111">
        <f t="shared" si="33"/>
        <v>0.85926107210636393</v>
      </c>
    </row>
    <row r="164" spans="1:30" ht="15" customHeight="1" x14ac:dyDescent="0.2">
      <c r="Z164" s="111">
        <f t="shared" si="31"/>
        <v>1.0384637649065713</v>
      </c>
      <c r="AB164" s="111">
        <f t="shared" si="32"/>
        <v>0.8284389387315434</v>
      </c>
      <c r="AD164" s="111">
        <f t="shared" si="33"/>
        <v>0.86030381931036282</v>
      </c>
    </row>
    <row r="165" spans="1:30" ht="15" customHeight="1" x14ac:dyDescent="0.2">
      <c r="B165" s="169"/>
      <c r="F165" s="1"/>
      <c r="Z165" s="111">
        <f t="shared" si="31"/>
        <v>1.0696728577440384</v>
      </c>
      <c r="AB165" s="111">
        <f t="shared" si="32"/>
        <v>0.83513248088072545</v>
      </c>
      <c r="AD165" s="111">
        <f t="shared" si="33"/>
        <v>0.8933185474185541</v>
      </c>
    </row>
    <row r="166" spans="1:30" ht="15" customHeight="1" x14ac:dyDescent="0.2">
      <c r="B166" s="143"/>
      <c r="J166" s="143" t="s">
        <v>165</v>
      </c>
      <c r="Z166" s="111">
        <f t="shared" si="31"/>
        <v>1.0832334281367113</v>
      </c>
      <c r="AB166" s="111">
        <f t="shared" si="32"/>
        <v>0.84369039937591261</v>
      </c>
      <c r="AD166" s="111">
        <f t="shared" si="33"/>
        <v>0.91391364360200089</v>
      </c>
    </row>
    <row r="167" spans="1:30" ht="15" customHeight="1" x14ac:dyDescent="0.2">
      <c r="B167" s="169"/>
      <c r="H167" s="386" t="s">
        <v>166</v>
      </c>
      <c r="Z167" s="111">
        <f t="shared" si="31"/>
        <v>1.097520606927342</v>
      </c>
      <c r="AB167" s="111">
        <f t="shared" si="32"/>
        <v>0.84086839828012727</v>
      </c>
      <c r="AD167" s="111">
        <f t="shared" si="33"/>
        <v>0.92287039482642719</v>
      </c>
    </row>
    <row r="168" spans="1:30" ht="15" customHeight="1" x14ac:dyDescent="0.2">
      <c r="F168" s="196" t="s">
        <v>133</v>
      </c>
      <c r="L168" s="243" t="s">
        <v>167</v>
      </c>
      <c r="P168" s="498"/>
      <c r="Z168" s="111">
        <f t="shared" si="31"/>
        <v>1.1013879617343176</v>
      </c>
      <c r="AB168" s="111">
        <f t="shared" si="32"/>
        <v>0.8431503020943002</v>
      </c>
      <c r="AD168" s="111">
        <f t="shared" si="33"/>
        <v>0.9286355926593155</v>
      </c>
    </row>
    <row r="169" spans="1:30" ht="15" customHeight="1" x14ac:dyDescent="0.2">
      <c r="F169" s="196" t="s">
        <v>110</v>
      </c>
      <c r="H169" s="252" t="s">
        <v>110</v>
      </c>
      <c r="L169" s="144">
        <v>1</v>
      </c>
      <c r="M169" s="109" t="s">
        <v>24</v>
      </c>
      <c r="N169" s="203" t="s">
        <v>104</v>
      </c>
      <c r="O169" s="109" t="s">
        <v>110</v>
      </c>
      <c r="P169" s="181" t="s">
        <v>129</v>
      </c>
      <c r="S169" s="253" t="s">
        <v>174</v>
      </c>
      <c r="Z169" s="111">
        <f t="shared" si="31"/>
        <v>1.0927894646462366</v>
      </c>
      <c r="AB169" s="111">
        <f t="shared" si="32"/>
        <v>0.85222309587563472</v>
      </c>
      <c r="AD169" s="111">
        <f t="shared" si="33"/>
        <v>0.9313004207010932</v>
      </c>
    </row>
    <row r="170" spans="1:30" ht="15" customHeight="1" x14ac:dyDescent="0.2">
      <c r="B170" s="348">
        <f>D149</f>
        <v>2.46</v>
      </c>
      <c r="C170" s="157" t="s">
        <v>6</v>
      </c>
      <c r="D170" s="22"/>
      <c r="E170" s="5" t="s">
        <v>2</v>
      </c>
      <c r="F170" s="196" t="s">
        <v>149</v>
      </c>
      <c r="G170" s="55" t="s">
        <v>37</v>
      </c>
      <c r="H170" s="6" t="s">
        <v>68</v>
      </c>
      <c r="J170" s="72" t="s">
        <v>137</v>
      </c>
      <c r="K170" s="5" t="s">
        <v>2</v>
      </c>
      <c r="L170" s="6" t="s">
        <v>68</v>
      </c>
      <c r="M170" s="38" t="s">
        <v>25</v>
      </c>
      <c r="N170" s="204" t="s">
        <v>138</v>
      </c>
      <c r="O170" s="38" t="s">
        <v>33</v>
      </c>
      <c r="P170" s="181" t="s">
        <v>113</v>
      </c>
      <c r="Q170" s="244" t="s">
        <v>173</v>
      </c>
      <c r="R170" s="244" t="s">
        <v>136</v>
      </c>
      <c r="S170" s="251" t="s">
        <v>105</v>
      </c>
    </row>
    <row r="171" spans="1:30" ht="15" customHeight="1" x14ac:dyDescent="0.2">
      <c r="B171" s="349">
        <f t="shared" ref="B171:B172" si="34">D150</f>
        <v>5</v>
      </c>
      <c r="C171" s="1" t="s">
        <v>0</v>
      </c>
      <c r="D171" s="39"/>
      <c r="E171" s="150">
        <v>1</v>
      </c>
      <c r="F171" s="117">
        <f>F129</f>
        <v>22.508728323243179</v>
      </c>
      <c r="G171" s="101">
        <f>F171/E171</f>
        <v>22.508728323243179</v>
      </c>
      <c r="H171" s="142">
        <f t="shared" ref="H171:H180" si="35">SQRT(12*32.2*G171^2/(4*$B$172*($B$171*56)*$B$170^2))</f>
        <v>0.58292936970756293</v>
      </c>
      <c r="J171" s="142">
        <v>0.58292936970756293</v>
      </c>
      <c r="K171" s="150">
        <v>1</v>
      </c>
      <c r="L171" s="142">
        <f>J171*$L$169</f>
        <v>0.58292936970756293</v>
      </c>
      <c r="M171" s="14">
        <f>(B171*2.20462*25.4*12)</f>
        <v>3359.8408799999997</v>
      </c>
      <c r="N171" s="153">
        <f t="shared" ref="N171:N180" si="36">L171*B$170*SQRT(4*B$172*M$171/32.2)/12</f>
        <v>22.508195342401624</v>
      </c>
      <c r="O171" s="153">
        <f>K171*N171</f>
        <v>22.508195342401624</v>
      </c>
      <c r="P171" s="496">
        <f t="shared" ref="P171:P180" si="37">M101</f>
        <v>1.013950143939307</v>
      </c>
      <c r="Q171" s="122">
        <f>P171*O171</f>
        <v>22.822187907242167</v>
      </c>
      <c r="R171" s="122">
        <f>Q171-O171</f>
        <v>0.31399256484054305</v>
      </c>
      <c r="S171" s="248">
        <f>R171/Q171</f>
        <v>1.3758214861639263E-2</v>
      </c>
    </row>
    <row r="172" spans="1:30" ht="15" customHeight="1" x14ac:dyDescent="0.2">
      <c r="B172" s="350">
        <f t="shared" si="34"/>
        <v>85</v>
      </c>
      <c r="C172" s="156" t="s">
        <v>1</v>
      </c>
      <c r="D172" s="31"/>
      <c r="E172" s="149">
        <v>2</v>
      </c>
      <c r="F172" s="116">
        <f t="shared" ref="F172:F180" si="38">F130</f>
        <v>44.221444696150471</v>
      </c>
      <c r="G172" s="100">
        <f t="shared" ref="G172:G180" si="39">F172/E172</f>
        <v>22.110722348075235</v>
      </c>
      <c r="H172" s="141">
        <f t="shared" si="35"/>
        <v>0.57262184060540067</v>
      </c>
      <c r="J172" s="141">
        <v>0.57262184060540067</v>
      </c>
      <c r="K172" s="149">
        <v>2</v>
      </c>
      <c r="L172" s="141">
        <f t="shared" ref="L172:L180" si="40">J172*$L$169</f>
        <v>0.57262184060540067</v>
      </c>
      <c r="N172" s="152">
        <f t="shared" si="36"/>
        <v>22.110198791558172</v>
      </c>
      <c r="O172" s="152">
        <f t="shared" ref="O172:O180" si="41">K172*N172</f>
        <v>44.220397583116345</v>
      </c>
      <c r="P172" s="496">
        <f t="shared" si="37"/>
        <v>1.0309352172774917</v>
      </c>
      <c r="Q172" s="121">
        <f t="shared" ref="Q172:Q180" si="42">P172*O172</f>
        <v>45.588365190447121</v>
      </c>
      <c r="R172" s="121">
        <f t="shared" ref="R172:R180" si="43">Q172-O172</f>
        <v>1.367967607330776</v>
      </c>
      <c r="S172" s="249">
        <f t="shared" ref="S172:S180" si="44">R172/Q172</f>
        <v>3.0006945886654184E-2</v>
      </c>
    </row>
    <row r="173" spans="1:30" ht="15" customHeight="1" x14ac:dyDescent="0.2">
      <c r="E173" s="148">
        <v>3</v>
      </c>
      <c r="F173" s="105">
        <f t="shared" si="38"/>
        <v>62.373428262465353</v>
      </c>
      <c r="G173" s="99">
        <f t="shared" si="39"/>
        <v>20.791142754155118</v>
      </c>
      <c r="H173" s="140">
        <f t="shared" si="35"/>
        <v>0.53844746656186593</v>
      </c>
      <c r="J173" s="140">
        <v>0.53844746656186593</v>
      </c>
      <c r="K173" s="148">
        <v>3</v>
      </c>
      <c r="L173" s="140">
        <f t="shared" si="40"/>
        <v>0.53844746656186593</v>
      </c>
      <c r="N173" s="151">
        <f t="shared" si="36"/>
        <v>20.79065044376766</v>
      </c>
      <c r="O173" s="151">
        <f>K173*N173</f>
        <v>62.371951331302981</v>
      </c>
      <c r="P173" s="496">
        <f t="shared" si="37"/>
        <v>1.0477126251178159</v>
      </c>
      <c r="Q173" s="120">
        <f t="shared" si="42"/>
        <v>65.347880863040103</v>
      </c>
      <c r="R173" s="120">
        <f>Q173-O173</f>
        <v>2.9759295317371226</v>
      </c>
      <c r="S173" s="250">
        <f t="shared" si="44"/>
        <v>4.5539801634489861E-2</v>
      </c>
    </row>
    <row r="174" spans="1:30" ht="15" customHeight="1" x14ac:dyDescent="0.2">
      <c r="E174" s="148">
        <v>4</v>
      </c>
      <c r="F174" s="105">
        <f t="shared" si="38"/>
        <v>77.690518663519896</v>
      </c>
      <c r="G174" s="99">
        <f t="shared" si="39"/>
        <v>19.422629665879974</v>
      </c>
      <c r="H174" s="140">
        <f t="shared" si="35"/>
        <v>0.50300581652599952</v>
      </c>
      <c r="J174" s="140">
        <v>0.50300581652599952</v>
      </c>
      <c r="K174" s="148">
        <v>4</v>
      </c>
      <c r="L174" s="140">
        <f t="shared" si="40"/>
        <v>0.50300581652599952</v>
      </c>
      <c r="N174" s="151">
        <f t="shared" si="36"/>
        <v>19.422169760311082</v>
      </c>
      <c r="O174" s="151">
        <f t="shared" si="41"/>
        <v>77.688679041244328</v>
      </c>
      <c r="P174" s="496">
        <f t="shared" si="37"/>
        <v>1.0650272399632235</v>
      </c>
      <c r="Q174" s="120">
        <f t="shared" si="42"/>
        <v>82.740559415685169</v>
      </c>
      <c r="R174" s="120">
        <f t="shared" si="43"/>
        <v>5.0518803744408416</v>
      </c>
      <c r="S174" s="250">
        <f t="shared" si="44"/>
        <v>6.1056879601942289E-2</v>
      </c>
    </row>
    <row r="175" spans="1:30" ht="15" customHeight="1" x14ac:dyDescent="0.2">
      <c r="E175" s="149">
        <v>5</v>
      </c>
      <c r="F175" s="116">
        <f t="shared" si="38"/>
        <v>90.898555540646157</v>
      </c>
      <c r="G175" s="100">
        <f t="shared" si="39"/>
        <v>18.179711108129233</v>
      </c>
      <c r="H175" s="141">
        <f t="shared" si="35"/>
        <v>0.47081680428760936</v>
      </c>
      <c r="J175" s="141">
        <v>0.47081680428760936</v>
      </c>
      <c r="K175" s="149">
        <v>5</v>
      </c>
      <c r="L175" s="141">
        <f t="shared" si="40"/>
        <v>0.47081680428760936</v>
      </c>
      <c r="N175" s="152">
        <f t="shared" si="36"/>
        <v>18.179280633444634</v>
      </c>
      <c r="O175" s="152">
        <f t="shared" si="41"/>
        <v>90.89640316722317</v>
      </c>
      <c r="P175" s="496">
        <f t="shared" si="37"/>
        <v>1.0805403337429971</v>
      </c>
      <c r="Q175" s="121">
        <f t="shared" si="42"/>
        <v>98.217229814349338</v>
      </c>
      <c r="R175" s="121">
        <f t="shared" si="43"/>
        <v>7.320826647126168</v>
      </c>
      <c r="S175" s="249">
        <f t="shared" si="44"/>
        <v>7.4537091516061166E-2</v>
      </c>
    </row>
    <row r="176" spans="1:30" ht="15" customHeight="1" x14ac:dyDescent="0.2">
      <c r="E176" s="148">
        <v>10</v>
      </c>
      <c r="F176" s="105">
        <f t="shared" si="38"/>
        <v>150.71151939984463</v>
      </c>
      <c r="G176" s="99">
        <f t="shared" si="39"/>
        <v>15.071151939984464</v>
      </c>
      <c r="H176" s="140">
        <f t="shared" si="35"/>
        <v>0.39031157047064163</v>
      </c>
      <c r="J176" s="140">
        <v>0.39031157047064163</v>
      </c>
      <c r="K176" s="154">
        <v>10</v>
      </c>
      <c r="L176" s="140">
        <f t="shared" si="40"/>
        <v>0.39031157047064163</v>
      </c>
      <c r="M176" s="84"/>
      <c r="N176" s="155">
        <f t="shared" si="36"/>
        <v>15.070795072411636</v>
      </c>
      <c r="O176" s="155">
        <f t="shared" si="41"/>
        <v>150.70795072411636</v>
      </c>
      <c r="P176" s="496">
        <f t="shared" si="37"/>
        <v>1.1205415489960135</v>
      </c>
      <c r="Q176" s="120">
        <f t="shared" si="42"/>
        <v>168.87452055041624</v>
      </c>
      <c r="R176" s="120">
        <f t="shared" si="43"/>
        <v>18.166569826299877</v>
      </c>
      <c r="S176" s="250">
        <f t="shared" si="44"/>
        <v>0.10757436804018272</v>
      </c>
    </row>
    <row r="177" spans="2:19" ht="15" customHeight="1" x14ac:dyDescent="0.2">
      <c r="E177" s="148">
        <v>20</v>
      </c>
      <c r="F177" s="105">
        <f t="shared" si="38"/>
        <v>252.13714285714292</v>
      </c>
      <c r="G177" s="99">
        <f t="shared" si="39"/>
        <v>12.606857142857146</v>
      </c>
      <c r="H177" s="140">
        <f t="shared" si="35"/>
        <v>0.32649144735068414</v>
      </c>
      <c r="J177" s="140">
        <v>0.32649144735068414</v>
      </c>
      <c r="K177" s="148">
        <v>20</v>
      </c>
      <c r="L177" s="140">
        <f t="shared" si="40"/>
        <v>0.32649144735068414</v>
      </c>
      <c r="N177" s="151">
        <f t="shared" si="36"/>
        <v>12.606558626955541</v>
      </c>
      <c r="O177" s="151">
        <f t="shared" si="41"/>
        <v>252.13117253911082</v>
      </c>
      <c r="P177" s="496">
        <f t="shared" si="37"/>
        <v>1.149458344665035</v>
      </c>
      <c r="Q177" s="120">
        <f t="shared" si="42"/>
        <v>289.81428022526069</v>
      </c>
      <c r="R177" s="120">
        <f t="shared" si="43"/>
        <v>37.683107686149867</v>
      </c>
      <c r="S177" s="250">
        <f t="shared" si="44"/>
        <v>0.13002502035738314</v>
      </c>
    </row>
    <row r="178" spans="2:19" ht="15" customHeight="1" x14ac:dyDescent="0.2">
      <c r="E178" s="148">
        <v>30</v>
      </c>
      <c r="F178" s="105">
        <f t="shared" si="38"/>
        <v>340.1942857142858</v>
      </c>
      <c r="G178" s="99">
        <f t="shared" si="39"/>
        <v>11.339809523809526</v>
      </c>
      <c r="H178" s="140">
        <f t="shared" si="35"/>
        <v>0.29367754247991462</v>
      </c>
      <c r="J178" s="140">
        <v>0.29367754247991462</v>
      </c>
      <c r="K178" s="148">
        <v>30</v>
      </c>
      <c r="L178" s="140">
        <f t="shared" si="40"/>
        <v>0.29367754247991462</v>
      </c>
      <c r="N178" s="151">
        <f t="shared" si="36"/>
        <v>11.339541010140683</v>
      </c>
      <c r="O178" s="151">
        <f t="shared" si="41"/>
        <v>340.18623030422049</v>
      </c>
      <c r="P178" s="496">
        <f t="shared" si="37"/>
        <v>1.1494587126683913</v>
      </c>
      <c r="Q178" s="120">
        <f t="shared" si="42"/>
        <v>391.03002635300214</v>
      </c>
      <c r="R178" s="120">
        <f t="shared" si="43"/>
        <v>50.843796048781655</v>
      </c>
      <c r="S178" s="250">
        <f t="shared" si="44"/>
        <v>0.13002529888301326</v>
      </c>
    </row>
    <row r="179" spans="2:19" ht="15" customHeight="1" x14ac:dyDescent="0.2">
      <c r="E179" s="148">
        <v>40</v>
      </c>
      <c r="F179" s="105">
        <f t="shared" si="38"/>
        <v>420.33714285714279</v>
      </c>
      <c r="G179" s="99">
        <f t="shared" si="39"/>
        <v>10.508428571428571</v>
      </c>
      <c r="H179" s="140">
        <f t="shared" si="35"/>
        <v>0.27214650049484373</v>
      </c>
      <c r="J179" s="140">
        <v>0.27214650049484373</v>
      </c>
      <c r="K179" s="148">
        <v>40</v>
      </c>
      <c r="L179" s="140">
        <f t="shared" si="40"/>
        <v>0.27214650049484373</v>
      </c>
      <c r="N179" s="151">
        <f t="shared" si="36"/>
        <v>10.508179743906068</v>
      </c>
      <c r="O179" s="151">
        <f t="shared" si="41"/>
        <v>420.32718975624272</v>
      </c>
      <c r="P179" s="496">
        <f t="shared" si="37"/>
        <v>1.1494562188175479</v>
      </c>
      <c r="Q179" s="120">
        <f t="shared" si="42"/>
        <v>483.14770220341671</v>
      </c>
      <c r="R179" s="120">
        <f t="shared" si="43"/>
        <v>62.820512447173996</v>
      </c>
      <c r="S179" s="250">
        <f t="shared" si="44"/>
        <v>0.13002341139299273</v>
      </c>
    </row>
    <row r="180" spans="2:19" ht="15" customHeight="1" x14ac:dyDescent="0.2">
      <c r="E180" s="149">
        <v>50</v>
      </c>
      <c r="F180" s="116">
        <f t="shared" si="38"/>
        <v>498.01571428571424</v>
      </c>
      <c r="G180" s="100">
        <f t="shared" si="39"/>
        <v>9.9603142857142846</v>
      </c>
      <c r="H180" s="141">
        <f t="shared" si="35"/>
        <v>0.25795147754593717</v>
      </c>
      <c r="J180" s="141">
        <v>0.25795147754593717</v>
      </c>
      <c r="K180" s="149">
        <v>50</v>
      </c>
      <c r="L180" s="141">
        <f t="shared" si="40"/>
        <v>0.25795147754593717</v>
      </c>
      <c r="N180" s="152">
        <f t="shared" si="36"/>
        <v>9.9600784369087059</v>
      </c>
      <c r="O180" s="152">
        <f t="shared" si="41"/>
        <v>498.00392184543529</v>
      </c>
      <c r="P180" s="497">
        <f t="shared" si="37"/>
        <v>1.1494531153635428</v>
      </c>
      <c r="Q180" s="121">
        <f t="shared" si="42"/>
        <v>572.43215942849781</v>
      </c>
      <c r="R180" s="121">
        <f t="shared" si="43"/>
        <v>74.428237583062526</v>
      </c>
      <c r="S180" s="249">
        <f t="shared" si="44"/>
        <v>0.13002106250873438</v>
      </c>
    </row>
    <row r="181" spans="2:19" ht="15" customHeight="1" x14ac:dyDescent="0.2">
      <c r="E181" s="402"/>
      <c r="F181" s="403"/>
      <c r="G181" s="402"/>
      <c r="H181" s="404"/>
      <c r="I181" s="84"/>
      <c r="J181" s="404"/>
      <c r="K181" s="402"/>
      <c r="L181" s="404"/>
      <c r="M181" s="84"/>
      <c r="N181" s="403"/>
      <c r="O181" s="403"/>
      <c r="P181" s="405"/>
      <c r="Q181" s="403"/>
      <c r="R181" s="403"/>
      <c r="S181" s="406"/>
    </row>
    <row r="182" spans="2:19" ht="15" customHeight="1" x14ac:dyDescent="0.2">
      <c r="E182" s="402"/>
      <c r="F182" s="403"/>
      <c r="G182" s="402"/>
      <c r="H182" s="404"/>
      <c r="I182" s="84"/>
      <c r="J182" s="404"/>
      <c r="K182" s="402"/>
      <c r="L182" s="404"/>
      <c r="M182" s="84"/>
      <c r="N182" s="403"/>
      <c r="O182" s="403"/>
      <c r="P182" s="405"/>
      <c r="Q182" s="403"/>
      <c r="R182" s="390" t="s">
        <v>130</v>
      </c>
      <c r="S182" s="406"/>
    </row>
    <row r="183" spans="2:19" ht="15" customHeight="1" x14ac:dyDescent="0.2">
      <c r="E183" s="402"/>
      <c r="F183" s="403"/>
      <c r="G183" s="402"/>
      <c r="H183" s="404"/>
      <c r="I183" s="84"/>
      <c r="J183" s="404"/>
      <c r="K183" s="402"/>
      <c r="L183" s="404"/>
      <c r="M183" s="84"/>
      <c r="N183" s="403"/>
      <c r="O183" s="403"/>
      <c r="P183" s="405"/>
      <c r="Q183" s="403"/>
      <c r="R183" s="407">
        <f t="shared" ref="R183:R192" si="45">E101</f>
        <v>0.314</v>
      </c>
      <c r="S183" s="406"/>
    </row>
    <row r="184" spans="2:19" ht="15" customHeight="1" x14ac:dyDescent="0.2">
      <c r="E184" s="402"/>
      <c r="F184" s="403"/>
      <c r="G184" s="402"/>
      <c r="H184" s="404"/>
      <c r="I184" s="84"/>
      <c r="J184" s="404"/>
      <c r="K184" s="402"/>
      <c r="L184" s="404"/>
      <c r="M184" s="84"/>
      <c r="N184" s="403"/>
      <c r="O184" s="403"/>
      <c r="P184" s="405"/>
      <c r="Q184" s="403"/>
      <c r="R184" s="121">
        <f t="shared" si="45"/>
        <v>1.3680000000000001</v>
      </c>
      <c r="S184" s="406"/>
    </row>
    <row r="185" spans="2:19" ht="15" customHeight="1" x14ac:dyDescent="0.2">
      <c r="E185" s="402"/>
      <c r="F185" s="403"/>
      <c r="G185" s="402"/>
      <c r="H185" s="404"/>
      <c r="I185" s="84"/>
      <c r="J185" s="404"/>
      <c r="K185" s="402"/>
      <c r="L185" s="404"/>
      <c r="M185" s="84"/>
      <c r="N185" s="403"/>
      <c r="O185" s="403"/>
      <c r="P185" s="405"/>
      <c r="Q185" s="403"/>
      <c r="R185" s="120">
        <f t="shared" si="45"/>
        <v>2.976</v>
      </c>
      <c r="S185" s="406"/>
    </row>
    <row r="186" spans="2:19" ht="15" customHeight="1" x14ac:dyDescent="0.2">
      <c r="E186" s="402"/>
      <c r="F186" s="403"/>
      <c r="G186" s="402"/>
      <c r="H186" s="404"/>
      <c r="I186" s="84"/>
      <c r="J186" s="404"/>
      <c r="K186" s="402"/>
      <c r="L186" s="404"/>
      <c r="M186" s="84"/>
      <c r="N186" s="403"/>
      <c r="O186" s="403"/>
      <c r="P186" s="405"/>
      <c r="Q186" s="403"/>
      <c r="R186" s="120">
        <f t="shared" si="45"/>
        <v>5.0519999999999996</v>
      </c>
      <c r="S186" s="406"/>
    </row>
    <row r="187" spans="2:19" ht="15" customHeight="1" x14ac:dyDescent="0.2">
      <c r="R187" s="121">
        <f t="shared" si="45"/>
        <v>7.3209999999999997</v>
      </c>
    </row>
    <row r="188" spans="2:19" ht="15" customHeight="1" x14ac:dyDescent="0.2">
      <c r="R188" s="120">
        <f t="shared" si="45"/>
        <v>18.167000000000002</v>
      </c>
    </row>
    <row r="189" spans="2:19" ht="15" customHeight="1" x14ac:dyDescent="0.2">
      <c r="R189" s="120">
        <f t="shared" si="45"/>
        <v>37.683999999999997</v>
      </c>
    </row>
    <row r="190" spans="2:19" ht="15" customHeight="1" x14ac:dyDescent="0.2">
      <c r="R190" s="120">
        <f t="shared" si="45"/>
        <v>50.844999999999999</v>
      </c>
    </row>
    <row r="191" spans="2:19" ht="15" customHeight="1" x14ac:dyDescent="0.2">
      <c r="F191" s="84"/>
      <c r="G191" s="84"/>
      <c r="H191" s="84"/>
      <c r="I191" s="84"/>
      <c r="J191" s="84"/>
      <c r="K191" s="84"/>
      <c r="L191" s="84"/>
      <c r="M191" s="84"/>
      <c r="N191" s="84"/>
      <c r="O191" s="84"/>
      <c r="P191" s="84"/>
      <c r="R191" s="120">
        <f t="shared" si="45"/>
        <v>62.822000000000003</v>
      </c>
    </row>
    <row r="192" spans="2:19" ht="15" customHeight="1" x14ac:dyDescent="0.2">
      <c r="B192" s="169"/>
      <c r="R192" s="121">
        <f t="shared" si="45"/>
        <v>74.430000000000007</v>
      </c>
    </row>
    <row r="193" spans="1:17" ht="15" customHeight="1" x14ac:dyDescent="0.2">
      <c r="A193" s="169" t="s">
        <v>172</v>
      </c>
      <c r="B193" s="143" t="s">
        <v>255</v>
      </c>
    </row>
    <row r="194" spans="1:17" ht="15" customHeight="1" x14ac:dyDescent="0.2"/>
    <row r="195" spans="1:17" ht="15" customHeight="1" x14ac:dyDescent="0.2">
      <c r="B195" s="169"/>
    </row>
    <row r="196" spans="1:17" ht="15" customHeight="1" x14ac:dyDescent="0.2">
      <c r="B196" s="143"/>
      <c r="J196" s="143" t="s">
        <v>165</v>
      </c>
    </row>
    <row r="197" spans="1:17" ht="15" customHeight="1" x14ac:dyDescent="0.2">
      <c r="B197" s="169"/>
      <c r="H197" s="386" t="s">
        <v>166</v>
      </c>
    </row>
    <row r="198" spans="1:17" ht="15" customHeight="1" x14ac:dyDescent="0.2">
      <c r="F198" s="196" t="s">
        <v>133</v>
      </c>
      <c r="L198" s="243" t="s">
        <v>167</v>
      </c>
    </row>
    <row r="199" spans="1:17" ht="15" customHeight="1" x14ac:dyDescent="0.2">
      <c r="F199" s="196" t="s">
        <v>112</v>
      </c>
      <c r="H199" s="252" t="s">
        <v>110</v>
      </c>
      <c r="L199" s="144">
        <v>1</v>
      </c>
      <c r="M199" s="109" t="s">
        <v>24</v>
      </c>
      <c r="N199" s="203" t="s">
        <v>104</v>
      </c>
      <c r="O199" s="260" t="s">
        <v>112</v>
      </c>
    </row>
    <row r="200" spans="1:17" ht="15" customHeight="1" x14ac:dyDescent="0.2">
      <c r="B200" s="348">
        <f>D149</f>
        <v>2.46</v>
      </c>
      <c r="C200" s="157" t="s">
        <v>6</v>
      </c>
      <c r="D200" s="22"/>
      <c r="E200" s="5" t="s">
        <v>2</v>
      </c>
      <c r="F200" s="196" t="s">
        <v>149</v>
      </c>
      <c r="G200" s="55" t="s">
        <v>37</v>
      </c>
      <c r="H200" s="6" t="s">
        <v>68</v>
      </c>
      <c r="J200" s="72" t="s">
        <v>137</v>
      </c>
      <c r="K200" s="5" t="s">
        <v>2</v>
      </c>
      <c r="L200" s="6" t="s">
        <v>68</v>
      </c>
      <c r="M200" s="38" t="s">
        <v>25</v>
      </c>
      <c r="N200" s="204" t="s">
        <v>138</v>
      </c>
      <c r="O200" s="38" t="s">
        <v>33</v>
      </c>
      <c r="Q200" s="390" t="s">
        <v>130</v>
      </c>
    </row>
    <row r="201" spans="1:17" ht="15" customHeight="1" x14ac:dyDescent="0.2">
      <c r="B201" s="349">
        <f>D150</f>
        <v>5</v>
      </c>
      <c r="C201" s="1" t="s">
        <v>0</v>
      </c>
      <c r="D201" s="39"/>
      <c r="E201" s="150">
        <v>1</v>
      </c>
      <c r="F201" s="245">
        <f t="shared" ref="F201:F210" si="46">G129</f>
        <v>0.314</v>
      </c>
      <c r="G201" s="104">
        <f>F201/E201</f>
        <v>0.314</v>
      </c>
      <c r="H201" s="257">
        <f>SQRT(12*32.2*G201^2/(4*$B$202*($B$201*56)*$B$200^2))</f>
        <v>8.1319486138700433E-3</v>
      </c>
      <c r="J201" s="257">
        <v>8.1319486138700433E-3</v>
      </c>
      <c r="K201" s="150">
        <v>1</v>
      </c>
      <c r="L201" s="257">
        <f>J201*$L$199</f>
        <v>8.1319486138700433E-3</v>
      </c>
      <c r="M201" s="14">
        <f>(B201*2.20462*25.4*12)</f>
        <v>3359.8408799999997</v>
      </c>
      <c r="N201" s="153">
        <f>L201*B$200*SQRT(4*B$202*M$201/32.2)/12</f>
        <v>0.31399256484054344</v>
      </c>
      <c r="O201" s="297">
        <f>K201*N201</f>
        <v>0.31399256484054344</v>
      </c>
      <c r="Q201" s="297">
        <f t="shared" ref="Q201:Q210" si="47">E101</f>
        <v>0.314</v>
      </c>
    </row>
    <row r="202" spans="1:17" ht="15" customHeight="1" x14ac:dyDescent="0.2">
      <c r="B202" s="350">
        <f>D151</f>
        <v>85</v>
      </c>
      <c r="C202" s="156" t="s">
        <v>1</v>
      </c>
      <c r="D202" s="31"/>
      <c r="E202" s="149">
        <v>2</v>
      </c>
      <c r="F202" s="246">
        <f t="shared" si="46"/>
        <v>1.3680000000000001</v>
      </c>
      <c r="G202" s="103">
        <f t="shared" ref="G202:G210" si="48">F202/E202</f>
        <v>0.68400000000000005</v>
      </c>
      <c r="H202" s="258">
        <f t="shared" ref="H202:H210" si="49">SQRT(12*32.2*G202^2/(4*$B$202*($B$201*56)*$B$200^2))</f>
        <v>1.7714181056965317E-2</v>
      </c>
      <c r="J202" s="258">
        <v>1.7714181056965317E-2</v>
      </c>
      <c r="K202" s="149">
        <v>2</v>
      </c>
      <c r="L202" s="258">
        <f t="shared" ref="L202:L210" si="50">J202*$L$199</f>
        <v>1.7714181056965317E-2</v>
      </c>
      <c r="N202" s="152">
        <f t="shared" ref="N202:N210" si="51">L202*B$200*SQRT(4*B$202*M$201/32.2)/12</f>
        <v>0.68398380366538758</v>
      </c>
      <c r="O202" s="298">
        <f t="shared" ref="O202" si="52">K202*N202</f>
        <v>1.3679676073307752</v>
      </c>
      <c r="Q202" s="298">
        <f t="shared" si="47"/>
        <v>1.3680000000000001</v>
      </c>
    </row>
    <row r="203" spans="1:17" ht="15" customHeight="1" x14ac:dyDescent="0.2">
      <c r="E203" s="148">
        <v>3</v>
      </c>
      <c r="F203" s="247">
        <f t="shared" si="46"/>
        <v>2.976</v>
      </c>
      <c r="G203" s="102">
        <f t="shared" si="48"/>
        <v>0.99199999999999999</v>
      </c>
      <c r="H203" s="259">
        <f t="shared" si="49"/>
        <v>2.5690742117704082E-2</v>
      </c>
      <c r="J203" s="259">
        <v>2.5690742117704082E-2</v>
      </c>
      <c r="K203" s="148">
        <v>3</v>
      </c>
      <c r="L203" s="259">
        <f t="shared" si="50"/>
        <v>2.5690742117704082E-2</v>
      </c>
      <c r="N203" s="151">
        <f t="shared" si="51"/>
        <v>0.99197651057904157</v>
      </c>
      <c r="O203" s="299">
        <f>K203*N203</f>
        <v>2.9759295317371248</v>
      </c>
      <c r="Q203" s="299">
        <f t="shared" si="47"/>
        <v>2.976</v>
      </c>
    </row>
    <row r="204" spans="1:17" ht="15" customHeight="1" x14ac:dyDescent="0.2">
      <c r="E204" s="148">
        <v>4</v>
      </c>
      <c r="F204" s="247">
        <f t="shared" si="46"/>
        <v>5.0519999999999996</v>
      </c>
      <c r="G204" s="102">
        <f t="shared" si="48"/>
        <v>1.2629999999999999</v>
      </c>
      <c r="H204" s="259">
        <f t="shared" si="49"/>
        <v>3.2709079934133321E-2</v>
      </c>
      <c r="J204" s="259">
        <v>3.2709079934133321E-2</v>
      </c>
      <c r="K204" s="148">
        <v>4</v>
      </c>
      <c r="L204" s="259">
        <f t="shared" si="50"/>
        <v>3.2709079934133321E-2</v>
      </c>
      <c r="N204" s="151">
        <f t="shared" si="51"/>
        <v>1.2629700936102111</v>
      </c>
      <c r="O204" s="299">
        <f t="shared" ref="O204:O210" si="53">K204*N204</f>
        <v>5.0518803744408443</v>
      </c>
      <c r="Q204" s="299">
        <f t="shared" si="47"/>
        <v>5.0519999999999996</v>
      </c>
    </row>
    <row r="205" spans="1:17" ht="15" customHeight="1" x14ac:dyDescent="0.2">
      <c r="E205" s="149">
        <v>5</v>
      </c>
      <c r="F205" s="246">
        <f t="shared" si="46"/>
        <v>7.3209999999999997</v>
      </c>
      <c r="G205" s="103">
        <f t="shared" si="48"/>
        <v>1.4641999999999999</v>
      </c>
      <c r="H205" s="258">
        <f t="shared" si="49"/>
        <v>3.7919742549135403E-2</v>
      </c>
      <c r="J205" s="258">
        <v>3.7919742549135403E-2</v>
      </c>
      <c r="K205" s="149">
        <v>5</v>
      </c>
      <c r="L205" s="258">
        <f t="shared" si="50"/>
        <v>3.7919742549135403E-2</v>
      </c>
      <c r="N205" s="152">
        <f t="shared" si="51"/>
        <v>1.4641653294252344</v>
      </c>
      <c r="O205" s="298">
        <f t="shared" si="53"/>
        <v>7.3208266471261716</v>
      </c>
      <c r="Q205" s="298">
        <f t="shared" si="47"/>
        <v>7.3209999999999997</v>
      </c>
    </row>
    <row r="206" spans="1:17" ht="15" customHeight="1" x14ac:dyDescent="0.2">
      <c r="E206" s="148">
        <v>10</v>
      </c>
      <c r="F206" s="247">
        <f t="shared" si="46"/>
        <v>18.167000000000002</v>
      </c>
      <c r="G206" s="102">
        <f t="shared" si="48"/>
        <v>1.8167000000000002</v>
      </c>
      <c r="H206" s="259">
        <f t="shared" si="49"/>
        <v>4.7048761295597798E-2</v>
      </c>
      <c r="J206" s="259">
        <v>4.7048761295597798E-2</v>
      </c>
      <c r="K206" s="154">
        <v>10</v>
      </c>
      <c r="L206" s="259">
        <f t="shared" si="50"/>
        <v>4.7048761295597798E-2</v>
      </c>
      <c r="M206" s="84"/>
      <c r="N206" s="155">
        <f t="shared" si="51"/>
        <v>1.8166569826299852</v>
      </c>
      <c r="O206" s="300">
        <f t="shared" si="53"/>
        <v>18.166569826299853</v>
      </c>
      <c r="Q206" s="300">
        <f t="shared" si="47"/>
        <v>18.167000000000002</v>
      </c>
    </row>
    <row r="207" spans="1:17" ht="15" customHeight="1" x14ac:dyDescent="0.2">
      <c r="E207" s="148">
        <v>20</v>
      </c>
      <c r="F207" s="247">
        <f t="shared" si="46"/>
        <v>37.683999999999997</v>
      </c>
      <c r="G207" s="102">
        <f t="shared" si="48"/>
        <v>1.8841999999999999</v>
      </c>
      <c r="H207" s="259">
        <f t="shared" si="49"/>
        <v>4.8796871268324632E-2</v>
      </c>
      <c r="J207" s="259">
        <v>4.8796871268324632E-2</v>
      </c>
      <c r="K207" s="148">
        <v>20</v>
      </c>
      <c r="L207" s="259">
        <f t="shared" si="50"/>
        <v>4.8796871268324632E-2</v>
      </c>
      <c r="N207" s="151">
        <f t="shared" si="51"/>
        <v>1.8841553843074899</v>
      </c>
      <c r="O207" s="299">
        <f t="shared" si="53"/>
        <v>37.683107686149796</v>
      </c>
      <c r="Q207" s="299">
        <f t="shared" si="47"/>
        <v>37.683999999999997</v>
      </c>
    </row>
    <row r="208" spans="1:17" ht="15" customHeight="1" x14ac:dyDescent="0.2">
      <c r="E208" s="148">
        <v>30</v>
      </c>
      <c r="F208" s="247">
        <f t="shared" si="46"/>
        <v>50.844999999999999</v>
      </c>
      <c r="G208" s="102">
        <f t="shared" si="48"/>
        <v>1.6948333333333332</v>
      </c>
      <c r="H208" s="259">
        <f t="shared" si="49"/>
        <v>4.3892667438664788E-2</v>
      </c>
      <c r="J208" s="259">
        <v>4.3892667438664788E-2</v>
      </c>
      <c r="K208" s="148">
        <v>30</v>
      </c>
      <c r="L208" s="259">
        <f t="shared" si="50"/>
        <v>4.3892667438664788E-2</v>
      </c>
      <c r="N208" s="151">
        <f t="shared" si="51"/>
        <v>1.6947932016260541</v>
      </c>
      <c r="O208" s="299">
        <f t="shared" si="53"/>
        <v>50.84379604878162</v>
      </c>
      <c r="Q208" s="299">
        <f t="shared" si="47"/>
        <v>50.844999999999999</v>
      </c>
    </row>
    <row r="209" spans="1:17" ht="15" customHeight="1" x14ac:dyDescent="0.2">
      <c r="E209" s="148">
        <v>40</v>
      </c>
      <c r="F209" s="247">
        <f t="shared" si="46"/>
        <v>62.822000000000003</v>
      </c>
      <c r="G209" s="102">
        <f t="shared" si="48"/>
        <v>1.5705500000000001</v>
      </c>
      <c r="H209" s="259">
        <f t="shared" si="49"/>
        <v>4.0673986928387251E-2</v>
      </c>
      <c r="J209" s="259">
        <v>4.0673986928387251E-2</v>
      </c>
      <c r="K209" s="148">
        <v>40</v>
      </c>
      <c r="L209" s="259">
        <f t="shared" si="50"/>
        <v>4.0673986928387251E-2</v>
      </c>
      <c r="N209" s="151">
        <f t="shared" si="51"/>
        <v>1.5705128111793487</v>
      </c>
      <c r="O209" s="299">
        <f t="shared" si="53"/>
        <v>62.820512447173947</v>
      </c>
      <c r="Q209" s="299">
        <f t="shared" si="47"/>
        <v>62.822000000000003</v>
      </c>
    </row>
    <row r="210" spans="1:17" ht="15" customHeight="1" x14ac:dyDescent="0.2">
      <c r="E210" s="149">
        <v>50</v>
      </c>
      <c r="F210" s="246">
        <f t="shared" si="46"/>
        <v>74.430000000000007</v>
      </c>
      <c r="G210" s="103">
        <f t="shared" si="48"/>
        <v>1.4886000000000001</v>
      </c>
      <c r="H210" s="258">
        <f t="shared" si="49"/>
        <v>3.8551651931869255E-2</v>
      </c>
      <c r="J210" s="258">
        <v>3.8551651931869255E-2</v>
      </c>
      <c r="K210" s="149">
        <v>50</v>
      </c>
      <c r="L210" s="258">
        <f t="shared" si="50"/>
        <v>3.8551651931869255E-2</v>
      </c>
      <c r="N210" s="152">
        <f t="shared" si="51"/>
        <v>1.4885647516612515</v>
      </c>
      <c r="O210" s="298">
        <f t="shared" si="53"/>
        <v>74.428237583062568</v>
      </c>
      <c r="Q210" s="298">
        <f t="shared" si="47"/>
        <v>74.430000000000007</v>
      </c>
    </row>
    <row r="211" spans="1:17" ht="15" customHeight="1" x14ac:dyDescent="0.2"/>
    <row r="212" spans="1:17" ht="15" customHeight="1" x14ac:dyDescent="0.2">
      <c r="O212" s="70"/>
    </row>
    <row r="213" spans="1:17" ht="15" customHeight="1" x14ac:dyDescent="0.2">
      <c r="O213" s="70"/>
    </row>
    <row r="214" spans="1:17" ht="15" customHeight="1" x14ac:dyDescent="0.2">
      <c r="O214" s="70"/>
    </row>
    <row r="215" spans="1:17" ht="15" customHeight="1" x14ac:dyDescent="0.2">
      <c r="O215" s="70"/>
    </row>
    <row r="216" spans="1:17" ht="15" customHeight="1" x14ac:dyDescent="0.2">
      <c r="O216" s="70"/>
    </row>
    <row r="217" spans="1:17" ht="15" customHeight="1" x14ac:dyDescent="0.2">
      <c r="A217" s="108"/>
      <c r="B217" s="21"/>
      <c r="C217" s="21"/>
      <c r="D217" s="21"/>
      <c r="E217" s="21"/>
      <c r="F217" s="21"/>
      <c r="G217" s="21"/>
      <c r="H217" s="21"/>
      <c r="I217" s="21"/>
      <c r="J217" s="21"/>
      <c r="K217" s="21"/>
      <c r="L217" s="21"/>
      <c r="M217" s="21"/>
      <c r="N217" s="21"/>
      <c r="O217" s="351"/>
      <c r="P217" s="22"/>
    </row>
    <row r="218" spans="1:17" ht="15" customHeight="1" x14ac:dyDescent="0.2">
      <c r="A218" s="63"/>
      <c r="B218" s="1"/>
      <c r="C218" s="1"/>
      <c r="D218" s="1"/>
      <c r="E218" s="1"/>
      <c r="F218" s="1"/>
      <c r="G218" s="1"/>
      <c r="H218" s="1"/>
      <c r="I218" s="1"/>
      <c r="J218" s="1"/>
      <c r="K218" s="1"/>
      <c r="L218" s="1"/>
      <c r="M218" s="1"/>
      <c r="N218" s="1"/>
      <c r="O218" s="413" t="s">
        <v>277</v>
      </c>
      <c r="P218" s="378"/>
    </row>
    <row r="219" spans="1:17" ht="15" customHeight="1" x14ac:dyDescent="0.2">
      <c r="A219" s="63"/>
      <c r="B219" s="1"/>
      <c r="C219" s="1"/>
      <c r="D219" s="1"/>
      <c r="E219" s="1"/>
      <c r="F219" s="1"/>
      <c r="G219" s="1"/>
      <c r="H219" s="1"/>
      <c r="I219" s="1"/>
      <c r="J219" s="1"/>
      <c r="K219" s="1"/>
      <c r="L219" s="1"/>
      <c r="M219" s="1"/>
      <c r="N219" s="1"/>
      <c r="O219" s="352"/>
      <c r="P219" s="39"/>
    </row>
    <row r="220" spans="1:17" ht="15" customHeight="1" x14ac:dyDescent="0.2">
      <c r="A220" s="353" t="s">
        <v>175</v>
      </c>
      <c r="B220" s="354" t="s">
        <v>264</v>
      </c>
      <c r="C220" s="1"/>
      <c r="D220" s="1"/>
      <c r="E220" s="1"/>
      <c r="F220" s="1"/>
      <c r="G220" s="1"/>
      <c r="H220" s="1"/>
      <c r="I220" s="1"/>
      <c r="J220" s="1"/>
      <c r="K220" s="355" t="s">
        <v>198</v>
      </c>
      <c r="L220" s="1"/>
      <c r="M220" s="1"/>
      <c r="N220" s="1"/>
      <c r="O220" s="409" t="s">
        <v>199</v>
      </c>
      <c r="P220" s="39"/>
    </row>
    <row r="221" spans="1:17" ht="15" customHeight="1" x14ac:dyDescent="0.2">
      <c r="A221" s="353"/>
      <c r="B221" s="354" t="str">
        <f>B9</f>
        <v xml:space="preserve"> 3075s</v>
      </c>
      <c r="C221" s="1"/>
      <c r="D221" s="1"/>
      <c r="E221" s="1"/>
      <c r="F221" s="1"/>
      <c r="G221" s="1"/>
      <c r="H221" s="1"/>
      <c r="I221" s="1"/>
      <c r="J221" s="1"/>
      <c r="K221" s="355"/>
      <c r="L221" s="1"/>
      <c r="M221" s="1"/>
      <c r="N221" s="1"/>
      <c r="O221" s="409"/>
      <c r="P221" s="39"/>
    </row>
    <row r="222" spans="1:17" ht="15" customHeight="1" x14ac:dyDescent="0.2">
      <c r="A222" s="353"/>
      <c r="B222" s="354" t="str">
        <f>B10</f>
        <v xml:space="preserve"> 17 XCF 350</v>
      </c>
      <c r="C222" s="1"/>
      <c r="D222" s="1" t="str">
        <f>B5</f>
        <v xml:space="preserve">  We will use the exact spring rate from the test because a good test should have decent r-zeta and r/c ratio.</v>
      </c>
      <c r="E222" s="1"/>
      <c r="F222" s="1"/>
      <c r="G222" s="1"/>
      <c r="H222" s="1"/>
      <c r="I222" s="1"/>
      <c r="J222" s="1"/>
      <c r="K222" s="355"/>
      <c r="L222" s="1"/>
      <c r="M222" s="1"/>
      <c r="N222" s="1"/>
      <c r="O222" s="409"/>
      <c r="P222" s="39"/>
    </row>
    <row r="223" spans="1:17" ht="15" customHeight="1" x14ac:dyDescent="0.2">
      <c r="A223" s="353"/>
      <c r="B223" s="354" t="str">
        <f>B11</f>
        <v xml:space="preserve"> Mike Kirsch</v>
      </c>
      <c r="C223" s="1"/>
      <c r="D223" s="1" t="str">
        <f>B6</f>
        <v xml:space="preserve">  We are removing calc gas (73c and 69c) and displaying linear gas force (77 lbs and 73 lbs) for 12sxf450-psh and 16sxf250-psh respectively.</v>
      </c>
      <c r="E223" s="1"/>
      <c r="F223" s="1"/>
      <c r="G223" s="1"/>
      <c r="H223" s="1"/>
      <c r="I223" s="1"/>
      <c r="J223" s="1"/>
      <c r="K223" s="355"/>
      <c r="L223" s="1"/>
      <c r="M223" s="1"/>
      <c r="N223" s="1"/>
      <c r="O223" s="409"/>
      <c r="P223" s="39"/>
    </row>
    <row r="224" spans="1:17" ht="15" customHeight="1" x14ac:dyDescent="0.2">
      <c r="A224" s="353"/>
      <c r="B224" s="354" t="str">
        <f>B12</f>
        <v xml:space="preserve"> 12sxf450-psh</v>
      </c>
      <c r="C224" s="1"/>
      <c r="D224" s="1"/>
      <c r="E224" s="1"/>
      <c r="F224" s="1"/>
      <c r="G224" s="1"/>
      <c r="H224" s="1"/>
      <c r="I224" s="1"/>
      <c r="J224" s="1"/>
      <c r="K224" s="355"/>
      <c r="L224" s="1"/>
      <c r="M224" s="1"/>
      <c r="N224" s="1"/>
      <c r="O224" s="409"/>
      <c r="P224" s="39"/>
    </row>
    <row r="225" spans="1:16" ht="15" customHeight="1" x14ac:dyDescent="0.2">
      <c r="A225" s="63"/>
      <c r="B225" s="354" t="str">
        <f>B13</f>
        <v xml:space="preserve"> TRENDLINE</v>
      </c>
      <c r="C225" s="354" t="str">
        <f>C13</f>
        <v xml:space="preserve"> v5</v>
      </c>
      <c r="D225" s="1"/>
      <c r="E225" s="1"/>
      <c r="F225" s="1"/>
      <c r="G225" s="1"/>
      <c r="H225" s="1"/>
      <c r="I225" s="1"/>
      <c r="J225" s="1"/>
      <c r="K225" s="355"/>
      <c r="L225" s="1"/>
      <c r="M225" s="1"/>
      <c r="N225" s="1"/>
      <c r="O225" s="409"/>
      <c r="P225" s="39"/>
    </row>
    <row r="226" spans="1:16" ht="15" customHeight="1" x14ac:dyDescent="0.2">
      <c r="A226" s="63"/>
      <c r="B226" s="354"/>
      <c r="C226" s="1"/>
      <c r="D226" s="1"/>
      <c r="E226" s="1"/>
      <c r="F226" s="1"/>
      <c r="G226" s="1"/>
      <c r="H226" s="1"/>
      <c r="I226" s="1"/>
      <c r="J226" s="1"/>
      <c r="K226" s="1"/>
      <c r="L226" s="1"/>
      <c r="M226" s="1"/>
      <c r="N226" s="1"/>
      <c r="O226" s="1"/>
      <c r="P226" s="39"/>
    </row>
    <row r="227" spans="1:16" ht="15" customHeight="1" x14ac:dyDescent="0.2">
      <c r="A227" s="23"/>
      <c r="B227" s="356" t="s">
        <v>284</v>
      </c>
      <c r="C227" s="354"/>
      <c r="D227" s="1"/>
      <c r="E227" s="1"/>
      <c r="F227" s="1"/>
      <c r="G227" s="1"/>
      <c r="H227" s="1"/>
      <c r="I227" s="1"/>
      <c r="J227" s="1"/>
      <c r="K227" s="1"/>
      <c r="L227" s="1"/>
      <c r="M227" s="1"/>
      <c r="N227" s="1"/>
      <c r="O227" s="1"/>
      <c r="P227" s="39"/>
    </row>
    <row r="228" spans="1:16" ht="15" customHeight="1" x14ac:dyDescent="0.2">
      <c r="A228" s="63"/>
      <c r="B228" s="1"/>
      <c r="C228" s="1"/>
      <c r="D228" s="1"/>
      <c r="E228" s="1"/>
      <c r="F228" s="1"/>
      <c r="G228" s="1"/>
      <c r="H228" s="180" t="str">
        <f>J99</f>
        <v>aver</v>
      </c>
      <c r="I228" s="1"/>
      <c r="J228" s="1"/>
      <c r="K228" s="1"/>
      <c r="L228" s="1"/>
      <c r="M228" s="1"/>
      <c r="N228" s="1"/>
      <c r="O228" s="1"/>
      <c r="P228" s="39"/>
    </row>
    <row r="229" spans="1:16" ht="15" customHeight="1" x14ac:dyDescent="0.2">
      <c r="A229" s="379" t="s">
        <v>228</v>
      </c>
      <c r="B229" s="446">
        <f>D150</f>
        <v>5</v>
      </c>
      <c r="C229" s="180" t="s">
        <v>133</v>
      </c>
      <c r="D229" s="168" t="s">
        <v>133</v>
      </c>
      <c r="E229" s="170" t="s">
        <v>133</v>
      </c>
      <c r="F229" s="272" t="s">
        <v>110</v>
      </c>
      <c r="G229" s="278" t="s">
        <v>133</v>
      </c>
      <c r="H229" s="180" t="s">
        <v>124</v>
      </c>
      <c r="I229" s="180" t="s">
        <v>50</v>
      </c>
      <c r="J229" s="182" t="s">
        <v>50</v>
      </c>
      <c r="K229" s="279" t="s">
        <v>124</v>
      </c>
      <c r="L229" s="182" t="s">
        <v>117</v>
      </c>
      <c r="M229" s="182" t="s">
        <v>110</v>
      </c>
      <c r="N229" s="182" t="s">
        <v>112</v>
      </c>
      <c r="O229" s="1"/>
      <c r="P229" s="182" t="s">
        <v>117</v>
      </c>
    </row>
    <row r="230" spans="1:16" ht="15" customHeight="1" x14ac:dyDescent="0.2">
      <c r="A230" s="63"/>
      <c r="B230" s="186"/>
      <c r="C230" s="266" t="s">
        <v>117</v>
      </c>
      <c r="D230" s="264" t="s">
        <v>118</v>
      </c>
      <c r="E230" s="196" t="s">
        <v>109</v>
      </c>
      <c r="F230" s="273" t="s">
        <v>127</v>
      </c>
      <c r="G230" s="183" t="s">
        <v>110</v>
      </c>
      <c r="H230" s="181" t="s">
        <v>112</v>
      </c>
      <c r="I230" s="181" t="s">
        <v>114</v>
      </c>
      <c r="J230" s="183" t="s">
        <v>115</v>
      </c>
      <c r="K230" s="280" t="s">
        <v>105</v>
      </c>
      <c r="L230" s="183" t="s">
        <v>116</v>
      </c>
      <c r="M230" s="183" t="s">
        <v>116</v>
      </c>
      <c r="N230" s="183" t="s">
        <v>116</v>
      </c>
      <c r="O230" s="1"/>
      <c r="P230" s="183" t="s">
        <v>116</v>
      </c>
    </row>
    <row r="231" spans="1:16" ht="15" customHeight="1" x14ac:dyDescent="0.2">
      <c r="A231" s="63"/>
      <c r="B231" s="186" t="s">
        <v>39</v>
      </c>
      <c r="C231" s="267" t="s">
        <v>130</v>
      </c>
      <c r="D231" s="265" t="s">
        <v>130</v>
      </c>
      <c r="E231" s="192" t="s">
        <v>130</v>
      </c>
      <c r="F231" s="274" t="s">
        <v>131</v>
      </c>
      <c r="G231" s="267" t="s">
        <v>130</v>
      </c>
      <c r="H231" s="267" t="s">
        <v>130</v>
      </c>
      <c r="I231" s="267" t="s">
        <v>130</v>
      </c>
      <c r="J231" s="267" t="s">
        <v>130</v>
      </c>
      <c r="K231" s="281" t="s">
        <v>195</v>
      </c>
      <c r="L231" s="267" t="s">
        <v>130</v>
      </c>
      <c r="M231" s="267" t="s">
        <v>130</v>
      </c>
      <c r="N231" s="267" t="s">
        <v>130</v>
      </c>
      <c r="O231" s="1"/>
      <c r="P231" s="183" t="s">
        <v>128</v>
      </c>
    </row>
    <row r="232" spans="1:16" ht="15" customHeight="1" x14ac:dyDescent="0.2">
      <c r="A232" s="63"/>
      <c r="B232" s="186">
        <v>1</v>
      </c>
      <c r="C232" s="268">
        <f t="shared" ref="C232:E241" si="54">C129</f>
        <v>43.62272832324318</v>
      </c>
      <c r="D232" s="301">
        <f t="shared" si="54"/>
        <v>116.62272832324318</v>
      </c>
      <c r="E232" s="275">
        <f t="shared" si="54"/>
        <v>22.822728323243179</v>
      </c>
      <c r="F232" s="275">
        <f>G232+J232</f>
        <v>35.508728323243176</v>
      </c>
      <c r="G232" s="268">
        <f t="shared" ref="G232:H241" si="55">F129</f>
        <v>22.508728323243179</v>
      </c>
      <c r="H232" s="304">
        <f t="shared" si="55"/>
        <v>0.314</v>
      </c>
      <c r="I232" s="308">
        <f>M129</f>
        <v>77</v>
      </c>
      <c r="J232" s="268">
        <f t="shared" ref="J232:J241" si="56">L129</f>
        <v>13</v>
      </c>
      <c r="K232" s="373">
        <f>H232/E232</f>
        <v>1.3758214861639279E-2</v>
      </c>
      <c r="L232" s="312">
        <f t="shared" ref="L232:L241" si="57">F149</f>
        <v>1.1297649207126139</v>
      </c>
      <c r="M232" s="312">
        <f t="shared" ref="M232:M241" si="58">H171</f>
        <v>0.58292936970756293</v>
      </c>
      <c r="N232" s="312">
        <f t="shared" ref="N232:N241" si="59">H201</f>
        <v>8.1319486138700433E-3</v>
      </c>
      <c r="O232" s="1"/>
      <c r="P232" s="316">
        <f>L232</f>
        <v>1.1297649207126139</v>
      </c>
    </row>
    <row r="233" spans="1:16" ht="15" customHeight="1" x14ac:dyDescent="0.2">
      <c r="A233" s="63"/>
      <c r="B233" s="186">
        <v>2</v>
      </c>
      <c r="C233" s="269">
        <f t="shared" si="54"/>
        <v>66.08944469615048</v>
      </c>
      <c r="D233" s="302">
        <f t="shared" si="54"/>
        <v>139.08944469615048</v>
      </c>
      <c r="E233" s="276">
        <f t="shared" si="54"/>
        <v>45.589444696150473</v>
      </c>
      <c r="F233" s="276">
        <f t="shared" ref="F233:F241" si="60">G233+J233</f>
        <v>57.221444696150471</v>
      </c>
      <c r="G233" s="269">
        <f t="shared" si="55"/>
        <v>44.221444696150471</v>
      </c>
      <c r="H233" s="305">
        <f t="shared" si="55"/>
        <v>1.3680000000000001</v>
      </c>
      <c r="I233" s="309">
        <f t="shared" ref="I233:I241" si="61">M130</f>
        <v>77</v>
      </c>
      <c r="J233" s="269">
        <f t="shared" si="56"/>
        <v>13</v>
      </c>
      <c r="K233" s="374">
        <f t="shared" ref="K233:K241" si="62">H233/E233</f>
        <v>3.0006945886654167E-2</v>
      </c>
      <c r="L233" s="313">
        <f t="shared" si="57"/>
        <v>0.85581002286030372</v>
      </c>
      <c r="M233" s="313">
        <f t="shared" si="58"/>
        <v>0.57262184060540067</v>
      </c>
      <c r="N233" s="313">
        <f t="shared" si="59"/>
        <v>1.7714181056965317E-2</v>
      </c>
      <c r="O233" s="1"/>
      <c r="P233" s="317">
        <f t="shared" ref="P233:P241" si="63">L233</f>
        <v>0.85581002286030372</v>
      </c>
    </row>
    <row r="234" spans="1:16" ht="15" customHeight="1" x14ac:dyDescent="0.2">
      <c r="A234" s="63"/>
      <c r="B234" s="186">
        <v>3</v>
      </c>
      <c r="C234" s="270">
        <f t="shared" si="54"/>
        <v>85.349428262465352</v>
      </c>
      <c r="D234" s="303">
        <f t="shared" si="54"/>
        <v>158.34942826246535</v>
      </c>
      <c r="E234" s="277">
        <f t="shared" si="54"/>
        <v>65.349428262465352</v>
      </c>
      <c r="F234" s="277">
        <f t="shared" si="60"/>
        <v>75.373428262465353</v>
      </c>
      <c r="G234" s="270">
        <f t="shared" si="55"/>
        <v>62.373428262465353</v>
      </c>
      <c r="H234" s="306">
        <f t="shared" si="55"/>
        <v>2.976</v>
      </c>
      <c r="I234" s="310">
        <f t="shared" si="61"/>
        <v>77</v>
      </c>
      <c r="J234" s="270">
        <f t="shared" si="56"/>
        <v>13</v>
      </c>
      <c r="K234" s="375">
        <f t="shared" si="62"/>
        <v>4.5539801634489896E-2</v>
      </c>
      <c r="L234" s="314">
        <f t="shared" si="57"/>
        <v>0.73680849227117073</v>
      </c>
      <c r="M234" s="314">
        <f t="shared" si="58"/>
        <v>0.53844746656186593</v>
      </c>
      <c r="N234" s="314">
        <f t="shared" si="59"/>
        <v>2.5690742117704082E-2</v>
      </c>
      <c r="O234" s="1"/>
      <c r="P234" s="318">
        <f t="shared" si="63"/>
        <v>0.73680849227117073</v>
      </c>
    </row>
    <row r="235" spans="1:16" ht="15" customHeight="1" x14ac:dyDescent="0.2">
      <c r="A235" s="63"/>
      <c r="B235" s="186">
        <v>4</v>
      </c>
      <c r="C235" s="270">
        <f t="shared" si="54"/>
        <v>102.44251866351988</v>
      </c>
      <c r="D235" s="303">
        <f t="shared" si="54"/>
        <v>175.44251866351988</v>
      </c>
      <c r="E235" s="277">
        <f t="shared" si="54"/>
        <v>82.742518663519888</v>
      </c>
      <c r="F235" s="277">
        <f t="shared" si="60"/>
        <v>90.690518663519896</v>
      </c>
      <c r="G235" s="270">
        <f t="shared" si="55"/>
        <v>77.690518663519896</v>
      </c>
      <c r="H235" s="306">
        <f t="shared" si="55"/>
        <v>5.0519999999999996</v>
      </c>
      <c r="I235" s="310">
        <f t="shared" si="61"/>
        <v>77</v>
      </c>
      <c r="J235" s="270">
        <f t="shared" si="56"/>
        <v>13</v>
      </c>
      <c r="K235" s="375">
        <f t="shared" si="62"/>
        <v>6.1056879601942324E-2</v>
      </c>
      <c r="L235" s="314">
        <f t="shared" si="57"/>
        <v>0.66327788531411769</v>
      </c>
      <c r="M235" s="314">
        <f t="shared" si="58"/>
        <v>0.50300581652599952</v>
      </c>
      <c r="N235" s="314">
        <f t="shared" si="59"/>
        <v>3.2709079934133321E-2</v>
      </c>
      <c r="O235" s="1"/>
      <c r="P235" s="318">
        <f t="shared" si="63"/>
        <v>0.66327788531411769</v>
      </c>
    </row>
    <row r="236" spans="1:16" ht="15" customHeight="1" x14ac:dyDescent="0.2">
      <c r="A236" s="63"/>
      <c r="B236" s="186">
        <v>5</v>
      </c>
      <c r="C236" s="269">
        <f t="shared" si="54"/>
        <v>117.81955554064615</v>
      </c>
      <c r="D236" s="302">
        <f t="shared" si="54"/>
        <v>190.81955554064615</v>
      </c>
      <c r="E236" s="276">
        <f t="shared" si="54"/>
        <v>98.219555540646155</v>
      </c>
      <c r="F236" s="276">
        <f t="shared" si="60"/>
        <v>103.89855554064616</v>
      </c>
      <c r="G236" s="269">
        <f t="shared" si="55"/>
        <v>90.898555540646157</v>
      </c>
      <c r="H236" s="305">
        <f t="shared" si="55"/>
        <v>7.3209999999999997</v>
      </c>
      <c r="I236" s="309">
        <f t="shared" si="61"/>
        <v>77</v>
      </c>
      <c r="J236" s="269">
        <f t="shared" si="56"/>
        <v>13</v>
      </c>
      <c r="K236" s="374">
        <f t="shared" si="62"/>
        <v>7.4537091516061207E-2</v>
      </c>
      <c r="L236" s="313">
        <f t="shared" si="57"/>
        <v>0.61027086539587361</v>
      </c>
      <c r="M236" s="313">
        <f t="shared" si="58"/>
        <v>0.47081680428760936</v>
      </c>
      <c r="N236" s="313">
        <f t="shared" si="59"/>
        <v>3.7919742549135403E-2</v>
      </c>
      <c r="O236" s="1"/>
      <c r="P236" s="317">
        <f t="shared" si="63"/>
        <v>0.61027086539587361</v>
      </c>
    </row>
    <row r="237" spans="1:16" ht="15" customHeight="1" x14ac:dyDescent="0.2">
      <c r="A237" s="63"/>
      <c r="B237" s="186">
        <v>10</v>
      </c>
      <c r="C237" s="270">
        <f t="shared" si="54"/>
        <v>188.57851939984465</v>
      </c>
      <c r="D237" s="303">
        <f t="shared" si="54"/>
        <v>261.57851939984465</v>
      </c>
      <c r="E237" s="277">
        <f t="shared" si="54"/>
        <v>168.87851939984463</v>
      </c>
      <c r="F237" s="277">
        <f t="shared" si="60"/>
        <v>163.71151939984463</v>
      </c>
      <c r="G237" s="270">
        <f t="shared" si="55"/>
        <v>150.71151939984463</v>
      </c>
      <c r="H237" s="306">
        <f t="shared" si="55"/>
        <v>18.167000000000002</v>
      </c>
      <c r="I237" s="310">
        <f t="shared" si="61"/>
        <v>77</v>
      </c>
      <c r="J237" s="270">
        <f t="shared" si="56"/>
        <v>13</v>
      </c>
      <c r="K237" s="375">
        <f t="shared" si="62"/>
        <v>0.10757436804018258</v>
      </c>
      <c r="L237" s="314">
        <f t="shared" si="57"/>
        <v>0.48839080957792841</v>
      </c>
      <c r="M237" s="314">
        <f t="shared" si="58"/>
        <v>0.39031157047064163</v>
      </c>
      <c r="N237" s="314">
        <f t="shared" si="59"/>
        <v>4.7048761295597798E-2</v>
      </c>
      <c r="O237" s="1"/>
      <c r="P237" s="318">
        <f t="shared" si="63"/>
        <v>0.48839080957792841</v>
      </c>
    </row>
    <row r="238" spans="1:16" ht="15" customHeight="1" x14ac:dyDescent="0.2">
      <c r="A238" s="63"/>
      <c r="B238" s="186">
        <v>20</v>
      </c>
      <c r="C238" s="270">
        <f t="shared" si="54"/>
        <v>309.42114285714297</v>
      </c>
      <c r="D238" s="303">
        <f t="shared" si="54"/>
        <v>382.42114285714297</v>
      </c>
      <c r="E238" s="277">
        <f t="shared" si="54"/>
        <v>289.82114285714295</v>
      </c>
      <c r="F238" s="277">
        <f t="shared" si="60"/>
        <v>265.13714285714292</v>
      </c>
      <c r="G238" s="270">
        <f t="shared" si="55"/>
        <v>252.13714285714292</v>
      </c>
      <c r="H238" s="306">
        <f t="shared" si="55"/>
        <v>37.683999999999997</v>
      </c>
      <c r="I238" s="310">
        <f t="shared" si="61"/>
        <v>77</v>
      </c>
      <c r="J238" s="270">
        <f t="shared" si="56"/>
        <v>13</v>
      </c>
      <c r="K238" s="375">
        <f t="shared" si="62"/>
        <v>0.13002502035738292</v>
      </c>
      <c r="L238" s="314">
        <f t="shared" si="57"/>
        <v>0.40067777322005105</v>
      </c>
      <c r="M238" s="314">
        <f t="shared" si="58"/>
        <v>0.32649144735068414</v>
      </c>
      <c r="N238" s="314">
        <f t="shared" si="59"/>
        <v>4.8796871268324632E-2</v>
      </c>
      <c r="O238" s="1"/>
      <c r="P238" s="318">
        <f t="shared" si="63"/>
        <v>0.40067777322005105</v>
      </c>
    </row>
    <row r="239" spans="1:16" ht="15" customHeight="1" x14ac:dyDescent="0.2">
      <c r="A239" s="63"/>
      <c r="B239" s="186">
        <v>30</v>
      </c>
      <c r="C239" s="270">
        <f t="shared" si="54"/>
        <v>411.03928571428582</v>
      </c>
      <c r="D239" s="303">
        <f t="shared" si="54"/>
        <v>484.03928571428582</v>
      </c>
      <c r="E239" s="277">
        <f t="shared" si="54"/>
        <v>391.03928571428582</v>
      </c>
      <c r="F239" s="277">
        <f t="shared" si="60"/>
        <v>353.1942857142858</v>
      </c>
      <c r="G239" s="270">
        <f t="shared" si="55"/>
        <v>340.1942857142858</v>
      </c>
      <c r="H239" s="306">
        <f t="shared" si="55"/>
        <v>50.844999999999999</v>
      </c>
      <c r="I239" s="310">
        <f t="shared" si="61"/>
        <v>77</v>
      </c>
      <c r="J239" s="270">
        <f t="shared" si="56"/>
        <v>13</v>
      </c>
      <c r="K239" s="375">
        <f t="shared" si="62"/>
        <v>0.13002529888301317</v>
      </c>
      <c r="L239" s="314">
        <f t="shared" si="57"/>
        <v>0.35484389589584542</v>
      </c>
      <c r="M239" s="314">
        <f t="shared" si="58"/>
        <v>0.29367754247991462</v>
      </c>
      <c r="N239" s="314">
        <f t="shared" si="59"/>
        <v>4.3892667438664788E-2</v>
      </c>
      <c r="O239" s="1"/>
      <c r="P239" s="318">
        <f t="shared" si="63"/>
        <v>0.35484389589584542</v>
      </c>
    </row>
    <row r="240" spans="1:16" ht="15" customHeight="1" x14ac:dyDescent="0.2">
      <c r="A240" s="63"/>
      <c r="B240" s="186">
        <v>40</v>
      </c>
      <c r="C240" s="270">
        <f t="shared" si="54"/>
        <v>504.25914285714282</v>
      </c>
      <c r="D240" s="303">
        <f t="shared" si="54"/>
        <v>577.25914285714282</v>
      </c>
      <c r="E240" s="277">
        <f t="shared" si="54"/>
        <v>483.1591428571428</v>
      </c>
      <c r="F240" s="277">
        <f t="shared" si="60"/>
        <v>433.33714285714279</v>
      </c>
      <c r="G240" s="270">
        <f t="shared" si="55"/>
        <v>420.33714285714279</v>
      </c>
      <c r="H240" s="306">
        <f t="shared" si="55"/>
        <v>62.822000000000003</v>
      </c>
      <c r="I240" s="310">
        <f t="shared" si="61"/>
        <v>78</v>
      </c>
      <c r="J240" s="270">
        <f t="shared" si="56"/>
        <v>13</v>
      </c>
      <c r="K240" s="375">
        <f t="shared" si="62"/>
        <v>0.1300234113929927</v>
      </c>
      <c r="L240" s="314">
        <f t="shared" si="57"/>
        <v>0.32648937402951517</v>
      </c>
      <c r="M240" s="314">
        <f t="shared" si="58"/>
        <v>0.27214650049484373</v>
      </c>
      <c r="N240" s="314">
        <f t="shared" si="59"/>
        <v>4.0673986928387251E-2</v>
      </c>
      <c r="O240" s="1"/>
      <c r="P240" s="318">
        <f t="shared" si="63"/>
        <v>0.32648937402951517</v>
      </c>
    </row>
    <row r="241" spans="1:16" ht="15" customHeight="1" x14ac:dyDescent="0.2">
      <c r="A241" s="63"/>
      <c r="B241" s="186">
        <v>50</v>
      </c>
      <c r="C241" s="271">
        <f t="shared" si="54"/>
        <v>595.14571428571435</v>
      </c>
      <c r="D241" s="302">
        <f t="shared" si="54"/>
        <v>668.14571428571435</v>
      </c>
      <c r="E241" s="276">
        <f t="shared" si="54"/>
        <v>572.4457142857143</v>
      </c>
      <c r="F241" s="276">
        <f t="shared" si="60"/>
        <v>511.01571428571424</v>
      </c>
      <c r="G241" s="271">
        <f t="shared" si="55"/>
        <v>498.01571428571424</v>
      </c>
      <c r="H241" s="307">
        <f t="shared" si="55"/>
        <v>74.430000000000007</v>
      </c>
      <c r="I241" s="311">
        <f t="shared" si="61"/>
        <v>79</v>
      </c>
      <c r="J241" s="271">
        <f t="shared" si="56"/>
        <v>13</v>
      </c>
      <c r="K241" s="376">
        <f t="shared" si="62"/>
        <v>0.13002106250873446</v>
      </c>
      <c r="L241" s="315">
        <f t="shared" si="57"/>
        <v>0.30826808709908021</v>
      </c>
      <c r="M241" s="315">
        <f t="shared" si="58"/>
        <v>0.25795147754593717</v>
      </c>
      <c r="N241" s="315">
        <f t="shared" si="59"/>
        <v>3.8551651931869255E-2</v>
      </c>
      <c r="O241" s="1"/>
      <c r="P241" s="319">
        <f t="shared" si="63"/>
        <v>0.30826808709908021</v>
      </c>
    </row>
    <row r="242" spans="1:16" ht="15" customHeight="1" x14ac:dyDescent="0.2">
      <c r="A242" s="63"/>
      <c r="B242" s="1"/>
      <c r="C242" s="1"/>
      <c r="D242" s="1"/>
      <c r="E242" s="1"/>
      <c r="F242" s="1"/>
      <c r="G242" s="1"/>
      <c r="H242" s="1"/>
      <c r="I242" s="1"/>
      <c r="J242" s="1"/>
      <c r="K242" s="1"/>
      <c r="L242" s="1"/>
      <c r="M242" s="1"/>
      <c r="N242" s="1"/>
      <c r="O242" s="1"/>
      <c r="P242" s="39"/>
    </row>
    <row r="243" spans="1:16" ht="15" customHeight="1" x14ac:dyDescent="0.2">
      <c r="A243" s="63"/>
      <c r="B243" s="1"/>
      <c r="C243" s="1"/>
      <c r="D243" s="1"/>
      <c r="E243" s="1"/>
      <c r="F243" s="1"/>
      <c r="G243" s="1"/>
      <c r="H243" s="1"/>
      <c r="I243" s="1"/>
      <c r="J243" s="1"/>
      <c r="K243" s="1"/>
      <c r="L243" s="357" t="s">
        <v>210</v>
      </c>
      <c r="M243" s="360" t="s">
        <v>399</v>
      </c>
      <c r="N243" s="1"/>
      <c r="O243" s="1"/>
      <c r="P243" s="39"/>
    </row>
    <row r="244" spans="1:16" ht="15" customHeight="1" x14ac:dyDescent="0.2">
      <c r="A244" s="63"/>
      <c r="B244" s="1"/>
      <c r="C244" s="1"/>
      <c r="D244" s="1"/>
      <c r="E244" s="1"/>
      <c r="F244" s="1"/>
      <c r="G244" s="1"/>
      <c r="H244" s="1"/>
      <c r="I244" s="1"/>
      <c r="J244" s="1"/>
      <c r="K244" s="1"/>
      <c r="L244" s="1" t="s">
        <v>400</v>
      </c>
      <c r="M244" s="1"/>
      <c r="N244" s="1"/>
      <c r="O244" s="1"/>
      <c r="P244" s="39"/>
    </row>
    <row r="245" spans="1:16" ht="15" customHeight="1" x14ac:dyDescent="0.2">
      <c r="A245" s="63"/>
      <c r="B245" s="1"/>
      <c r="C245" s="1"/>
      <c r="D245" s="1"/>
      <c r="E245" s="1"/>
      <c r="F245" s="1"/>
      <c r="G245" s="1"/>
      <c r="H245" s="1"/>
      <c r="I245" s="1"/>
      <c r="J245" s="1"/>
      <c r="K245" s="1"/>
      <c r="L245" s="1"/>
      <c r="M245" s="359"/>
      <c r="N245" s="1"/>
      <c r="O245" s="1"/>
      <c r="P245" s="39"/>
    </row>
    <row r="246" spans="1:16" ht="15" customHeight="1" x14ac:dyDescent="0.2">
      <c r="A246" s="64"/>
      <c r="B246" s="42"/>
      <c r="C246" s="42"/>
      <c r="D246" s="42"/>
      <c r="E246" s="42"/>
      <c r="F246" s="42"/>
      <c r="G246" s="42"/>
      <c r="H246" s="42"/>
      <c r="I246" s="42"/>
      <c r="J246" s="42"/>
      <c r="K246" s="42"/>
      <c r="L246" s="42"/>
      <c r="M246" s="42"/>
      <c r="N246" s="42"/>
      <c r="O246" s="42"/>
      <c r="P246" s="31"/>
    </row>
    <row r="247" spans="1:16" ht="15" customHeight="1" x14ac:dyDescent="0.2"/>
    <row r="248" spans="1:16" ht="15" customHeight="1" x14ac:dyDescent="0.2"/>
    <row r="249" spans="1:16" ht="15" customHeight="1" x14ac:dyDescent="0.2"/>
    <row r="250" spans="1:16" ht="15" customHeight="1" x14ac:dyDescent="0.2"/>
    <row r="251" spans="1:16" ht="15" customHeight="1" x14ac:dyDescent="0.2"/>
    <row r="252" spans="1:16" ht="15" customHeight="1" x14ac:dyDescent="0.2"/>
    <row r="253" spans="1:16" ht="15" customHeight="1" x14ac:dyDescent="0.2"/>
    <row r="254" spans="1:16" ht="15" customHeight="1" x14ac:dyDescent="0.2"/>
    <row r="255" spans="1:16" ht="15" customHeight="1" x14ac:dyDescent="0.2"/>
    <row r="256" spans="1:16" ht="15" customHeight="1" x14ac:dyDescent="0.2"/>
    <row r="257" spans="1:21" ht="15" customHeight="1" x14ac:dyDescent="0.2"/>
    <row r="258" spans="1:21" ht="15" customHeight="1" x14ac:dyDescent="0.2"/>
    <row r="259" spans="1:21" ht="15" customHeight="1" x14ac:dyDescent="0.2"/>
    <row r="260" spans="1:21" ht="15" customHeight="1" x14ac:dyDescent="0.2"/>
    <row r="261" spans="1:21" ht="15" customHeight="1" x14ac:dyDescent="0.2"/>
    <row r="262" spans="1:21" ht="15" customHeight="1" x14ac:dyDescent="0.2"/>
    <row r="263" spans="1:21" ht="15" customHeight="1" x14ac:dyDescent="0.2"/>
    <row r="264" spans="1:21" ht="15" customHeight="1" x14ac:dyDescent="0.2"/>
    <row r="265" spans="1:21" ht="15" customHeight="1" x14ac:dyDescent="0.2"/>
    <row r="266" spans="1:21" ht="15" customHeight="1" x14ac:dyDescent="0.2">
      <c r="A266" s="42"/>
      <c r="B266" s="42"/>
      <c r="C266" s="42"/>
      <c r="D266" s="42"/>
      <c r="E266" s="42"/>
      <c r="F266" s="42"/>
      <c r="G266" s="42"/>
      <c r="H266" s="42"/>
      <c r="I266" s="42"/>
      <c r="J266" s="42"/>
      <c r="K266" s="42"/>
      <c r="L266" s="42"/>
      <c r="M266" s="42"/>
      <c r="N266" s="42"/>
      <c r="O266" s="42"/>
      <c r="P266" s="42"/>
      <c r="Q266" s="42"/>
      <c r="R266" s="42"/>
      <c r="S266" s="42"/>
      <c r="T266" s="42"/>
      <c r="U266" s="42"/>
    </row>
    <row r="267" spans="1:21" ht="15" customHeight="1" x14ac:dyDescent="0.2"/>
    <row r="268" spans="1:21" ht="15" customHeight="1" x14ac:dyDescent="0.2"/>
    <row r="269" spans="1:21" ht="15" customHeight="1" x14ac:dyDescent="0.2"/>
    <row r="270" spans="1:21" ht="15" customHeight="1" x14ac:dyDescent="0.2"/>
    <row r="271" spans="1:21" ht="15" customHeight="1" x14ac:dyDescent="0.2"/>
    <row r="272" spans="1:21"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sheetData>
  <pageMargins left="0.45" right="0.45" top="0.5" bottom="0.5" header="0.3" footer="0.3"/>
  <pageSetup scale="77"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
    <pageSetUpPr fitToPage="1"/>
  </sheetPr>
  <dimension ref="A1:X166"/>
  <sheetViews>
    <sheetView showGridLines="0" zoomScale="80" zoomScaleNormal="80" workbookViewId="0"/>
  </sheetViews>
  <sheetFormatPr defaultRowHeight="12.75" x14ac:dyDescent="0.2"/>
  <cols>
    <col min="3" max="3" width="9.140625" customWidth="1"/>
    <col min="7" max="7" width="9.140625" customWidth="1"/>
    <col min="9" max="9" width="9.140625" customWidth="1"/>
    <col min="11" max="12" width="9.140625" customWidth="1"/>
    <col min="13" max="13" width="8.42578125" customWidth="1"/>
    <col min="15" max="15" width="9.140625" customWidth="1"/>
    <col min="20" max="20" width="9.140625" customWidth="1"/>
  </cols>
  <sheetData>
    <row r="1" spans="1:16" ht="15" customHeight="1" x14ac:dyDescent="0.25">
      <c r="K1" t="s">
        <v>74</v>
      </c>
    </row>
    <row r="2" spans="1:16" ht="15" customHeight="1" x14ac:dyDescent="0.2">
      <c r="A2" t="s">
        <v>55</v>
      </c>
      <c r="B2" s="13" t="s">
        <v>54</v>
      </c>
    </row>
    <row r="3" spans="1:16" ht="15" customHeight="1" x14ac:dyDescent="0.2">
      <c r="B3" s="13"/>
    </row>
    <row r="4" spans="1:16" ht="15" customHeight="1" x14ac:dyDescent="0.2">
      <c r="A4" s="2" t="s">
        <v>85</v>
      </c>
      <c r="B4" s="13"/>
    </row>
    <row r="5" spans="1:16" ht="15" customHeight="1" x14ac:dyDescent="0.2"/>
    <row r="6" spans="1:16" ht="15" customHeight="1" x14ac:dyDescent="0.2">
      <c r="B6" s="17" t="s">
        <v>14</v>
      </c>
      <c r="C6" s="18"/>
      <c r="D6" s="18"/>
      <c r="E6" s="18"/>
      <c r="F6" s="18"/>
      <c r="G6" s="18"/>
      <c r="H6" s="18"/>
      <c r="I6" s="18"/>
      <c r="J6" s="18"/>
      <c r="K6" s="18"/>
      <c r="L6" s="19"/>
    </row>
    <row r="7" spans="1:16" ht="15" customHeight="1" x14ac:dyDescent="0.2">
      <c r="B7" s="85" t="s">
        <v>57</v>
      </c>
      <c r="C7" s="83"/>
      <c r="D7" s="83"/>
      <c r="E7" s="83"/>
      <c r="F7" s="83"/>
      <c r="G7" s="83"/>
      <c r="H7" s="83"/>
      <c r="I7" s="83"/>
      <c r="J7" s="83"/>
      <c r="K7" s="83"/>
      <c r="L7" s="83"/>
    </row>
    <row r="8" spans="1:16" ht="15" customHeight="1" x14ac:dyDescent="0.2">
      <c r="B8" s="85" t="s">
        <v>59</v>
      </c>
      <c r="C8" s="83"/>
      <c r="D8" s="83"/>
      <c r="E8" s="83"/>
      <c r="F8" s="83"/>
      <c r="G8" s="83"/>
      <c r="H8" s="83"/>
      <c r="I8" s="83"/>
      <c r="J8" s="83"/>
      <c r="K8" s="83"/>
      <c r="L8" s="83"/>
    </row>
    <row r="9" spans="1:16" ht="15" customHeight="1" x14ac:dyDescent="0.2">
      <c r="B9" s="85" t="s">
        <v>58</v>
      </c>
      <c r="C9" s="83"/>
      <c r="D9" s="83"/>
      <c r="E9" s="83"/>
      <c r="F9" s="83"/>
      <c r="G9" s="83"/>
      <c r="H9" s="83"/>
      <c r="I9" s="83"/>
      <c r="J9" s="83"/>
      <c r="K9" s="83"/>
      <c r="L9" s="83"/>
    </row>
    <row r="10" spans="1:16" ht="15" customHeight="1" x14ac:dyDescent="0.2">
      <c r="B10" s="107" t="s">
        <v>70</v>
      </c>
      <c r="C10" s="83"/>
      <c r="D10" s="83"/>
      <c r="E10" s="83"/>
      <c r="F10" s="83"/>
      <c r="G10" s="83"/>
      <c r="H10" s="83"/>
      <c r="I10" s="83"/>
      <c r="J10" s="83"/>
      <c r="K10" s="83"/>
      <c r="L10" s="83"/>
    </row>
    <row r="11" spans="1:16" ht="15" customHeight="1" x14ac:dyDescent="0.2">
      <c r="B11" s="82"/>
      <c r="C11" s="83"/>
      <c r="D11" s="83"/>
      <c r="E11" s="83"/>
      <c r="F11" s="83"/>
      <c r="G11" s="83"/>
      <c r="H11" s="83"/>
      <c r="I11" s="83"/>
      <c r="J11" s="83"/>
      <c r="K11" s="83"/>
      <c r="L11" s="83"/>
    </row>
    <row r="12" spans="1:16" ht="15" customHeight="1" x14ac:dyDescent="0.2">
      <c r="B12" s="84"/>
      <c r="C12" s="84"/>
      <c r="D12" s="84"/>
      <c r="E12" s="84"/>
      <c r="F12" s="84"/>
      <c r="G12" s="84"/>
      <c r="H12" s="84"/>
      <c r="I12" s="84"/>
      <c r="J12" s="84"/>
      <c r="K12" s="84"/>
      <c r="L12" s="84"/>
    </row>
    <row r="13" spans="1:16" ht="15" customHeight="1" x14ac:dyDescent="0.2">
      <c r="B13" s="20" t="s">
        <v>15</v>
      </c>
      <c r="C13" s="21"/>
      <c r="D13" s="22"/>
      <c r="F13" s="118" t="s">
        <v>56</v>
      </c>
      <c r="J13" s="59" t="s">
        <v>23</v>
      </c>
      <c r="K13" s="60"/>
      <c r="L13" s="60"/>
      <c r="M13" s="61"/>
    </row>
    <row r="14" spans="1:16" ht="15" customHeight="1" x14ac:dyDescent="0.2">
      <c r="B14" s="23" t="s">
        <v>16</v>
      </c>
      <c r="C14" s="24" t="s">
        <v>19</v>
      </c>
      <c r="D14" s="25">
        <v>0.9</v>
      </c>
      <c r="F14" s="118" t="s">
        <v>80</v>
      </c>
      <c r="J14" s="35" t="s">
        <v>24</v>
      </c>
      <c r="K14" s="36" t="s">
        <v>26</v>
      </c>
      <c r="L14" s="21"/>
      <c r="M14" s="22"/>
    </row>
    <row r="15" spans="1:16" ht="15" customHeight="1" x14ac:dyDescent="0.2">
      <c r="B15" s="23" t="s">
        <v>17</v>
      </c>
      <c r="C15" s="24" t="s">
        <v>20</v>
      </c>
      <c r="D15" s="25">
        <v>0.96</v>
      </c>
      <c r="F15" s="29" t="s">
        <v>39</v>
      </c>
      <c r="G15" s="87" t="s">
        <v>61</v>
      </c>
      <c r="H15" s="30"/>
      <c r="J15" s="37" t="s">
        <v>25</v>
      </c>
      <c r="K15" s="38" t="s">
        <v>27</v>
      </c>
      <c r="L15" s="1"/>
      <c r="M15" s="39"/>
      <c r="O15" s="123">
        <v>0.432</v>
      </c>
      <c r="P15" s="123">
        <v>0.497</v>
      </c>
    </row>
    <row r="16" spans="1:16" ht="15" customHeight="1" x14ac:dyDescent="0.2">
      <c r="B16" s="26" t="s">
        <v>18</v>
      </c>
      <c r="C16" s="27" t="s">
        <v>28</v>
      </c>
      <c r="D16" s="28">
        <v>85</v>
      </c>
      <c r="F16" s="58">
        <v>1</v>
      </c>
      <c r="G16" s="86" t="s">
        <v>60</v>
      </c>
      <c r="H16" s="88">
        <v>0.872</v>
      </c>
      <c r="I16" s="88">
        <v>0.84</v>
      </c>
      <c r="J16" s="62">
        <f>D15*2.20462*25.4*12</f>
        <v>645.0894489599998</v>
      </c>
      <c r="K16" s="75">
        <f>(H16*D$14*SQRT(4*D$16*J$16/32.2)/12)/2</f>
        <v>2.6987909470233262</v>
      </c>
      <c r="L16" s="1"/>
      <c r="M16" s="39"/>
      <c r="N16" s="88">
        <v>0.92</v>
      </c>
      <c r="O16" s="124">
        <f>I16*$O$15</f>
        <v>0.36287999999999998</v>
      </c>
      <c r="P16" s="126">
        <f>H16*$P$15</f>
        <v>0.43338399999999999</v>
      </c>
    </row>
    <row r="17" spans="2:21" ht="15" customHeight="1" x14ac:dyDescent="0.2">
      <c r="F17" s="58">
        <v>2</v>
      </c>
      <c r="G17" s="86" t="s">
        <v>60</v>
      </c>
      <c r="H17" s="113">
        <v>0.66200000000000003</v>
      </c>
      <c r="I17" s="113">
        <v>0.63</v>
      </c>
      <c r="J17" s="63"/>
      <c r="K17" s="75">
        <f t="shared" ref="K17:K26" si="0">(H17*D$14*SQRT(4*D$16*J$16/32.2)/12)/2</f>
        <v>2.0488527602401856</v>
      </c>
      <c r="L17" s="1"/>
      <c r="M17" s="39"/>
      <c r="N17" s="113">
        <v>0.64</v>
      </c>
      <c r="O17" s="124">
        <f t="shared" ref="O17:O27" si="1">I17*$O$15</f>
        <v>0.27216000000000001</v>
      </c>
      <c r="P17" s="126">
        <f t="shared" ref="P17:P27" si="2">H17*$P$15</f>
        <v>0.32901400000000003</v>
      </c>
    </row>
    <row r="18" spans="2:21" ht="15" customHeight="1" x14ac:dyDescent="0.2">
      <c r="F18" s="58">
        <v>3</v>
      </c>
      <c r="G18" s="86" t="s">
        <v>60</v>
      </c>
      <c r="H18" s="89">
        <v>0.56000000000000005</v>
      </c>
      <c r="I18" s="89">
        <v>0.53800000000000003</v>
      </c>
      <c r="J18" s="63"/>
      <c r="K18" s="75">
        <f t="shared" si="0"/>
        <v>1.733168498088375</v>
      </c>
      <c r="L18" s="1"/>
      <c r="M18" s="39"/>
      <c r="N18" s="89">
        <v>0.57999999999999996</v>
      </c>
      <c r="O18" s="124">
        <f t="shared" si="1"/>
        <v>0.23241600000000001</v>
      </c>
      <c r="P18" s="126">
        <f t="shared" si="2"/>
        <v>0.27832000000000001</v>
      </c>
    </row>
    <row r="19" spans="2:21" ht="15" customHeight="1" x14ac:dyDescent="0.2">
      <c r="F19" s="58">
        <v>4</v>
      </c>
      <c r="G19" s="86" t="s">
        <v>60</v>
      </c>
      <c r="H19" s="88">
        <v>0.50900000000000001</v>
      </c>
      <c r="I19" s="88">
        <v>0.48499999999999999</v>
      </c>
      <c r="J19" s="63"/>
      <c r="K19" s="75">
        <f t="shared" si="0"/>
        <v>1.5753263670124689</v>
      </c>
      <c r="L19" s="1"/>
      <c r="M19" s="39"/>
      <c r="N19" s="88">
        <v>0.54</v>
      </c>
      <c r="O19" s="124">
        <f t="shared" si="1"/>
        <v>0.20951999999999998</v>
      </c>
      <c r="P19" s="126">
        <f t="shared" si="2"/>
        <v>0.252973</v>
      </c>
    </row>
    <row r="20" spans="2:21" ht="15" customHeight="1" x14ac:dyDescent="0.2">
      <c r="B20" s="119" t="s">
        <v>77</v>
      </c>
      <c r="F20" s="58">
        <v>5</v>
      </c>
      <c r="G20" s="86" t="s">
        <v>60</v>
      </c>
      <c r="H20" s="113">
        <v>0.46500000000000002</v>
      </c>
      <c r="I20" s="113">
        <v>0.44600000000000001</v>
      </c>
      <c r="J20" s="63"/>
      <c r="K20" s="75">
        <f t="shared" si="0"/>
        <v>1.4391488421626681</v>
      </c>
      <c r="L20" s="1"/>
      <c r="M20" s="39"/>
      <c r="N20" s="113">
        <v>0.5</v>
      </c>
      <c r="O20" s="124">
        <f t="shared" si="1"/>
        <v>0.19267200000000001</v>
      </c>
      <c r="P20" s="126">
        <f t="shared" si="2"/>
        <v>0.231105</v>
      </c>
    </row>
    <row r="21" spans="2:21" ht="15" customHeight="1" x14ac:dyDescent="0.2">
      <c r="B21" s="118" t="s">
        <v>78</v>
      </c>
      <c r="F21" s="58">
        <v>10</v>
      </c>
      <c r="G21" s="86" t="s">
        <v>60</v>
      </c>
      <c r="H21" s="89">
        <v>0.33</v>
      </c>
      <c r="I21" s="89">
        <v>0.317</v>
      </c>
      <c r="J21" s="63"/>
      <c r="K21" s="75">
        <f t="shared" si="0"/>
        <v>1.0213314363735064</v>
      </c>
      <c r="L21" s="1"/>
      <c r="M21" s="39"/>
      <c r="N21" s="89">
        <v>0.34</v>
      </c>
      <c r="O21" s="124">
        <f t="shared" si="1"/>
        <v>0.13694400000000001</v>
      </c>
      <c r="P21" s="126">
        <f t="shared" si="2"/>
        <v>0.16401000000000002</v>
      </c>
    </row>
    <row r="22" spans="2:21" ht="15" customHeight="1" x14ac:dyDescent="0.2">
      <c r="B22" s="114" t="s">
        <v>75</v>
      </c>
      <c r="C22" s="114" t="s">
        <v>76</v>
      </c>
      <c r="F22" s="58">
        <v>20</v>
      </c>
      <c r="G22" s="86" t="s">
        <v>60</v>
      </c>
      <c r="H22" s="88">
        <v>0.24399999999999999</v>
      </c>
      <c r="I22" s="88">
        <v>0.24099999999999999</v>
      </c>
      <c r="J22" s="63"/>
      <c r="K22" s="75">
        <f t="shared" si="0"/>
        <v>0.75516627416707749</v>
      </c>
      <c r="L22" s="1"/>
      <c r="M22" s="39"/>
      <c r="N22" s="88">
        <v>0.24</v>
      </c>
      <c r="O22" s="124">
        <f t="shared" si="1"/>
        <v>0.104112</v>
      </c>
      <c r="P22" s="126">
        <f t="shared" si="2"/>
        <v>0.121268</v>
      </c>
    </row>
    <row r="23" spans="2:21" ht="15" customHeight="1" x14ac:dyDescent="0.2">
      <c r="B23" s="88">
        <v>0.92</v>
      </c>
      <c r="C23" s="88">
        <v>1.62</v>
      </c>
      <c r="F23" s="58">
        <v>30</v>
      </c>
      <c r="G23" s="86" t="s">
        <v>60</v>
      </c>
      <c r="H23" s="88">
        <v>0.216</v>
      </c>
      <c r="I23" s="88">
        <v>0.21299999999999999</v>
      </c>
      <c r="J23" s="63"/>
      <c r="K23" s="75">
        <f t="shared" si="0"/>
        <v>0.66850784926265872</v>
      </c>
      <c r="L23" s="1"/>
      <c r="M23" s="39"/>
      <c r="N23" s="88">
        <v>0.21</v>
      </c>
      <c r="O23" s="124">
        <f t="shared" si="1"/>
        <v>9.2016000000000001E-2</v>
      </c>
      <c r="P23" s="126">
        <f t="shared" si="2"/>
        <v>0.107352</v>
      </c>
    </row>
    <row r="24" spans="2:21" ht="15" customHeight="1" x14ac:dyDescent="0.2">
      <c r="B24" s="113">
        <v>0.64</v>
      </c>
      <c r="C24" s="113">
        <v>1</v>
      </c>
      <c r="F24" s="58">
        <v>40</v>
      </c>
      <c r="G24" s="86" t="s">
        <v>60</v>
      </c>
      <c r="H24" s="88">
        <v>0.20300000000000001</v>
      </c>
      <c r="I24" s="88">
        <v>0.2</v>
      </c>
      <c r="J24" s="63"/>
      <c r="K24" s="75">
        <f t="shared" si="0"/>
        <v>0.62827358055703586</v>
      </c>
      <c r="L24" s="1"/>
      <c r="M24" s="39"/>
      <c r="N24" s="88">
        <v>0.19</v>
      </c>
      <c r="O24" s="124">
        <f t="shared" si="1"/>
        <v>8.6400000000000005E-2</v>
      </c>
      <c r="P24" s="126">
        <f t="shared" si="2"/>
        <v>0.10089100000000001</v>
      </c>
    </row>
    <row r="25" spans="2:21" ht="15" customHeight="1" x14ac:dyDescent="0.2">
      <c r="B25" s="89">
        <v>0.57999999999999996</v>
      </c>
      <c r="C25" s="89">
        <v>0.78</v>
      </c>
      <c r="F25" s="58">
        <v>50</v>
      </c>
      <c r="G25" s="86" t="s">
        <v>60</v>
      </c>
      <c r="H25" s="113">
        <v>0.19500000000000001</v>
      </c>
      <c r="I25" s="113">
        <v>0.193</v>
      </c>
      <c r="J25" s="63"/>
      <c r="K25" s="75">
        <f t="shared" si="0"/>
        <v>0.60351403058434483</v>
      </c>
      <c r="L25" s="1"/>
      <c r="M25" s="39"/>
      <c r="N25" s="113">
        <v>0.19</v>
      </c>
      <c r="O25" s="124">
        <f t="shared" si="1"/>
        <v>8.3376000000000006E-2</v>
      </c>
      <c r="P25" s="126">
        <f t="shared" si="2"/>
        <v>9.6915000000000001E-2</v>
      </c>
    </row>
    <row r="26" spans="2:21" ht="15" customHeight="1" x14ac:dyDescent="0.2">
      <c r="B26" s="88">
        <v>0.54</v>
      </c>
      <c r="C26" s="88">
        <v>0.65</v>
      </c>
      <c r="F26" s="58">
        <v>60</v>
      </c>
      <c r="G26" s="86" t="s">
        <v>60</v>
      </c>
      <c r="H26" s="113">
        <v>0.19</v>
      </c>
      <c r="I26" s="113">
        <v>0.189</v>
      </c>
      <c r="J26" s="63"/>
      <c r="K26" s="75">
        <f t="shared" si="0"/>
        <v>0.58803931185141278</v>
      </c>
      <c r="L26" s="1"/>
      <c r="M26" s="39"/>
      <c r="N26" s="113">
        <v>0.18</v>
      </c>
      <c r="O26" s="124">
        <f t="shared" si="1"/>
        <v>8.1647999999999998E-2</v>
      </c>
      <c r="P26" s="126">
        <f t="shared" si="2"/>
        <v>9.443E-2</v>
      </c>
    </row>
    <row r="27" spans="2:21" ht="15" customHeight="1" x14ac:dyDescent="0.2">
      <c r="B27" s="113">
        <v>0.5</v>
      </c>
      <c r="C27" s="113">
        <v>0.56000000000000005</v>
      </c>
      <c r="F27" s="58">
        <v>70</v>
      </c>
      <c r="G27" s="86" t="s">
        <v>60</v>
      </c>
      <c r="H27" s="89">
        <v>0.186</v>
      </c>
      <c r="I27" s="89">
        <v>0.186</v>
      </c>
      <c r="J27" s="64"/>
      <c r="K27" s="76">
        <f>(H27*D$14*SQRT(4*D$16*J$16/32.2)/12)/2</f>
        <v>0.57565953686506721</v>
      </c>
      <c r="L27" s="42"/>
      <c r="M27" s="31"/>
      <c r="N27" s="89">
        <v>0.18</v>
      </c>
      <c r="O27" s="124">
        <f t="shared" si="1"/>
        <v>8.0351999999999993E-2</v>
      </c>
      <c r="P27" s="126">
        <f t="shared" si="2"/>
        <v>9.2441999999999996E-2</v>
      </c>
    </row>
    <row r="28" spans="2:21" ht="15" customHeight="1" x14ac:dyDescent="0.2">
      <c r="B28" s="89">
        <v>0.34</v>
      </c>
      <c r="C28" s="89">
        <v>0.35</v>
      </c>
      <c r="R28" s="106">
        <f>D14</f>
        <v>0.9</v>
      </c>
      <c r="S28" s="2" t="s">
        <v>6</v>
      </c>
    </row>
    <row r="29" spans="2:21" ht="15" customHeight="1" x14ac:dyDescent="0.2">
      <c r="B29" s="88">
        <v>0.24</v>
      </c>
      <c r="C29" s="88">
        <v>0.24</v>
      </c>
      <c r="J29" s="54" t="s">
        <v>62</v>
      </c>
      <c r="R29" s="106">
        <f>D15</f>
        <v>0.96</v>
      </c>
      <c r="S29" s="1" t="s">
        <v>0</v>
      </c>
    </row>
    <row r="30" spans="2:21" ht="15" customHeight="1" x14ac:dyDescent="0.2">
      <c r="B30" s="88">
        <v>0.21</v>
      </c>
      <c r="C30" s="88">
        <v>0.21</v>
      </c>
      <c r="J30" s="32" t="s">
        <v>29</v>
      </c>
      <c r="K30" s="33"/>
      <c r="L30" s="34"/>
      <c r="N30" s="94">
        <v>1</v>
      </c>
      <c r="R30" s="106">
        <f>D16</f>
        <v>85</v>
      </c>
      <c r="S30" s="2" t="s">
        <v>1</v>
      </c>
    </row>
    <row r="31" spans="2:21" ht="15" customHeight="1" x14ac:dyDescent="0.2">
      <c r="B31" s="88">
        <v>0.19</v>
      </c>
      <c r="C31" s="88">
        <v>0.2</v>
      </c>
      <c r="J31" s="128" t="s">
        <v>30</v>
      </c>
      <c r="K31" s="109" t="s">
        <v>32</v>
      </c>
      <c r="L31" s="39"/>
      <c r="N31" s="93" t="s">
        <v>50</v>
      </c>
      <c r="S31" s="54" t="s">
        <v>69</v>
      </c>
    </row>
    <row r="32" spans="2:21" ht="15" customHeight="1" x14ac:dyDescent="0.2">
      <c r="B32" s="113">
        <v>0.19</v>
      </c>
      <c r="C32" s="113">
        <v>0.19</v>
      </c>
      <c r="J32" s="37" t="s">
        <v>31</v>
      </c>
      <c r="K32" s="38" t="s">
        <v>33</v>
      </c>
      <c r="L32" s="25" t="s">
        <v>81</v>
      </c>
      <c r="M32" s="90" t="s">
        <v>63</v>
      </c>
      <c r="N32" s="92" t="s">
        <v>64</v>
      </c>
      <c r="R32" s="5" t="s">
        <v>2</v>
      </c>
      <c r="S32" s="67" t="s">
        <v>67</v>
      </c>
      <c r="T32" s="55" t="s">
        <v>37</v>
      </c>
      <c r="U32" s="6" t="s">
        <v>68</v>
      </c>
    </row>
    <row r="33" spans="1:24" ht="15" customHeight="1" x14ac:dyDescent="0.2">
      <c r="B33" s="113">
        <v>0.18</v>
      </c>
      <c r="C33" s="113">
        <v>0.19</v>
      </c>
      <c r="J33" s="44">
        <v>1</v>
      </c>
      <c r="K33" s="14">
        <f>J33*K16</f>
        <v>2.6987909470233262</v>
      </c>
      <c r="L33" s="125">
        <f>K33+2</f>
        <v>4.6987909470233262</v>
      </c>
      <c r="M33" s="120">
        <v>2.8473482468594731</v>
      </c>
      <c r="N33" s="105">
        <f t="shared" ref="N33:N44" si="3">K33*$N$30</f>
        <v>2.6987909470233262</v>
      </c>
      <c r="R33" s="99">
        <v>1</v>
      </c>
      <c r="S33" s="99">
        <f>N33</f>
        <v>2.6987909470233262</v>
      </c>
      <c r="T33" s="99">
        <f>S33/R33</f>
        <v>2.6987909470233262</v>
      </c>
      <c r="U33" s="102">
        <f>SQRT(12*32.2*T33^2/(4*$D$16*($D$15*56)*$D$14^2))</f>
        <v>0.43598967602062716</v>
      </c>
    </row>
    <row r="34" spans="1:24" ht="15" customHeight="1" x14ac:dyDescent="0.2">
      <c r="B34" s="89">
        <v>0.18</v>
      </c>
      <c r="C34" s="89">
        <v>0.19</v>
      </c>
      <c r="J34" s="44">
        <v>2</v>
      </c>
      <c r="K34" s="14">
        <f t="shared" ref="K34:K43" si="4">J34*K17</f>
        <v>4.0977055204803712</v>
      </c>
      <c r="L34" s="125">
        <f t="shared" ref="L34:L44" si="5">K34+2</f>
        <v>6.0977055204803712</v>
      </c>
      <c r="M34" s="121">
        <v>3.9615279956305707</v>
      </c>
      <c r="N34" s="116">
        <f t="shared" si="3"/>
        <v>4.0977055204803712</v>
      </c>
      <c r="R34" s="100">
        <v>2</v>
      </c>
      <c r="S34" s="100">
        <f t="shared" ref="S34:S44" si="6">N34</f>
        <v>4.0977055204803712</v>
      </c>
      <c r="T34" s="100">
        <f t="shared" ref="T34:T44" si="7">S34/R34</f>
        <v>2.0488527602401856</v>
      </c>
      <c r="U34" s="103">
        <f t="shared" ref="U34:U44" si="8">SQRT(12*32.2*T34^2/(4*$D$16*($D$15*56)*$D$14^2))</f>
        <v>0.33099216230006323</v>
      </c>
    </row>
    <row r="35" spans="1:24" ht="15" customHeight="1" x14ac:dyDescent="0.2">
      <c r="J35" s="48">
        <v>3</v>
      </c>
      <c r="K35" s="110">
        <f t="shared" si="4"/>
        <v>5.1995054942651251</v>
      </c>
      <c r="L35" s="125">
        <f t="shared" si="5"/>
        <v>7.1995054942651251</v>
      </c>
      <c r="M35" s="120">
        <v>5.385202119060307</v>
      </c>
      <c r="N35" s="105">
        <f>K35*$N$30</f>
        <v>5.1995054942651251</v>
      </c>
      <c r="R35" s="99">
        <v>3</v>
      </c>
      <c r="S35" s="99">
        <f t="shared" si="6"/>
        <v>5.1995054942651251</v>
      </c>
      <c r="T35" s="99">
        <f t="shared" si="7"/>
        <v>1.733168498088375</v>
      </c>
      <c r="U35" s="102">
        <f t="shared" si="8"/>
        <v>0.2799933699215037</v>
      </c>
    </row>
    <row r="36" spans="1:24" ht="15" customHeight="1" x14ac:dyDescent="0.2">
      <c r="J36" s="44">
        <v>4</v>
      </c>
      <c r="K36" s="14">
        <f t="shared" si="4"/>
        <v>6.3013054680498755</v>
      </c>
      <c r="L36" s="125">
        <f t="shared" si="5"/>
        <v>8.3013054680498755</v>
      </c>
      <c r="M36" s="120">
        <v>6.6850784926265883</v>
      </c>
      <c r="N36" s="105">
        <f t="shared" si="3"/>
        <v>6.3013054680498755</v>
      </c>
      <c r="R36" s="99">
        <v>4</v>
      </c>
      <c r="S36" s="99">
        <f t="shared" si="6"/>
        <v>6.3013054680498755</v>
      </c>
      <c r="T36" s="99">
        <f t="shared" si="7"/>
        <v>1.5753263670124689</v>
      </c>
      <c r="U36" s="102">
        <f t="shared" si="8"/>
        <v>0.25449397373222382</v>
      </c>
    </row>
    <row r="37" spans="1:24" ht="15" customHeight="1" x14ac:dyDescent="0.2">
      <c r="J37" s="44">
        <v>5</v>
      </c>
      <c r="K37" s="14">
        <f t="shared" si="4"/>
        <v>7.1957442108133405</v>
      </c>
      <c r="L37" s="125">
        <f t="shared" si="5"/>
        <v>9.1957442108133414</v>
      </c>
      <c r="M37" s="121">
        <v>7.7373593664659577</v>
      </c>
      <c r="N37" s="116">
        <f t="shared" si="3"/>
        <v>7.1957442108133405</v>
      </c>
      <c r="R37" s="100">
        <v>5</v>
      </c>
      <c r="S37" s="100">
        <f t="shared" si="6"/>
        <v>7.1957442108133405</v>
      </c>
      <c r="T37" s="100">
        <f t="shared" si="7"/>
        <v>1.4391488421626681</v>
      </c>
      <c r="U37" s="103">
        <f t="shared" si="8"/>
        <v>0.23249449466696284</v>
      </c>
    </row>
    <row r="38" spans="1:24" ht="15" customHeight="1" x14ac:dyDescent="0.2">
      <c r="J38" s="48">
        <v>10</v>
      </c>
      <c r="K38" s="110">
        <f t="shared" si="4"/>
        <v>10.213314363735064</v>
      </c>
      <c r="L38" s="125">
        <f t="shared" si="5"/>
        <v>12.213314363735064</v>
      </c>
      <c r="M38" s="122">
        <v>10.522808738393705</v>
      </c>
      <c r="N38" s="117">
        <f t="shared" si="3"/>
        <v>10.213314363735064</v>
      </c>
      <c r="R38" s="101">
        <v>10</v>
      </c>
      <c r="S38" s="101">
        <f t="shared" si="6"/>
        <v>10.213314363735064</v>
      </c>
      <c r="T38" s="101">
        <f t="shared" si="7"/>
        <v>1.0213314363735064</v>
      </c>
      <c r="U38" s="104">
        <f t="shared" si="8"/>
        <v>0.16499609298945753</v>
      </c>
    </row>
    <row r="39" spans="1:24" ht="15" customHeight="1" x14ac:dyDescent="0.2">
      <c r="J39" s="44">
        <v>20</v>
      </c>
      <c r="K39" s="14">
        <f t="shared" si="4"/>
        <v>15.10332548334155</v>
      </c>
      <c r="L39" s="125">
        <f t="shared" si="5"/>
        <v>17.10332548334155</v>
      </c>
      <c r="M39" s="120">
        <v>14.855729983614639</v>
      </c>
      <c r="N39" s="105">
        <f t="shared" si="3"/>
        <v>15.10332548334155</v>
      </c>
      <c r="R39" s="99">
        <v>20</v>
      </c>
      <c r="S39" s="99">
        <f t="shared" si="6"/>
        <v>15.10332548334155</v>
      </c>
      <c r="T39" s="99">
        <f t="shared" si="7"/>
        <v>0.75516627416707749</v>
      </c>
      <c r="U39" s="102">
        <f t="shared" si="8"/>
        <v>0.12199711118008374</v>
      </c>
    </row>
    <row r="40" spans="1:24" ht="15" customHeight="1" x14ac:dyDescent="0.2">
      <c r="J40" s="44">
        <v>30</v>
      </c>
      <c r="K40" s="14">
        <f t="shared" si="4"/>
        <v>20.055235477879762</v>
      </c>
      <c r="L40" s="125">
        <f t="shared" si="5"/>
        <v>22.055235477879762</v>
      </c>
      <c r="M40" s="120">
        <v>19.498145603494212</v>
      </c>
      <c r="N40" s="105">
        <f t="shared" si="3"/>
        <v>20.055235477879762</v>
      </c>
      <c r="R40" s="99">
        <v>30</v>
      </c>
      <c r="S40" s="99">
        <f t="shared" si="6"/>
        <v>20.055235477879762</v>
      </c>
      <c r="T40" s="99">
        <f t="shared" si="7"/>
        <v>0.66850784926265872</v>
      </c>
      <c r="U40" s="102">
        <f t="shared" si="8"/>
        <v>0.10799744268400854</v>
      </c>
    </row>
    <row r="41" spans="1:24" ht="15" customHeight="1" x14ac:dyDescent="0.2">
      <c r="J41" s="44">
        <v>40</v>
      </c>
      <c r="K41" s="14">
        <f t="shared" si="4"/>
        <v>25.130943222281434</v>
      </c>
      <c r="L41" s="125">
        <f t="shared" si="5"/>
        <v>27.130943222281434</v>
      </c>
      <c r="M41" s="120">
        <v>23.521572474056512</v>
      </c>
      <c r="N41" s="105">
        <f>K41*$N$30</f>
        <v>25.130943222281434</v>
      </c>
      <c r="R41" s="99">
        <v>40</v>
      </c>
      <c r="S41" s="99">
        <f t="shared" si="6"/>
        <v>25.130943222281434</v>
      </c>
      <c r="T41" s="99">
        <f t="shared" si="7"/>
        <v>0.62827358055703586</v>
      </c>
      <c r="U41" s="102">
        <f t="shared" si="8"/>
        <v>0.10149759659654509</v>
      </c>
    </row>
    <row r="42" spans="1:24" ht="15" customHeight="1" x14ac:dyDescent="0.2">
      <c r="J42" s="44">
        <v>50</v>
      </c>
      <c r="K42" s="14">
        <f t="shared" si="4"/>
        <v>30.175701529217243</v>
      </c>
      <c r="L42" s="125">
        <f t="shared" si="5"/>
        <v>32.175701529217243</v>
      </c>
      <c r="M42" s="120">
        <v>29.40196559257064</v>
      </c>
      <c r="N42" s="105">
        <f t="shared" ref="N42:N43" si="9">K42*$N$30</f>
        <v>30.175701529217243</v>
      </c>
      <c r="R42" s="99"/>
      <c r="S42" s="99"/>
      <c r="T42" s="99"/>
      <c r="U42" s="102"/>
    </row>
    <row r="43" spans="1:24" ht="15" customHeight="1" x14ac:dyDescent="0.2">
      <c r="J43" s="44">
        <v>60</v>
      </c>
      <c r="K43" s="14">
        <f t="shared" si="4"/>
        <v>35.282358711084768</v>
      </c>
      <c r="L43" s="125">
        <f t="shared" si="5"/>
        <v>37.282358711084768</v>
      </c>
      <c r="M43" s="120">
        <v>33.425392463132937</v>
      </c>
      <c r="N43" s="105">
        <f t="shared" si="9"/>
        <v>35.282358711084768</v>
      </c>
      <c r="R43" s="99"/>
      <c r="S43" s="99"/>
      <c r="T43" s="99"/>
      <c r="U43" s="102"/>
    </row>
    <row r="44" spans="1:24" ht="15" customHeight="1" x14ac:dyDescent="0.2">
      <c r="J44" s="98">
        <v>70</v>
      </c>
      <c r="K44" s="115">
        <f>J44*K27</f>
        <v>40.296167580554702</v>
      </c>
      <c r="L44" s="127">
        <f t="shared" si="5"/>
        <v>42.296167580554702</v>
      </c>
      <c r="M44" s="121">
        <v>38.996291206988424</v>
      </c>
      <c r="N44" s="116">
        <f t="shared" si="3"/>
        <v>40.296167580554702</v>
      </c>
      <c r="R44" s="100">
        <v>50</v>
      </c>
      <c r="S44" s="100">
        <f t="shared" si="6"/>
        <v>40.296167580554702</v>
      </c>
      <c r="T44" s="100">
        <f t="shared" si="7"/>
        <v>0.80592335161109407</v>
      </c>
      <c r="U44" s="103">
        <f t="shared" si="8"/>
        <v>0.13019691701349917</v>
      </c>
    </row>
    <row r="45" spans="1:24" ht="15" customHeight="1" x14ac:dyDescent="0.2">
      <c r="J45" s="95" t="s">
        <v>66</v>
      </c>
      <c r="K45" s="96">
        <f>K38/K33</f>
        <v>3.7844036697247705</v>
      </c>
      <c r="L45" s="3"/>
      <c r="N45" s="96">
        <f>N38/N33</f>
        <v>3.7844036697247705</v>
      </c>
      <c r="R45" s="95" t="s">
        <v>66</v>
      </c>
      <c r="S45" s="96">
        <f>S38/S33</f>
        <v>3.7844036697247705</v>
      </c>
    </row>
    <row r="46" spans="1:24" ht="15" customHeight="1" x14ac:dyDescent="0.2">
      <c r="J46" s="95" t="s">
        <v>79</v>
      </c>
      <c r="K46" s="96">
        <f>K44/K38</f>
        <v>3.9454545454545449</v>
      </c>
      <c r="L46" s="3"/>
      <c r="N46" s="96">
        <f>N44/N38</f>
        <v>3.9454545454545449</v>
      </c>
      <c r="R46" s="97" t="s">
        <v>65</v>
      </c>
      <c r="S46" s="96">
        <f>S44/S38</f>
        <v>3.9454545454545449</v>
      </c>
    </row>
    <row r="47" spans="1:24" ht="15" customHeight="1" x14ac:dyDescent="0.2">
      <c r="J47" s="3"/>
      <c r="K47" s="14"/>
      <c r="L47" s="3"/>
    </row>
    <row r="48" spans="1:24" ht="15" customHeight="1" thickBot="1" x14ac:dyDescent="0.25">
      <c r="A48" s="129"/>
      <c r="B48" s="129"/>
      <c r="C48" s="129"/>
      <c r="D48" s="129"/>
      <c r="E48" s="129"/>
      <c r="F48" s="129"/>
      <c r="G48" s="129"/>
      <c r="H48" s="129"/>
      <c r="I48" s="129"/>
      <c r="J48" s="130"/>
      <c r="K48" s="131"/>
      <c r="L48" s="130"/>
      <c r="M48" s="129"/>
      <c r="N48" s="129"/>
      <c r="O48" s="129"/>
      <c r="P48" s="129"/>
      <c r="Q48" s="129"/>
      <c r="R48" s="129"/>
      <c r="S48" s="129"/>
      <c r="T48" s="129"/>
      <c r="U48" s="129"/>
      <c r="V48" s="129"/>
      <c r="W48" s="129"/>
      <c r="X48" s="129"/>
    </row>
    <row r="49" spans="1:1" ht="15" customHeight="1" x14ac:dyDescent="0.2"/>
    <row r="50" spans="1:1" ht="15" customHeight="1" x14ac:dyDescent="0.2">
      <c r="A50" t="s">
        <v>82</v>
      </c>
    </row>
    <row r="51" spans="1:1" ht="15" customHeight="1" x14ac:dyDescent="0.2">
      <c r="A51" s="54" t="s">
        <v>83</v>
      </c>
    </row>
    <row r="52" spans="1:1" ht="15" customHeight="1" x14ac:dyDescent="0.2">
      <c r="A52" t="s">
        <v>84</v>
      </c>
    </row>
    <row r="53" spans="1:1" ht="15" customHeight="1" x14ac:dyDescent="0.2"/>
    <row r="54" spans="1:1" ht="15" customHeight="1" x14ac:dyDescent="0.2"/>
    <row r="55" spans="1:1" ht="15" customHeight="1" x14ac:dyDescent="0.2"/>
    <row r="56" spans="1:1" ht="15" customHeight="1" x14ac:dyDescent="0.2"/>
    <row r="57" spans="1:1" ht="15" customHeight="1" x14ac:dyDescent="0.2"/>
    <row r="58" spans="1:1" ht="15" customHeight="1" x14ac:dyDescent="0.2"/>
    <row r="59" spans="1:1" ht="15" customHeight="1" x14ac:dyDescent="0.2"/>
    <row r="60" spans="1:1" ht="15" customHeight="1" x14ac:dyDescent="0.2"/>
    <row r="61" spans="1:1" ht="15" customHeight="1" x14ac:dyDescent="0.2"/>
    <row r="62" spans="1:1" ht="15" customHeight="1" x14ac:dyDescent="0.2"/>
    <row r="63" spans="1:1" ht="15" customHeight="1" x14ac:dyDescent="0.2"/>
    <row r="64" spans="1:1"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sheetData>
  <pageMargins left="0.2" right="0.2" top="0.5" bottom="0.5" header="0.3" footer="0.3"/>
  <pageSetup scale="94"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3">
    <pageSetUpPr fitToPage="1"/>
  </sheetPr>
  <dimension ref="A1:L170"/>
  <sheetViews>
    <sheetView showGridLines="0" zoomScale="90" zoomScaleNormal="90" workbookViewId="0">
      <selection activeCell="B42" sqref="B42"/>
    </sheetView>
  </sheetViews>
  <sheetFormatPr defaultRowHeight="12.75" x14ac:dyDescent="0.2"/>
  <cols>
    <col min="3" max="3" width="9.140625" customWidth="1"/>
    <col min="7" max="7" width="5.7109375" customWidth="1"/>
    <col min="9" max="9" width="9.140625" customWidth="1"/>
    <col min="11" max="12" width="9.140625" customWidth="1"/>
    <col min="13" max="13" width="5.7109375" customWidth="1"/>
    <col min="15" max="15" width="9.140625" customWidth="1"/>
    <col min="20" max="20" width="5.7109375" customWidth="1"/>
  </cols>
  <sheetData>
    <row r="1" spans="1:12" ht="15" customHeight="1" x14ac:dyDescent="0.25">
      <c r="K1" t="s">
        <v>73</v>
      </c>
    </row>
    <row r="2" spans="1:12" ht="15" customHeight="1" x14ac:dyDescent="0.25">
      <c r="A2" t="s">
        <v>13</v>
      </c>
      <c r="B2" s="13" t="s">
        <v>12</v>
      </c>
    </row>
    <row r="3" spans="1:12" ht="15" customHeight="1" x14ac:dyDescent="0.25">
      <c r="B3" s="13" t="s">
        <v>7</v>
      </c>
    </row>
    <row r="4" spans="1:12" ht="15" customHeight="1" x14ac:dyDescent="0.25"/>
    <row r="5" spans="1:12" ht="15" customHeight="1" x14ac:dyDescent="0.25">
      <c r="I5" t="s">
        <v>8</v>
      </c>
    </row>
    <row r="6" spans="1:12" ht="15" customHeight="1" x14ac:dyDescent="0.25">
      <c r="B6" s="4">
        <v>2.46</v>
      </c>
      <c r="C6" s="2" t="s">
        <v>6</v>
      </c>
      <c r="E6" s="8"/>
      <c r="F6" s="1"/>
      <c r="I6" s="4">
        <v>2.46</v>
      </c>
      <c r="J6" s="2" t="s">
        <v>6</v>
      </c>
    </row>
    <row r="7" spans="1:12" ht="15" customHeight="1" x14ac:dyDescent="0.25">
      <c r="B7" s="4">
        <v>4.5</v>
      </c>
      <c r="C7" s="1" t="s">
        <v>0</v>
      </c>
      <c r="F7" s="1"/>
      <c r="I7" s="4">
        <v>4.5</v>
      </c>
      <c r="J7" s="1" t="s">
        <v>0</v>
      </c>
    </row>
    <row r="8" spans="1:12" ht="15" customHeight="1" x14ac:dyDescent="0.25">
      <c r="B8" s="4">
        <v>85</v>
      </c>
      <c r="C8" s="2" t="s">
        <v>1</v>
      </c>
      <c r="F8" s="1"/>
      <c r="I8" s="4">
        <v>85</v>
      </c>
      <c r="J8" s="2" t="s">
        <v>1</v>
      </c>
    </row>
    <row r="9" spans="1:12" ht="15" customHeight="1" x14ac:dyDescent="0.25">
      <c r="B9" s="4"/>
      <c r="C9" s="2"/>
      <c r="F9" s="1"/>
      <c r="I9" s="16">
        <v>0.7</v>
      </c>
      <c r="J9" s="2" t="s">
        <v>9</v>
      </c>
    </row>
    <row r="10" spans="1:12" ht="15" customHeight="1" x14ac:dyDescent="0.25">
      <c r="C10" s="1"/>
      <c r="D10" s="1"/>
      <c r="E10" s="1"/>
      <c r="F10" s="1" t="s">
        <v>10</v>
      </c>
      <c r="J10" s="1"/>
      <c r="K10" s="1"/>
      <c r="L10" t="s">
        <v>11</v>
      </c>
    </row>
    <row r="11" spans="1:12" ht="15" customHeight="1" x14ac:dyDescent="0.25">
      <c r="B11" s="5" t="s">
        <v>2</v>
      </c>
      <c r="C11" s="5" t="s">
        <v>3</v>
      </c>
      <c r="D11" s="6" t="s">
        <v>5</v>
      </c>
      <c r="E11" s="5" t="s">
        <v>4</v>
      </c>
      <c r="F11" s="1"/>
      <c r="I11" s="5" t="s">
        <v>2</v>
      </c>
      <c r="J11" s="6" t="s">
        <v>5</v>
      </c>
      <c r="K11" s="5" t="s">
        <v>3</v>
      </c>
    </row>
    <row r="12" spans="1:12" ht="15" customHeight="1" x14ac:dyDescent="0.25">
      <c r="B12" s="3">
        <v>1</v>
      </c>
      <c r="C12" s="9">
        <v>-4.4000000000000004</v>
      </c>
      <c r="D12" s="14">
        <f>C12/B12</f>
        <v>-4.4000000000000004</v>
      </c>
      <c r="E12" s="11">
        <f>SQRT(12*32.2*D12^2/(4*$B$8*($B$7*56)*$B$6^2))</f>
        <v>0.12011476593972951</v>
      </c>
      <c r="I12" s="3">
        <v>1</v>
      </c>
      <c r="J12" s="14">
        <f t="shared" ref="J12:J21" si="0">K12/I12</f>
        <v>-25.45</v>
      </c>
      <c r="K12" s="9">
        <v>-25.45</v>
      </c>
    </row>
    <row r="13" spans="1:12" ht="15" customHeight="1" x14ac:dyDescent="0.25">
      <c r="B13" s="7">
        <v>2</v>
      </c>
      <c r="C13" s="10">
        <f>-50.9</f>
        <v>-50.9</v>
      </c>
      <c r="D13" s="15">
        <f t="shared" ref="D13:D20" si="1">C13/B13</f>
        <v>-25.45</v>
      </c>
      <c r="E13" s="12">
        <f t="shared" ref="E13:E21" si="2">SQRT(12*32.2*D13^2/(4*$B$8*($B$7*56)*$B$6^2))</f>
        <v>0.69475472571957186</v>
      </c>
      <c r="I13" s="7">
        <v>2</v>
      </c>
      <c r="J13" s="15">
        <f t="shared" si="0"/>
        <v>-25.45</v>
      </c>
      <c r="K13" s="10">
        <f>-50.9</f>
        <v>-50.9</v>
      </c>
    </row>
    <row r="14" spans="1:12" ht="15" customHeight="1" x14ac:dyDescent="0.25">
      <c r="B14" s="3">
        <v>3</v>
      </c>
      <c r="C14" s="9">
        <v>-76.36</v>
      </c>
      <c r="D14" s="14">
        <f t="shared" si="1"/>
        <v>-25.453333333333333</v>
      </c>
      <c r="E14" s="11">
        <f t="shared" si="2"/>
        <v>0.69484572175437465</v>
      </c>
      <c r="I14" s="3">
        <v>3</v>
      </c>
      <c r="J14" s="14">
        <f t="shared" si="0"/>
        <v>-25.453333333333333</v>
      </c>
      <c r="K14" s="9">
        <v>-76.36</v>
      </c>
    </row>
    <row r="15" spans="1:12" ht="15" customHeight="1" x14ac:dyDescent="0.25">
      <c r="B15" s="3">
        <v>4</v>
      </c>
      <c r="C15" s="9">
        <v>-101.81</v>
      </c>
      <c r="D15" s="14">
        <f t="shared" si="1"/>
        <v>-25.452500000000001</v>
      </c>
      <c r="E15" s="11">
        <f t="shared" si="2"/>
        <v>0.69482297274567395</v>
      </c>
      <c r="I15" s="3">
        <v>4</v>
      </c>
      <c r="J15" s="14">
        <f t="shared" si="0"/>
        <v>-25.452500000000001</v>
      </c>
      <c r="K15" s="9">
        <v>-101.81</v>
      </c>
    </row>
    <row r="16" spans="1:12" ht="15" customHeight="1" x14ac:dyDescent="0.25">
      <c r="B16" s="7">
        <v>5</v>
      </c>
      <c r="C16" s="10">
        <v>-127.27</v>
      </c>
      <c r="D16" s="15">
        <f t="shared" si="1"/>
        <v>-25.454000000000001</v>
      </c>
      <c r="E16" s="12">
        <f t="shared" si="2"/>
        <v>0.6948639209613352</v>
      </c>
      <c r="I16" s="7">
        <v>5</v>
      </c>
      <c r="J16" s="15">
        <f t="shared" si="0"/>
        <v>-25.454000000000001</v>
      </c>
      <c r="K16" s="10">
        <v>-127.27</v>
      </c>
    </row>
    <row r="17" spans="2:12" ht="15" customHeight="1" x14ac:dyDescent="0.25">
      <c r="B17" s="3">
        <v>10</v>
      </c>
      <c r="C17" s="9">
        <v>-254.53</v>
      </c>
      <c r="D17" s="14">
        <f t="shared" si="1"/>
        <v>-25.452999999999999</v>
      </c>
      <c r="E17" s="11">
        <f t="shared" si="2"/>
        <v>0.69483662215089437</v>
      </c>
      <c r="I17" s="3">
        <v>10</v>
      </c>
      <c r="J17" s="14">
        <f t="shared" si="0"/>
        <v>-25.452999999999999</v>
      </c>
      <c r="K17" s="9">
        <v>-254.53</v>
      </c>
    </row>
    <row r="18" spans="2:12" ht="15" customHeight="1" x14ac:dyDescent="0.25">
      <c r="B18" s="3">
        <v>20</v>
      </c>
      <c r="C18" s="9">
        <v>-509.05</v>
      </c>
      <c r="D18" s="14">
        <f t="shared" si="1"/>
        <v>-25.452500000000001</v>
      </c>
      <c r="E18" s="11">
        <f t="shared" si="2"/>
        <v>0.69482297274567395</v>
      </c>
      <c r="I18" s="3">
        <v>20</v>
      </c>
      <c r="J18" s="14">
        <f t="shared" si="0"/>
        <v>-25.452500000000001</v>
      </c>
      <c r="K18" s="9">
        <v>-509.05</v>
      </c>
    </row>
    <row r="19" spans="2:12" ht="15" customHeight="1" x14ac:dyDescent="0.25">
      <c r="B19" s="3">
        <v>30</v>
      </c>
      <c r="C19" s="9">
        <v>-763.6</v>
      </c>
      <c r="D19" s="14">
        <f t="shared" si="1"/>
        <v>-25.453333333333333</v>
      </c>
      <c r="E19" s="11">
        <f t="shared" si="2"/>
        <v>0.69484572175437465</v>
      </c>
      <c r="I19" s="3">
        <v>30</v>
      </c>
      <c r="J19" s="14">
        <f t="shared" si="0"/>
        <v>-25.453333333333333</v>
      </c>
      <c r="K19" s="9">
        <v>-763.6</v>
      </c>
    </row>
    <row r="20" spans="2:12" ht="15" customHeight="1" x14ac:dyDescent="0.25">
      <c r="B20" s="7">
        <v>40</v>
      </c>
      <c r="C20" s="10">
        <v>-1018.1</v>
      </c>
      <c r="D20" s="15">
        <f t="shared" si="1"/>
        <v>-25.452500000000001</v>
      </c>
      <c r="E20" s="12">
        <f t="shared" si="2"/>
        <v>0.69482297274567395</v>
      </c>
      <c r="I20" s="7">
        <v>40</v>
      </c>
      <c r="J20" s="15">
        <f t="shared" si="0"/>
        <v>-25.452500000000001</v>
      </c>
      <c r="K20" s="10">
        <v>-1018.1</v>
      </c>
    </row>
    <row r="21" spans="2:12" ht="15" customHeight="1" x14ac:dyDescent="0.25">
      <c r="B21" s="3">
        <v>50</v>
      </c>
      <c r="C21" s="9">
        <v>-216</v>
      </c>
      <c r="D21" s="14">
        <f>C21/B21</f>
        <v>-4.32</v>
      </c>
      <c r="E21" s="11">
        <f t="shared" si="2"/>
        <v>0.11793086110446171</v>
      </c>
      <c r="I21" s="3">
        <v>50</v>
      </c>
      <c r="J21" s="14">
        <f t="shared" si="0"/>
        <v>-25.452199999999998</v>
      </c>
      <c r="K21" s="9">
        <v>-1272.6099999999999</v>
      </c>
    </row>
    <row r="22" spans="2:12" ht="15" customHeight="1" x14ac:dyDescent="0.25"/>
    <row r="23" spans="2:12" ht="15" customHeight="1" x14ac:dyDescent="0.2">
      <c r="B23" s="50" t="s">
        <v>34</v>
      </c>
    </row>
    <row r="24" spans="2:12" ht="15" customHeight="1" x14ac:dyDescent="0.2"/>
    <row r="25" spans="2:12" ht="15" customHeight="1" x14ac:dyDescent="0.2">
      <c r="B25" s="17" t="s">
        <v>14</v>
      </c>
      <c r="C25" s="18"/>
      <c r="D25" s="18"/>
      <c r="E25" s="18"/>
      <c r="F25" s="18"/>
      <c r="G25" s="18"/>
      <c r="H25" s="18"/>
      <c r="I25" s="18"/>
      <c r="J25" s="18"/>
      <c r="K25" s="18"/>
      <c r="L25" s="19"/>
    </row>
    <row r="26" spans="2:12" ht="15" customHeight="1" x14ac:dyDescent="0.2"/>
    <row r="27" spans="2:12" ht="15" customHeight="1" x14ac:dyDescent="0.2">
      <c r="B27" s="20" t="s">
        <v>15</v>
      </c>
      <c r="C27" s="21"/>
      <c r="D27" s="22"/>
      <c r="F27" s="29" t="s">
        <v>21</v>
      </c>
      <c r="G27" s="30"/>
      <c r="I27" s="32" t="s">
        <v>23</v>
      </c>
      <c r="J27" s="33"/>
      <c r="K27" s="33"/>
      <c r="L27" s="34"/>
    </row>
    <row r="28" spans="2:12" ht="15" customHeight="1" x14ac:dyDescent="0.2">
      <c r="B28" s="23" t="s">
        <v>16</v>
      </c>
      <c r="C28" s="24" t="s">
        <v>19</v>
      </c>
      <c r="D28" s="25">
        <v>2.46</v>
      </c>
      <c r="F28" s="26" t="s">
        <v>22</v>
      </c>
      <c r="G28" s="28">
        <v>0.7</v>
      </c>
      <c r="I28" s="35" t="s">
        <v>24</v>
      </c>
      <c r="J28" s="36" t="s">
        <v>26</v>
      </c>
      <c r="K28" s="21"/>
      <c r="L28" s="22"/>
    </row>
    <row r="29" spans="2:12" ht="15" customHeight="1" x14ac:dyDescent="0.2">
      <c r="B29" s="23" t="s">
        <v>17</v>
      </c>
      <c r="C29" s="24" t="s">
        <v>20</v>
      </c>
      <c r="D29" s="25">
        <v>4.5</v>
      </c>
      <c r="I29" s="37" t="s">
        <v>25</v>
      </c>
      <c r="J29" s="38" t="s">
        <v>27</v>
      </c>
      <c r="K29" s="1"/>
      <c r="L29" s="39"/>
    </row>
    <row r="30" spans="2:12" ht="15" customHeight="1" x14ac:dyDescent="0.2">
      <c r="B30" s="26" t="s">
        <v>18</v>
      </c>
      <c r="C30" s="27" t="s">
        <v>28</v>
      </c>
      <c r="D30" s="28">
        <v>85</v>
      </c>
      <c r="I30" s="40">
        <f>D29*2.20462*25.4*12</f>
        <v>3023.8567919999996</v>
      </c>
      <c r="J30" s="41">
        <f>G28*D28*SQRT(4*D30*I30/32.2)/12</f>
        <v>25.641535784883999</v>
      </c>
      <c r="K30" s="42" t="s">
        <v>71</v>
      </c>
      <c r="L30" s="31"/>
    </row>
    <row r="31" spans="2:12" ht="15" customHeight="1" x14ac:dyDescent="0.2"/>
    <row r="32" spans="2:12" ht="15" customHeight="1" x14ac:dyDescent="0.2">
      <c r="I32" s="32" t="s">
        <v>29</v>
      </c>
      <c r="J32" s="33"/>
      <c r="K32" s="34"/>
    </row>
    <row r="33" spans="9:12" ht="15" customHeight="1" x14ac:dyDescent="0.2">
      <c r="I33" s="35" t="s">
        <v>30</v>
      </c>
      <c r="J33" s="36" t="s">
        <v>32</v>
      </c>
      <c r="K33" s="43"/>
    </row>
    <row r="34" spans="9:12" ht="15" customHeight="1" x14ac:dyDescent="0.2">
      <c r="I34" s="37" t="s">
        <v>31</v>
      </c>
      <c r="J34" s="38" t="s">
        <v>33</v>
      </c>
      <c r="K34" s="25"/>
    </row>
    <row r="35" spans="9:12" ht="15" customHeight="1" x14ac:dyDescent="0.2">
      <c r="I35" s="44">
        <v>1</v>
      </c>
      <c r="J35" s="14">
        <f>I35*J$30</f>
        <v>25.641535784883999</v>
      </c>
      <c r="K35" s="25"/>
      <c r="L35" s="111">
        <f>J35/2</f>
        <v>12.820767892441999</v>
      </c>
    </row>
    <row r="36" spans="9:12" ht="15" customHeight="1" x14ac:dyDescent="0.2">
      <c r="I36" s="48">
        <v>2</v>
      </c>
      <c r="J36" s="110">
        <f t="shared" ref="J36:J46" si="3">I36*J$30</f>
        <v>51.283071569767998</v>
      </c>
      <c r="K36" s="25"/>
      <c r="L36" s="111">
        <f t="shared" ref="L36:L46" si="4">J36/2</f>
        <v>25.641535784883999</v>
      </c>
    </row>
    <row r="37" spans="9:12" ht="15" customHeight="1" x14ac:dyDescent="0.2">
      <c r="I37" s="44">
        <v>3</v>
      </c>
      <c r="J37" s="14">
        <f t="shared" si="3"/>
        <v>76.924607354651997</v>
      </c>
      <c r="K37" s="25"/>
      <c r="L37" s="111">
        <f t="shared" si="4"/>
        <v>38.462303677325998</v>
      </c>
    </row>
    <row r="38" spans="9:12" ht="15" customHeight="1" x14ac:dyDescent="0.2">
      <c r="I38" s="44">
        <v>4</v>
      </c>
      <c r="J38" s="14">
        <f t="shared" si="3"/>
        <v>102.566143139536</v>
      </c>
      <c r="K38" s="25"/>
      <c r="L38" s="111">
        <f t="shared" si="4"/>
        <v>51.283071569767998</v>
      </c>
    </row>
    <row r="39" spans="9:12" ht="15" customHeight="1" x14ac:dyDescent="0.2">
      <c r="I39" s="48">
        <v>5</v>
      </c>
      <c r="J39" s="110">
        <f t="shared" si="3"/>
        <v>128.20767892442001</v>
      </c>
      <c r="K39" s="25"/>
      <c r="L39" s="111">
        <f t="shared" si="4"/>
        <v>64.103839462210004</v>
      </c>
    </row>
    <row r="40" spans="9:12" ht="15" customHeight="1" x14ac:dyDescent="0.2">
      <c r="I40" s="44">
        <v>10</v>
      </c>
      <c r="J40" s="14">
        <f t="shared" si="3"/>
        <v>256.41535784884002</v>
      </c>
      <c r="K40" s="25"/>
      <c r="L40" s="111">
        <f t="shared" si="4"/>
        <v>128.20767892442001</v>
      </c>
    </row>
    <row r="41" spans="9:12" ht="15" customHeight="1" x14ac:dyDescent="0.2">
      <c r="I41" s="44">
        <v>20</v>
      </c>
      <c r="J41" s="14">
        <f t="shared" si="3"/>
        <v>512.83071569768003</v>
      </c>
      <c r="K41" s="25"/>
      <c r="L41" s="111">
        <f t="shared" si="4"/>
        <v>256.41535784884002</v>
      </c>
    </row>
    <row r="42" spans="9:12" ht="15" customHeight="1" x14ac:dyDescent="0.2">
      <c r="I42" s="44">
        <v>30</v>
      </c>
      <c r="J42" s="14">
        <f t="shared" si="3"/>
        <v>769.24607354651994</v>
      </c>
      <c r="K42" s="25"/>
      <c r="L42" s="111">
        <f t="shared" si="4"/>
        <v>384.62303677325997</v>
      </c>
    </row>
    <row r="43" spans="9:12" ht="15" customHeight="1" x14ac:dyDescent="0.2">
      <c r="I43" s="48">
        <v>40</v>
      </c>
      <c r="J43" s="110">
        <f t="shared" si="3"/>
        <v>1025.6614313953601</v>
      </c>
      <c r="K43" s="25"/>
      <c r="L43" s="111">
        <f t="shared" si="4"/>
        <v>512.83071569768003</v>
      </c>
    </row>
    <row r="44" spans="9:12" ht="15" customHeight="1" x14ac:dyDescent="0.2">
      <c r="I44" s="44">
        <v>50</v>
      </c>
      <c r="J44" s="14">
        <f t="shared" si="3"/>
        <v>1282.0767892442</v>
      </c>
      <c r="K44" s="25"/>
      <c r="L44" s="111">
        <f t="shared" si="4"/>
        <v>641.03839462209999</v>
      </c>
    </row>
    <row r="45" spans="9:12" ht="15" customHeight="1" x14ac:dyDescent="0.2">
      <c r="I45" s="44">
        <v>60</v>
      </c>
      <c r="J45" s="14">
        <f t="shared" si="3"/>
        <v>1538.4921470930399</v>
      </c>
      <c r="K45" s="25"/>
      <c r="L45" s="111">
        <f t="shared" si="4"/>
        <v>769.24607354651994</v>
      </c>
    </row>
    <row r="46" spans="9:12" ht="15" customHeight="1" x14ac:dyDescent="0.2">
      <c r="I46" s="44">
        <v>70</v>
      </c>
      <c r="J46" s="14">
        <f t="shared" si="3"/>
        <v>1794.90750494188</v>
      </c>
      <c r="K46" s="25"/>
      <c r="L46" s="111">
        <f t="shared" si="4"/>
        <v>897.45375247094</v>
      </c>
    </row>
    <row r="47" spans="9:12" ht="15" customHeight="1" x14ac:dyDescent="0.2">
      <c r="I47" s="45"/>
      <c r="J47" s="41"/>
      <c r="K47" s="28"/>
    </row>
    <row r="48" spans="9: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sheetData>
  <pageMargins left="0.45" right="0.45" top="0.5" bottom="0.5" header="0.3" footer="0.3"/>
  <pageSetup scale="55"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4">
    <pageSetUpPr fitToPage="1"/>
  </sheetPr>
  <dimension ref="A1:AC170"/>
  <sheetViews>
    <sheetView showGridLines="0" topLeftCell="A19" zoomScale="90" zoomScaleNormal="90" workbookViewId="0">
      <selection activeCell="H46" sqref="H46"/>
    </sheetView>
  </sheetViews>
  <sheetFormatPr defaultRowHeight="12.75" x14ac:dyDescent="0.2"/>
  <cols>
    <col min="3" max="3" width="9.140625" customWidth="1"/>
    <col min="7" max="7" width="9.140625" customWidth="1"/>
    <col min="9" max="9" width="9.140625" customWidth="1"/>
    <col min="11" max="12" width="9.140625" customWidth="1"/>
    <col min="13" max="13" width="8.42578125" customWidth="1"/>
    <col min="15" max="15" width="9.140625" customWidth="1"/>
    <col min="20" max="20" width="5.7109375" customWidth="1"/>
  </cols>
  <sheetData>
    <row r="1" spans="1:29" ht="15" customHeight="1" x14ac:dyDescent="0.25">
      <c r="K1" t="s">
        <v>73</v>
      </c>
    </row>
    <row r="2" spans="1:29" ht="15" customHeight="1" x14ac:dyDescent="0.2">
      <c r="A2" t="s">
        <v>13</v>
      </c>
      <c r="B2" s="13" t="s">
        <v>12</v>
      </c>
    </row>
    <row r="3" spans="1:29" ht="15.75" customHeight="1" x14ac:dyDescent="0.2">
      <c r="B3" s="13" t="s">
        <v>7</v>
      </c>
      <c r="X3" t="s">
        <v>42</v>
      </c>
    </row>
    <row r="4" spans="1:29" ht="42" customHeight="1" x14ac:dyDescent="0.3">
      <c r="B4" s="139" t="s">
        <v>103</v>
      </c>
      <c r="G4" s="133"/>
      <c r="H4" s="133"/>
      <c r="I4" s="133"/>
      <c r="J4" s="133"/>
      <c r="K4" s="133"/>
      <c r="L4" s="133"/>
      <c r="AB4" t="s">
        <v>36</v>
      </c>
    </row>
    <row r="5" spans="1:29" ht="15" customHeight="1" x14ac:dyDescent="0.2">
      <c r="H5" s="54" t="s">
        <v>99</v>
      </c>
      <c r="O5" s="54" t="s">
        <v>98</v>
      </c>
      <c r="X5" t="s">
        <v>43</v>
      </c>
      <c r="Z5" t="s">
        <v>44</v>
      </c>
      <c r="AB5" s="68" t="s">
        <v>45</v>
      </c>
      <c r="AC5" t="s">
        <v>37</v>
      </c>
    </row>
    <row r="6" spans="1:29" ht="15" customHeight="1" x14ac:dyDescent="0.2">
      <c r="B6" s="4">
        <v>2.46</v>
      </c>
      <c r="C6" s="2" t="s">
        <v>6</v>
      </c>
      <c r="E6" s="8"/>
      <c r="F6" s="1"/>
      <c r="L6" s="50"/>
      <c r="S6" s="50" t="s">
        <v>41</v>
      </c>
      <c r="X6" s="69">
        <v>-37</v>
      </c>
      <c r="Z6" s="69">
        <v>-36</v>
      </c>
      <c r="AA6">
        <v>1</v>
      </c>
      <c r="AB6" s="52">
        <f>(X6+Z6)/2*-1</f>
        <v>36.5</v>
      </c>
      <c r="AC6" s="70">
        <f>AB6/AA6</f>
        <v>36.5</v>
      </c>
    </row>
    <row r="7" spans="1:29" ht="15" customHeight="1" x14ac:dyDescent="0.2">
      <c r="B7" s="4">
        <v>4.5</v>
      </c>
      <c r="C7" s="1" t="s">
        <v>0</v>
      </c>
      <c r="F7" s="1"/>
      <c r="H7" s="4">
        <v>2.46</v>
      </c>
      <c r="I7" s="2" t="s">
        <v>6</v>
      </c>
      <c r="O7" s="4">
        <v>2.46</v>
      </c>
      <c r="P7" s="2" t="s">
        <v>6</v>
      </c>
      <c r="X7" s="71">
        <v>-64</v>
      </c>
      <c r="Z7" s="71">
        <v>-64</v>
      </c>
      <c r="AA7">
        <v>2</v>
      </c>
      <c r="AB7" s="53">
        <f t="shared" ref="AB7:AB15" si="0">(X7+Z7)/2*-1</f>
        <v>64</v>
      </c>
      <c r="AC7" s="70">
        <f t="shared" ref="AC7:AC15" si="1">AB7/AA7</f>
        <v>32</v>
      </c>
    </row>
    <row r="8" spans="1:29" ht="15" customHeight="1" x14ac:dyDescent="0.2">
      <c r="B8" s="4">
        <v>85</v>
      </c>
      <c r="C8" s="2" t="s">
        <v>1</v>
      </c>
      <c r="F8" s="1"/>
      <c r="H8" s="4">
        <v>4.5</v>
      </c>
      <c r="I8" s="1" t="s">
        <v>0</v>
      </c>
      <c r="O8" s="4">
        <v>4.5</v>
      </c>
      <c r="P8" s="1" t="s">
        <v>0</v>
      </c>
      <c r="X8" s="69">
        <v>-93</v>
      </c>
      <c r="Z8" s="69">
        <v>-92</v>
      </c>
      <c r="AA8">
        <v>3</v>
      </c>
      <c r="AB8" s="52">
        <f t="shared" si="0"/>
        <v>92.5</v>
      </c>
      <c r="AC8" s="70">
        <f t="shared" si="1"/>
        <v>30.833333333333332</v>
      </c>
    </row>
    <row r="9" spans="1:29" ht="15" customHeight="1" x14ac:dyDescent="0.2">
      <c r="B9" s="4"/>
      <c r="C9" s="2"/>
      <c r="E9" s="1" t="s">
        <v>10</v>
      </c>
      <c r="F9" s="1"/>
      <c r="H9" s="4">
        <v>85</v>
      </c>
      <c r="I9" s="2" t="s">
        <v>1</v>
      </c>
      <c r="O9" s="4">
        <v>85</v>
      </c>
      <c r="P9" s="2" t="s">
        <v>1</v>
      </c>
      <c r="X9" s="69">
        <v>-120</v>
      </c>
      <c r="Z9" s="69">
        <v>-119</v>
      </c>
      <c r="AA9">
        <v>4</v>
      </c>
      <c r="AB9" s="52">
        <f t="shared" si="0"/>
        <v>119.5</v>
      </c>
      <c r="AC9" s="70">
        <f t="shared" si="1"/>
        <v>29.875</v>
      </c>
    </row>
    <row r="10" spans="1:29" ht="15" customHeight="1" x14ac:dyDescent="0.2">
      <c r="C10" s="1"/>
      <c r="D10" s="1"/>
      <c r="E10" s="1"/>
      <c r="I10" t="s">
        <v>36</v>
      </c>
      <c r="P10" t="s">
        <v>36</v>
      </c>
      <c r="X10" s="71">
        <v>-146</v>
      </c>
      <c r="Z10" s="71">
        <v>-145</v>
      </c>
      <c r="AA10">
        <v>5</v>
      </c>
      <c r="AB10" s="53">
        <f t="shared" si="0"/>
        <v>145.5</v>
      </c>
      <c r="AC10" s="70">
        <f t="shared" si="1"/>
        <v>29.1</v>
      </c>
    </row>
    <row r="11" spans="1:29" ht="15" customHeight="1" x14ac:dyDescent="0.2">
      <c r="B11" s="5" t="s">
        <v>2</v>
      </c>
      <c r="C11" s="5" t="s">
        <v>3</v>
      </c>
      <c r="D11" s="6" t="s">
        <v>5</v>
      </c>
      <c r="E11" s="5" t="s">
        <v>4</v>
      </c>
      <c r="F11" s="1"/>
      <c r="H11" s="5" t="s">
        <v>2</v>
      </c>
      <c r="I11" s="67" t="s">
        <v>38</v>
      </c>
      <c r="J11" s="55" t="s">
        <v>37</v>
      </c>
      <c r="K11" s="5" t="s">
        <v>4</v>
      </c>
      <c r="O11" s="5" t="s">
        <v>2</v>
      </c>
      <c r="P11" s="67" t="s">
        <v>38</v>
      </c>
      <c r="Q11" s="55" t="s">
        <v>37</v>
      </c>
      <c r="R11" s="5" t="s">
        <v>4</v>
      </c>
      <c r="X11" s="69">
        <v>-270</v>
      </c>
      <c r="Z11" s="69">
        <v>-269</v>
      </c>
      <c r="AA11">
        <v>10</v>
      </c>
      <c r="AB11" s="52">
        <f t="shared" si="0"/>
        <v>269.5</v>
      </c>
      <c r="AC11" s="70">
        <f t="shared" si="1"/>
        <v>26.95</v>
      </c>
    </row>
    <row r="12" spans="1:29" ht="15" customHeight="1" x14ac:dyDescent="0.2">
      <c r="B12" s="3">
        <v>1</v>
      </c>
      <c r="C12" s="9">
        <v>-25.75</v>
      </c>
      <c r="D12" s="14">
        <f>C12/B12</f>
        <v>-25.75</v>
      </c>
      <c r="E12" s="11">
        <f>SQRT(12*32.2*D12^2/(4*$B$8*($B$7*56)*$B$6^2))</f>
        <v>0.7029443688518261</v>
      </c>
      <c r="G12" s="52">
        <v>37</v>
      </c>
      <c r="H12" s="3">
        <v>1</v>
      </c>
      <c r="I12" s="52">
        <v>31.502458250000345</v>
      </c>
      <c r="J12" s="52">
        <f>I12/H12</f>
        <v>31.502458250000345</v>
      </c>
      <c r="K12" s="56">
        <f>SQRT(12*32.2*J12^2/(4*$H$9*($H$8*56)*$H$7^2))</f>
        <v>0.85997963618747553</v>
      </c>
      <c r="N12" s="52">
        <v>37</v>
      </c>
      <c r="O12" s="3">
        <v>1</v>
      </c>
      <c r="P12" s="52">
        <v>37</v>
      </c>
      <c r="Q12" s="52">
        <f>P12/O12</f>
        <v>37</v>
      </c>
      <c r="R12" s="56">
        <f>SQRT(12*32.2*Q12^2/(4*$O$9*($O$8*56)*$O$7^2))</f>
        <v>1.0100559863113618</v>
      </c>
      <c r="X12" s="69">
        <v>-533</v>
      </c>
      <c r="Z12" s="69">
        <v>-531</v>
      </c>
      <c r="AA12">
        <v>20</v>
      </c>
      <c r="AB12" s="52">
        <f t="shared" si="0"/>
        <v>532</v>
      </c>
      <c r="AC12" s="70">
        <f t="shared" si="1"/>
        <v>26.6</v>
      </c>
    </row>
    <row r="13" spans="1:29" ht="15" customHeight="1" x14ac:dyDescent="0.2">
      <c r="B13" s="7">
        <v>2</v>
      </c>
      <c r="C13" s="10">
        <v>-51.5</v>
      </c>
      <c r="D13" s="15">
        <f t="shared" ref="D13:D21" si="2">C13/B13</f>
        <v>-25.75</v>
      </c>
      <c r="E13" s="12">
        <f t="shared" ref="E13:E21" si="3">SQRT(12*32.2*D13^2/(4*$B$8*($B$7*56)*$B$6^2))</f>
        <v>0.7029443688518261</v>
      </c>
      <c r="G13" s="53">
        <v>68</v>
      </c>
      <c r="H13" s="7">
        <v>2</v>
      </c>
      <c r="I13" s="53">
        <v>60.074455267442509</v>
      </c>
      <c r="J13" s="53">
        <f t="shared" ref="J13:J21" si="4">I13/H13</f>
        <v>30.037227633721255</v>
      </c>
      <c r="K13" s="57">
        <f t="shared" ref="K13:K21" si="5">SQRT(12*32.2*J13^2/(4*$O$9*($O$8*56)*$O$7^2))</f>
        <v>0.81998058334154633</v>
      </c>
      <c r="L13" s="91">
        <f>K12-K13</f>
        <v>3.9999052845929195E-2</v>
      </c>
      <c r="N13" s="53">
        <v>68</v>
      </c>
      <c r="O13" s="7">
        <v>2</v>
      </c>
      <c r="P13" s="53">
        <v>69</v>
      </c>
      <c r="Q13" s="53">
        <f t="shared" ref="Q13:Q21" si="6">P13/O13</f>
        <v>34.5</v>
      </c>
      <c r="R13" s="57">
        <f t="shared" ref="R13:R21" si="7">SQRT(12*32.2*Q13^2/(4*$O$9*($O$8*56)*$O$7^2))</f>
        <v>0.94180896020924276</v>
      </c>
      <c r="S13" s="91">
        <f>R12-R13</f>
        <v>6.8247026102119079E-2</v>
      </c>
      <c r="X13" s="69">
        <v>-851</v>
      </c>
      <c r="Z13" s="69">
        <v>-853</v>
      </c>
      <c r="AA13">
        <v>30</v>
      </c>
      <c r="AB13" s="52">
        <f t="shared" si="0"/>
        <v>852</v>
      </c>
      <c r="AC13" s="70">
        <f t="shared" si="1"/>
        <v>28.4</v>
      </c>
    </row>
    <row r="14" spans="1:29" ht="15" customHeight="1" x14ac:dyDescent="0.2">
      <c r="B14" s="3">
        <v>3</v>
      </c>
      <c r="C14" s="9">
        <v>-77</v>
      </c>
      <c r="D14" s="14">
        <f t="shared" si="2"/>
        <v>-25.666666666666668</v>
      </c>
      <c r="E14" s="11">
        <f t="shared" si="3"/>
        <v>0.70066946798175544</v>
      </c>
      <c r="G14" s="52">
        <v>96</v>
      </c>
      <c r="H14" s="3">
        <v>3</v>
      </c>
      <c r="I14" s="52">
        <v>86.81491401453583</v>
      </c>
      <c r="J14" s="52">
        <f t="shared" si="4"/>
        <v>28.938304671511943</v>
      </c>
      <c r="K14" s="56">
        <f t="shared" si="5"/>
        <v>0.78998129370709957</v>
      </c>
      <c r="L14" s="91">
        <f t="shared" ref="L14:L16" si="8">K13-K14</f>
        <v>2.9999289634446757E-2</v>
      </c>
      <c r="N14" s="52">
        <v>96</v>
      </c>
      <c r="O14" s="3">
        <v>3</v>
      </c>
      <c r="P14" s="52">
        <v>96</v>
      </c>
      <c r="Q14" s="52">
        <f t="shared" si="6"/>
        <v>32</v>
      </c>
      <c r="R14" s="56">
        <f t="shared" si="7"/>
        <v>0.87356193410712368</v>
      </c>
      <c r="S14" s="91">
        <f t="shared" ref="S14:S16" si="9">R13-R14</f>
        <v>6.8247026102119079E-2</v>
      </c>
      <c r="X14" s="71">
        <v>-1164</v>
      </c>
      <c r="Z14" s="71">
        <v>-1168</v>
      </c>
      <c r="AA14">
        <v>40</v>
      </c>
      <c r="AB14" s="53">
        <f t="shared" si="0"/>
        <v>1166</v>
      </c>
      <c r="AC14" s="70">
        <f t="shared" si="1"/>
        <v>29.15</v>
      </c>
    </row>
    <row r="15" spans="1:29" ht="15" customHeight="1" x14ac:dyDescent="0.2">
      <c r="B15" s="3">
        <v>4</v>
      </c>
      <c r="C15" s="9">
        <v>-103</v>
      </c>
      <c r="D15" s="14">
        <f t="shared" si="2"/>
        <v>-25.75</v>
      </c>
      <c r="E15" s="11">
        <f t="shared" si="3"/>
        <v>0.7029443688518261</v>
      </c>
      <c r="G15" s="52">
        <v>121</v>
      </c>
      <c r="H15" s="3">
        <v>4</v>
      </c>
      <c r="I15" s="52">
        <v>111.3575268372105</v>
      </c>
      <c r="J15" s="52">
        <f t="shared" si="4"/>
        <v>27.839381709302625</v>
      </c>
      <c r="K15" s="56">
        <f t="shared" si="5"/>
        <v>0.75998200407265259</v>
      </c>
      <c r="L15" s="91">
        <f t="shared" si="8"/>
        <v>2.9999289634446979E-2</v>
      </c>
      <c r="N15" s="52">
        <v>121</v>
      </c>
      <c r="O15" s="3">
        <v>4</v>
      </c>
      <c r="P15" s="52">
        <v>121</v>
      </c>
      <c r="Q15" s="52">
        <f t="shared" si="6"/>
        <v>30.25</v>
      </c>
      <c r="R15" s="56">
        <f t="shared" si="7"/>
        <v>0.82578901583564035</v>
      </c>
      <c r="S15" s="91">
        <f t="shared" si="9"/>
        <v>4.7772918271483333E-2</v>
      </c>
      <c r="X15" s="69">
        <v>-1465</v>
      </c>
      <c r="Z15" s="69">
        <v>-1469</v>
      </c>
      <c r="AA15">
        <v>50</v>
      </c>
      <c r="AB15" s="52">
        <f t="shared" si="0"/>
        <v>1467</v>
      </c>
      <c r="AC15" s="70">
        <f t="shared" si="1"/>
        <v>29.34</v>
      </c>
    </row>
    <row r="16" spans="1:29" ht="15" customHeight="1" x14ac:dyDescent="0.2">
      <c r="B16" s="7">
        <v>5</v>
      </c>
      <c r="C16" s="10">
        <v>-128.4</v>
      </c>
      <c r="D16" s="15">
        <f t="shared" si="2"/>
        <v>-25.68</v>
      </c>
      <c r="E16" s="12">
        <f t="shared" si="3"/>
        <v>0.70103345212096679</v>
      </c>
      <c r="G16" s="53">
        <v>144</v>
      </c>
      <c r="H16" s="7">
        <v>5</v>
      </c>
      <c r="I16" s="53">
        <v>135.53383200581544</v>
      </c>
      <c r="J16" s="53">
        <f t="shared" si="4"/>
        <v>27.106766401163089</v>
      </c>
      <c r="K16" s="57">
        <f t="shared" si="5"/>
        <v>0.73998247764968828</v>
      </c>
      <c r="L16" s="91">
        <f t="shared" si="8"/>
        <v>1.999952642296432E-2</v>
      </c>
      <c r="N16" s="53">
        <v>144</v>
      </c>
      <c r="O16" s="7">
        <v>5</v>
      </c>
      <c r="P16" s="53">
        <v>144</v>
      </c>
      <c r="Q16" s="53">
        <f t="shared" si="6"/>
        <v>28.8</v>
      </c>
      <c r="R16" s="57">
        <f t="shared" si="7"/>
        <v>0.78620574069641136</v>
      </c>
      <c r="S16" s="91">
        <f t="shared" si="9"/>
        <v>3.9583275139228991E-2</v>
      </c>
    </row>
    <row r="17" spans="2:29" ht="15" customHeight="1" x14ac:dyDescent="0.2">
      <c r="B17" s="3">
        <v>10</v>
      </c>
      <c r="C17" s="9">
        <v>-256.5</v>
      </c>
      <c r="D17" s="14">
        <f t="shared" si="2"/>
        <v>-25.65</v>
      </c>
      <c r="E17" s="11">
        <f t="shared" si="3"/>
        <v>0.70021448780774131</v>
      </c>
      <c r="G17" s="52">
        <v>260</v>
      </c>
      <c r="H17" s="3">
        <v>10</v>
      </c>
      <c r="I17" s="52">
        <v>263.74151093023545</v>
      </c>
      <c r="J17" s="52">
        <f t="shared" si="4"/>
        <v>26.374151093023546</v>
      </c>
      <c r="K17" s="56">
        <f t="shared" si="5"/>
        <v>0.71998295122672373</v>
      </c>
      <c r="L17" s="91">
        <f>(K16-K17)/5</f>
        <v>3.999905284592908E-3</v>
      </c>
      <c r="N17" s="52">
        <v>260</v>
      </c>
      <c r="O17" s="3">
        <v>10</v>
      </c>
      <c r="P17" s="52">
        <v>270</v>
      </c>
      <c r="Q17" s="52">
        <f t="shared" si="6"/>
        <v>27</v>
      </c>
      <c r="R17" s="56">
        <f t="shared" si="7"/>
        <v>0.73706788190288564</v>
      </c>
      <c r="S17" s="91">
        <f>(R16-R17)/5</f>
        <v>9.8275717587051441E-3</v>
      </c>
      <c r="AB17" s="54" t="s">
        <v>46</v>
      </c>
    </row>
    <row r="18" spans="2:29" ht="15" customHeight="1" x14ac:dyDescent="0.2">
      <c r="B18" s="3">
        <v>20</v>
      </c>
      <c r="C18" s="9">
        <v>-513</v>
      </c>
      <c r="D18" s="14">
        <f t="shared" si="2"/>
        <v>-25.65</v>
      </c>
      <c r="E18" s="11">
        <f t="shared" si="3"/>
        <v>0.70021448780774131</v>
      </c>
      <c r="G18" s="52">
        <v>513</v>
      </c>
      <c r="H18" s="3">
        <v>20</v>
      </c>
      <c r="I18" s="52">
        <v>512.83071569768003</v>
      </c>
      <c r="J18" s="52">
        <f t="shared" si="4"/>
        <v>25.641535784884002</v>
      </c>
      <c r="K18" s="56">
        <f t="shared" si="5"/>
        <v>0.69998342480375919</v>
      </c>
      <c r="L18" s="91">
        <f>(K17-K18)/10</f>
        <v>1.999952642296454E-3</v>
      </c>
      <c r="N18" s="52">
        <v>513</v>
      </c>
      <c r="O18" s="3">
        <v>20</v>
      </c>
      <c r="P18" s="52">
        <v>513</v>
      </c>
      <c r="Q18" s="52">
        <f t="shared" si="6"/>
        <v>25.65</v>
      </c>
      <c r="R18" s="56">
        <f t="shared" si="7"/>
        <v>0.70021448780774131</v>
      </c>
      <c r="S18" s="91">
        <f>(R17-R18)/10</f>
        <v>3.6853394095144321E-3</v>
      </c>
      <c r="AB18" s="68" t="s">
        <v>45</v>
      </c>
      <c r="AC18" s="72" t="s">
        <v>37</v>
      </c>
    </row>
    <row r="19" spans="2:29" ht="15" customHeight="1" x14ac:dyDescent="0.2">
      <c r="B19" s="3">
        <v>30</v>
      </c>
      <c r="C19" s="9">
        <v>769.5</v>
      </c>
      <c r="D19" s="14">
        <f t="shared" si="2"/>
        <v>25.65</v>
      </c>
      <c r="E19" s="11">
        <f t="shared" si="3"/>
        <v>0.70021448780774131</v>
      </c>
      <c r="G19" s="52">
        <v>769</v>
      </c>
      <c r="H19" s="3">
        <v>30</v>
      </c>
      <c r="I19" s="52">
        <v>769.24607354651994</v>
      </c>
      <c r="J19" s="52">
        <f t="shared" si="4"/>
        <v>25.641535784883999</v>
      </c>
      <c r="K19" s="56">
        <f t="shared" si="5"/>
        <v>0.69998342480375908</v>
      </c>
      <c r="L19" s="91">
        <f t="shared" ref="L19:L21" si="10">(K18-K19)/10</f>
        <v>1.1102230246251566E-17</v>
      </c>
      <c r="N19" s="52">
        <v>769</v>
      </c>
      <c r="O19" s="3">
        <v>30</v>
      </c>
      <c r="P19" s="52">
        <v>769</v>
      </c>
      <c r="Q19" s="52">
        <f t="shared" si="6"/>
        <v>25.633333333333333</v>
      </c>
      <c r="R19" s="56">
        <f t="shared" si="7"/>
        <v>0.6997595076337273</v>
      </c>
      <c r="S19" s="91">
        <f t="shared" ref="S19:S21" si="11">(R18-R19)/10</f>
        <v>4.5498017401401911E-5</v>
      </c>
      <c r="AA19">
        <v>1</v>
      </c>
      <c r="AB19" s="52">
        <v>37</v>
      </c>
      <c r="AC19" s="70">
        <f>AB19/AA19</f>
        <v>37</v>
      </c>
    </row>
    <row r="20" spans="2:29" ht="15" customHeight="1" x14ac:dyDescent="0.2">
      <c r="B20" s="7">
        <v>40</v>
      </c>
      <c r="C20" s="10">
        <v>-1026</v>
      </c>
      <c r="D20" s="15">
        <f t="shared" si="2"/>
        <v>-25.65</v>
      </c>
      <c r="E20" s="12">
        <f t="shared" si="3"/>
        <v>0.70021448780774131</v>
      </c>
      <c r="G20" s="53">
        <v>1026</v>
      </c>
      <c r="H20" s="7">
        <v>40</v>
      </c>
      <c r="I20" s="53">
        <v>1025.6614313953601</v>
      </c>
      <c r="J20" s="53">
        <f t="shared" si="4"/>
        <v>25.641535784884002</v>
      </c>
      <c r="K20" s="57">
        <f t="shared" si="5"/>
        <v>0.69998342480375919</v>
      </c>
      <c r="L20" s="91">
        <f t="shared" si="10"/>
        <v>-1.1102230246251566E-17</v>
      </c>
      <c r="N20" s="53">
        <v>1026</v>
      </c>
      <c r="O20" s="7">
        <v>40</v>
      </c>
      <c r="P20" s="53">
        <v>1026</v>
      </c>
      <c r="Q20" s="53">
        <f t="shared" si="6"/>
        <v>25.65</v>
      </c>
      <c r="R20" s="57">
        <f t="shared" si="7"/>
        <v>0.70021448780774131</v>
      </c>
      <c r="S20" s="91">
        <f t="shared" si="11"/>
        <v>-4.5498017401401911E-5</v>
      </c>
      <c r="AA20">
        <v>2</v>
      </c>
      <c r="AB20" s="53">
        <v>68</v>
      </c>
      <c r="AC20" s="70">
        <f t="shared" ref="AC20:AC28" si="12">AB20/AA20</f>
        <v>34</v>
      </c>
    </row>
    <row r="21" spans="2:29" ht="15" customHeight="1" x14ac:dyDescent="0.2">
      <c r="B21" s="3">
        <v>50</v>
      </c>
      <c r="C21" s="9">
        <v>-1283</v>
      </c>
      <c r="D21" s="14">
        <f t="shared" si="2"/>
        <v>-25.66</v>
      </c>
      <c r="E21" s="11">
        <f t="shared" si="3"/>
        <v>0.70048747591214988</v>
      </c>
      <c r="G21" s="52">
        <v>1282</v>
      </c>
      <c r="H21" s="3">
        <v>50</v>
      </c>
      <c r="I21" s="52">
        <v>1282.0767892442</v>
      </c>
      <c r="J21" s="52">
        <f t="shared" si="4"/>
        <v>25.641535784883999</v>
      </c>
      <c r="K21" s="56">
        <f t="shared" si="5"/>
        <v>0.69998342480375908</v>
      </c>
      <c r="L21" s="91">
        <f t="shared" si="10"/>
        <v>1.1102230246251566E-17</v>
      </c>
      <c r="N21" s="52">
        <v>1282</v>
      </c>
      <c r="O21" s="3">
        <v>50</v>
      </c>
      <c r="P21" s="52">
        <v>1282</v>
      </c>
      <c r="Q21" s="52">
        <f t="shared" si="6"/>
        <v>25.64</v>
      </c>
      <c r="R21" s="56">
        <f t="shared" si="7"/>
        <v>0.69994149970333286</v>
      </c>
      <c r="S21" s="91">
        <f t="shared" si="11"/>
        <v>2.729881044084559E-5</v>
      </c>
      <c r="AA21">
        <v>3</v>
      </c>
      <c r="AB21" s="52">
        <v>96</v>
      </c>
      <c r="AC21" s="70">
        <f t="shared" si="12"/>
        <v>32</v>
      </c>
    </row>
    <row r="22" spans="2:29" ht="15" customHeight="1" x14ac:dyDescent="0.2">
      <c r="AA22">
        <v>4</v>
      </c>
      <c r="AB22" s="52">
        <v>121</v>
      </c>
      <c r="AC22" s="70">
        <f t="shared" si="12"/>
        <v>30.25</v>
      </c>
    </row>
    <row r="23" spans="2:29" ht="15" customHeight="1" x14ac:dyDescent="0.2">
      <c r="B23" s="51" t="s">
        <v>35</v>
      </c>
      <c r="AA23">
        <v>5</v>
      </c>
      <c r="AB23" s="53">
        <v>144</v>
      </c>
      <c r="AC23" s="70">
        <f t="shared" si="12"/>
        <v>28.8</v>
      </c>
    </row>
    <row r="24" spans="2:29" ht="15" customHeight="1" x14ac:dyDescent="0.2">
      <c r="AA24">
        <v>10</v>
      </c>
      <c r="AB24" s="52">
        <v>260</v>
      </c>
      <c r="AC24" s="70">
        <f t="shared" si="12"/>
        <v>26</v>
      </c>
    </row>
    <row r="25" spans="2:29" ht="15" customHeight="1" x14ac:dyDescent="0.2">
      <c r="B25" s="17" t="s">
        <v>14</v>
      </c>
      <c r="C25" s="18"/>
      <c r="D25" s="18"/>
      <c r="E25" s="18"/>
      <c r="F25" s="18"/>
      <c r="G25" s="18"/>
      <c r="H25" s="18"/>
      <c r="I25" s="18"/>
      <c r="J25" s="18"/>
      <c r="K25" s="18"/>
      <c r="L25" s="19"/>
      <c r="AA25">
        <v>20</v>
      </c>
      <c r="AB25" s="52">
        <v>513</v>
      </c>
      <c r="AC25" s="70">
        <f t="shared" si="12"/>
        <v>25.65</v>
      </c>
    </row>
    <row r="26" spans="2:29" ht="15" customHeight="1" x14ac:dyDescent="0.2">
      <c r="AA26">
        <v>30</v>
      </c>
      <c r="AB26" s="52">
        <v>769</v>
      </c>
      <c r="AC26" s="70">
        <f t="shared" si="12"/>
        <v>25.633333333333333</v>
      </c>
    </row>
    <row r="27" spans="2:29" ht="15" customHeight="1" x14ac:dyDescent="0.2">
      <c r="B27" s="20" t="s">
        <v>15</v>
      </c>
      <c r="C27" s="21"/>
      <c r="D27" s="22"/>
      <c r="J27" s="59" t="s">
        <v>23</v>
      </c>
      <c r="K27" s="60"/>
      <c r="L27" s="60"/>
      <c r="M27" s="61"/>
      <c r="O27" s="59" t="s">
        <v>29</v>
      </c>
      <c r="P27" s="60"/>
      <c r="Q27" s="61"/>
      <c r="AA27">
        <v>40</v>
      </c>
      <c r="AB27" s="53">
        <v>1026</v>
      </c>
      <c r="AC27" s="70">
        <f t="shared" si="12"/>
        <v>25.65</v>
      </c>
    </row>
    <row r="28" spans="2:29" ht="15" customHeight="1" x14ac:dyDescent="0.2">
      <c r="B28" s="23" t="s">
        <v>16</v>
      </c>
      <c r="C28" s="24" t="s">
        <v>19</v>
      </c>
      <c r="D28" s="25">
        <v>2.46</v>
      </c>
      <c r="J28" s="35" t="s">
        <v>24</v>
      </c>
      <c r="K28" s="36" t="s">
        <v>26</v>
      </c>
      <c r="L28" s="21"/>
      <c r="M28" s="22"/>
      <c r="O28" s="35" t="s">
        <v>30</v>
      </c>
      <c r="P28" s="36" t="s">
        <v>32</v>
      </c>
      <c r="Q28" s="43"/>
      <c r="AA28">
        <v>50</v>
      </c>
      <c r="AB28" s="52">
        <v>1282</v>
      </c>
      <c r="AC28" s="70">
        <f t="shared" si="12"/>
        <v>25.64</v>
      </c>
    </row>
    <row r="29" spans="2:29" ht="15" customHeight="1" x14ac:dyDescent="0.2">
      <c r="B29" s="23" t="s">
        <v>17</v>
      </c>
      <c r="C29" s="24" t="s">
        <v>20</v>
      </c>
      <c r="D29" s="25">
        <v>4.2</v>
      </c>
      <c r="F29" s="29" t="s">
        <v>39</v>
      </c>
      <c r="G29" s="29" t="s">
        <v>21</v>
      </c>
      <c r="H29" s="30"/>
      <c r="J29" s="37" t="s">
        <v>25</v>
      </c>
      <c r="K29" s="38" t="s">
        <v>27</v>
      </c>
      <c r="L29" s="1"/>
      <c r="M29" s="39"/>
      <c r="O29" s="37" t="s">
        <v>31</v>
      </c>
      <c r="P29" s="38" t="s">
        <v>33</v>
      </c>
      <c r="Q29" s="25"/>
    </row>
    <row r="30" spans="2:29" ht="15" customHeight="1" x14ac:dyDescent="0.2">
      <c r="B30" s="26" t="s">
        <v>18</v>
      </c>
      <c r="C30" s="27" t="s">
        <v>28</v>
      </c>
      <c r="D30" s="28">
        <v>85</v>
      </c>
      <c r="F30" s="58">
        <v>1</v>
      </c>
      <c r="G30" s="26" t="s">
        <v>22</v>
      </c>
      <c r="H30" s="514">
        <v>1.389</v>
      </c>
      <c r="J30" s="62">
        <f>D29*2.20462*25.4*12</f>
        <v>2822.2663391999999</v>
      </c>
      <c r="K30" s="515">
        <f>H30*D$28*SQRT(4*D$30*J$30/32.2)/12</f>
        <v>49.154878558476867</v>
      </c>
      <c r="L30" s="1"/>
      <c r="M30" s="39"/>
      <c r="O30" s="518">
        <v>1</v>
      </c>
      <c r="P30" s="516">
        <f t="shared" ref="P30:P39" si="13">O30*K30</f>
        <v>49.154878558476867</v>
      </c>
      <c r="Q30" s="25"/>
      <c r="S30" s="135">
        <v>49.154878558476867</v>
      </c>
    </row>
    <row r="31" spans="2:29" ht="15" customHeight="1" x14ac:dyDescent="0.2">
      <c r="F31" s="58">
        <v>2</v>
      </c>
      <c r="G31" s="26" t="s">
        <v>22</v>
      </c>
      <c r="H31" s="517">
        <v>1.034</v>
      </c>
      <c r="J31" s="63"/>
      <c r="K31" s="15">
        <f t="shared" ref="K31:K39" si="14">H31*D$28*SQRT(4*D$30*J$30/32.2)/12</f>
        <v>36.591896637483863</v>
      </c>
      <c r="L31" s="1"/>
      <c r="M31" s="39"/>
      <c r="O31" s="519">
        <v>2</v>
      </c>
      <c r="P31" s="520">
        <f t="shared" si="13"/>
        <v>73.183793274967726</v>
      </c>
      <c r="Q31" s="25"/>
      <c r="S31" s="135">
        <v>73.183793274967726</v>
      </c>
    </row>
    <row r="32" spans="2:29" ht="15" customHeight="1" x14ac:dyDescent="0.2">
      <c r="F32" s="58">
        <v>3</v>
      </c>
      <c r="G32" s="26" t="s">
        <v>22</v>
      </c>
      <c r="H32" s="28">
        <v>0.89700000000000002</v>
      </c>
      <c r="J32" s="63"/>
      <c r="K32" s="14">
        <f t="shared" si="14"/>
        <v>31.743647276424593</v>
      </c>
      <c r="L32" s="1"/>
      <c r="M32" s="39"/>
      <c r="O32" s="44">
        <v>3</v>
      </c>
      <c r="P32" s="46">
        <f t="shared" si="13"/>
        <v>95.230941829273775</v>
      </c>
      <c r="Q32" s="25"/>
      <c r="S32" s="135">
        <v>95.230941829273775</v>
      </c>
    </row>
    <row r="33" spans="2:19" ht="15" customHeight="1" x14ac:dyDescent="0.2">
      <c r="B33" s="73" t="s">
        <v>47</v>
      </c>
      <c r="C33" s="74" t="s">
        <v>48</v>
      </c>
      <c r="D33" s="22"/>
      <c r="F33" s="58">
        <v>4</v>
      </c>
      <c r="G33" s="26" t="s">
        <v>22</v>
      </c>
      <c r="H33" s="28">
        <v>0.81799999999999995</v>
      </c>
      <c r="J33" s="63"/>
      <c r="K33" s="14">
        <f t="shared" si="14"/>
        <v>28.947941440485295</v>
      </c>
      <c r="L33" s="1"/>
      <c r="M33" s="39"/>
      <c r="O33" s="44">
        <v>4</v>
      </c>
      <c r="P33" s="46">
        <f t="shared" si="13"/>
        <v>115.79176576194118</v>
      </c>
      <c r="Q33" s="25"/>
      <c r="S33" s="135">
        <v>115.79176576194118</v>
      </c>
    </row>
    <row r="34" spans="2:19" ht="15" customHeight="1" x14ac:dyDescent="0.2">
      <c r="B34" s="44">
        <v>1</v>
      </c>
      <c r="C34" s="75">
        <f>B34/$B$40</f>
        <v>1.4285714285714286</v>
      </c>
      <c r="D34" s="39"/>
      <c r="F34" s="58">
        <v>5</v>
      </c>
      <c r="G34" s="26" t="s">
        <v>22</v>
      </c>
      <c r="H34" s="517">
        <v>0.76300000000000001</v>
      </c>
      <c r="J34" s="63"/>
      <c r="K34" s="15">
        <f t="shared" si="14"/>
        <v>27.001563959768074</v>
      </c>
      <c r="L34" s="1"/>
      <c r="M34" s="39"/>
      <c r="O34" s="519">
        <v>5</v>
      </c>
      <c r="P34" s="520">
        <f t="shared" si="13"/>
        <v>135.00781979884036</v>
      </c>
      <c r="Q34" s="25"/>
      <c r="S34" s="135">
        <v>135.00781979884036</v>
      </c>
    </row>
    <row r="35" spans="2:19" ht="15" customHeight="1" x14ac:dyDescent="0.2">
      <c r="B35" s="44">
        <v>0.95</v>
      </c>
      <c r="C35" s="75">
        <f t="shared" ref="C35:C44" si="15">B35/$B$40</f>
        <v>1.3571428571428572</v>
      </c>
      <c r="D35" s="39"/>
      <c r="F35" s="58">
        <v>10</v>
      </c>
      <c r="G35" s="26" t="s">
        <v>22</v>
      </c>
      <c r="H35" s="28">
        <v>0.6</v>
      </c>
      <c r="J35" s="63"/>
      <c r="K35" s="14">
        <f t="shared" si="14"/>
        <v>21.233208880551565</v>
      </c>
      <c r="L35" s="1"/>
      <c r="M35" s="39"/>
      <c r="O35" s="44">
        <v>10</v>
      </c>
      <c r="P35" s="46">
        <f t="shared" si="13"/>
        <v>212.33208880551564</v>
      </c>
      <c r="Q35" s="25"/>
      <c r="S35" s="135">
        <v>212.33208880551564</v>
      </c>
    </row>
    <row r="36" spans="2:19" ht="15" customHeight="1" x14ac:dyDescent="0.2">
      <c r="B36" s="44">
        <v>0.9</v>
      </c>
      <c r="C36" s="75">
        <f t="shared" si="15"/>
        <v>1.2857142857142858</v>
      </c>
      <c r="D36" s="39"/>
      <c r="F36" s="58">
        <v>20</v>
      </c>
      <c r="G36" s="26" t="s">
        <v>22</v>
      </c>
      <c r="H36" s="28">
        <v>0.47899999999999998</v>
      </c>
      <c r="J36" s="63"/>
      <c r="K36" s="14">
        <f t="shared" si="14"/>
        <v>16.951178422973666</v>
      </c>
      <c r="L36" s="1"/>
      <c r="M36" s="39"/>
      <c r="O36" s="44">
        <v>20</v>
      </c>
      <c r="P36" s="46">
        <f t="shared" si="13"/>
        <v>339.02356845947332</v>
      </c>
      <c r="Q36" s="25"/>
      <c r="S36" s="135">
        <v>339.02356845947332</v>
      </c>
    </row>
    <row r="37" spans="2:19" ht="15" customHeight="1" x14ac:dyDescent="0.2">
      <c r="B37" s="44">
        <v>0.85</v>
      </c>
      <c r="C37" s="75">
        <f t="shared" si="15"/>
        <v>1.2142857142857144</v>
      </c>
      <c r="D37" s="39"/>
      <c r="F37" s="58">
        <v>30</v>
      </c>
      <c r="G37" s="26" t="s">
        <v>22</v>
      </c>
      <c r="H37" s="28">
        <v>0.42499999999999999</v>
      </c>
      <c r="J37" s="63"/>
      <c r="K37" s="14">
        <f t="shared" si="14"/>
        <v>15.040189623724023</v>
      </c>
      <c r="L37" s="1"/>
      <c r="M37" s="39"/>
      <c r="O37" s="44">
        <v>30</v>
      </c>
      <c r="P37" s="46">
        <f t="shared" si="13"/>
        <v>451.20568871172071</v>
      </c>
      <c r="Q37" s="25"/>
      <c r="S37" s="135">
        <v>451.20568871172071</v>
      </c>
    </row>
    <row r="38" spans="2:19" ht="15" customHeight="1" x14ac:dyDescent="0.2">
      <c r="B38" s="44">
        <v>0.8</v>
      </c>
      <c r="C38" s="75">
        <f t="shared" si="15"/>
        <v>1.142857142857143</v>
      </c>
      <c r="D38" s="39"/>
      <c r="F38" s="58">
        <v>40</v>
      </c>
      <c r="G38" s="26" t="s">
        <v>22</v>
      </c>
      <c r="H38" s="28">
        <v>0.38900000000000001</v>
      </c>
      <c r="J38" s="63"/>
      <c r="K38" s="14">
        <f t="shared" si="14"/>
        <v>13.766197090890932</v>
      </c>
      <c r="L38" s="1"/>
      <c r="M38" s="39"/>
      <c r="O38" s="44">
        <v>40</v>
      </c>
      <c r="P38" s="46">
        <f t="shared" si="13"/>
        <v>550.6478836356373</v>
      </c>
      <c r="Q38" s="25"/>
      <c r="S38" s="135">
        <v>550.6478836356373</v>
      </c>
    </row>
    <row r="39" spans="2:19" ht="15" customHeight="1" x14ac:dyDescent="0.2">
      <c r="B39" s="44">
        <v>0.75</v>
      </c>
      <c r="C39" s="75">
        <f t="shared" si="15"/>
        <v>1.0714285714285714</v>
      </c>
      <c r="D39" s="39"/>
      <c r="F39" s="58">
        <v>50</v>
      </c>
      <c r="G39" s="26" t="s">
        <v>22</v>
      </c>
      <c r="H39" s="517">
        <v>0.36299999999999999</v>
      </c>
      <c r="J39" s="64"/>
      <c r="K39" s="521">
        <f t="shared" si="14"/>
        <v>12.846091372733696</v>
      </c>
      <c r="L39" s="42"/>
      <c r="M39" s="31"/>
      <c r="O39" s="522">
        <v>50</v>
      </c>
      <c r="P39" s="523">
        <f t="shared" si="13"/>
        <v>642.30456863668473</v>
      </c>
      <c r="Q39" s="28"/>
      <c r="S39" s="135">
        <v>642.30456863668473</v>
      </c>
    </row>
    <row r="40" spans="2:19" ht="15" customHeight="1" x14ac:dyDescent="0.2">
      <c r="B40" s="44">
        <v>0.7</v>
      </c>
      <c r="C40" s="75">
        <f t="shared" si="15"/>
        <v>1</v>
      </c>
      <c r="D40" s="39"/>
    </row>
    <row r="41" spans="2:19" ht="15" customHeight="1" x14ac:dyDescent="0.2">
      <c r="B41" s="44">
        <v>0.65</v>
      </c>
      <c r="C41" s="75">
        <f t="shared" si="15"/>
        <v>0.92857142857142871</v>
      </c>
      <c r="D41" s="39"/>
      <c r="J41" t="s">
        <v>40</v>
      </c>
    </row>
    <row r="42" spans="2:19" ht="15" customHeight="1" x14ac:dyDescent="0.2">
      <c r="B42" s="44">
        <v>0.6</v>
      </c>
      <c r="C42" s="75">
        <f t="shared" si="15"/>
        <v>0.85714285714285721</v>
      </c>
      <c r="D42" s="39"/>
    </row>
    <row r="43" spans="2:19" ht="15" customHeight="1" x14ac:dyDescent="0.2">
      <c r="B43" s="44">
        <v>0.55000000000000004</v>
      </c>
      <c r="C43" s="75">
        <f t="shared" si="15"/>
        <v>0.78571428571428581</v>
      </c>
      <c r="D43" s="39"/>
    </row>
    <row r="44" spans="2:19" ht="15" customHeight="1" x14ac:dyDescent="0.2">
      <c r="B44" s="45">
        <v>0.5</v>
      </c>
      <c r="C44" s="76">
        <f t="shared" si="15"/>
        <v>0.7142857142857143</v>
      </c>
      <c r="D44" s="31"/>
    </row>
    <row r="45" spans="2:19" ht="15" customHeight="1" x14ac:dyDescent="0.2"/>
    <row r="46" spans="2:19" ht="15" customHeight="1" x14ac:dyDescent="0.2"/>
    <row r="47" spans="2:19" ht="15" customHeight="1" x14ac:dyDescent="0.2">
      <c r="B47" s="73" t="s">
        <v>49</v>
      </c>
      <c r="C47" s="77" t="s">
        <v>49</v>
      </c>
      <c r="D47" s="22"/>
    </row>
    <row r="48" spans="2:19" ht="15" customHeight="1" x14ac:dyDescent="0.2">
      <c r="B48" s="44" t="s">
        <v>50</v>
      </c>
      <c r="C48" s="3" t="s">
        <v>51</v>
      </c>
      <c r="D48" s="25" t="s">
        <v>52</v>
      </c>
      <c r="E48" s="81" t="s">
        <v>53</v>
      </c>
    </row>
    <row r="49" spans="1:12" ht="15" customHeight="1" x14ac:dyDescent="0.2">
      <c r="B49" s="44">
        <v>0.72</v>
      </c>
      <c r="C49" s="3">
        <v>1.03</v>
      </c>
      <c r="D49" s="78">
        <f>C49/B49</f>
        <v>1.4305555555555556</v>
      </c>
    </row>
    <row r="50" spans="1:12" ht="15" customHeight="1" x14ac:dyDescent="0.2">
      <c r="B50" s="44">
        <v>0.89</v>
      </c>
      <c r="C50" s="3">
        <v>1.21</v>
      </c>
      <c r="D50" s="78">
        <f t="shared" ref="D50:D58" si="16">C50/B50</f>
        <v>1.3595505617977528</v>
      </c>
    </row>
    <row r="51" spans="1:12" ht="15" customHeight="1" x14ac:dyDescent="0.2">
      <c r="B51" s="44">
        <v>1.01</v>
      </c>
      <c r="C51" s="3">
        <v>1.26</v>
      </c>
      <c r="D51" s="78">
        <f t="shared" si="16"/>
        <v>1.2475247524752475</v>
      </c>
    </row>
    <row r="52" spans="1:12" ht="15" customHeight="1" x14ac:dyDescent="0.2">
      <c r="B52" s="44">
        <v>1.1100000000000001</v>
      </c>
      <c r="C52" s="3">
        <v>1.31</v>
      </c>
      <c r="D52" s="78">
        <f t="shared" si="16"/>
        <v>1.1801801801801801</v>
      </c>
    </row>
    <row r="53" spans="1:12" ht="15" customHeight="1" x14ac:dyDescent="0.2">
      <c r="B53" s="44">
        <v>1.19</v>
      </c>
      <c r="C53" s="3">
        <v>1.34</v>
      </c>
      <c r="D53" s="78">
        <f t="shared" si="16"/>
        <v>1.1260504201680674</v>
      </c>
    </row>
    <row r="54" spans="1:12" ht="15" customHeight="1" x14ac:dyDescent="0.2">
      <c r="B54" s="44">
        <v>1.41</v>
      </c>
      <c r="C54" s="3">
        <v>1.49</v>
      </c>
      <c r="D54" s="78">
        <f t="shared" si="16"/>
        <v>1.0567375886524824</v>
      </c>
    </row>
    <row r="55" spans="1:12" ht="15" customHeight="1" x14ac:dyDescent="0.2">
      <c r="B55" s="44">
        <v>1.59</v>
      </c>
      <c r="C55" s="3">
        <v>1.59</v>
      </c>
      <c r="D55" s="78">
        <f t="shared" si="16"/>
        <v>1</v>
      </c>
      <c r="J55" s="3"/>
      <c r="K55" s="14"/>
      <c r="L55" s="3"/>
    </row>
    <row r="56" spans="1:12" ht="15" customHeight="1" x14ac:dyDescent="0.2">
      <c r="B56" s="44">
        <v>1.74</v>
      </c>
      <c r="C56" s="3">
        <v>1.74</v>
      </c>
      <c r="D56" s="78">
        <f t="shared" si="16"/>
        <v>1</v>
      </c>
      <c r="J56" s="3"/>
      <c r="K56" s="14"/>
      <c r="L56" s="3"/>
    </row>
    <row r="57" spans="1:12" ht="15" customHeight="1" x14ac:dyDescent="0.2">
      <c r="B57" s="44">
        <v>1.88</v>
      </c>
      <c r="C57" s="3">
        <v>1.88</v>
      </c>
      <c r="D57" s="78">
        <f t="shared" si="16"/>
        <v>1</v>
      </c>
      <c r="J57" s="3"/>
      <c r="K57" s="14"/>
      <c r="L57" s="3"/>
    </row>
    <row r="58" spans="1:12" ht="15" customHeight="1" x14ac:dyDescent="0.2">
      <c r="B58" s="45">
        <v>2.0099999999999998</v>
      </c>
      <c r="C58" s="79">
        <v>2.0099999999999998</v>
      </c>
      <c r="D58" s="80">
        <f t="shared" si="16"/>
        <v>1</v>
      </c>
    </row>
    <row r="59" spans="1:12" ht="15" customHeight="1" x14ac:dyDescent="0.2"/>
    <row r="60" spans="1:12" ht="15" customHeight="1" x14ac:dyDescent="0.2"/>
    <row r="61" spans="1:12" ht="15" customHeight="1" x14ac:dyDescent="0.2"/>
    <row r="62" spans="1:12" ht="15" customHeight="1" x14ac:dyDescent="0.2">
      <c r="A62" t="s">
        <v>86</v>
      </c>
    </row>
    <row r="63" spans="1:12" ht="15" customHeight="1" x14ac:dyDescent="0.2">
      <c r="A63" t="s">
        <v>87</v>
      </c>
    </row>
    <row r="64" spans="1:12" ht="15" customHeight="1" x14ac:dyDescent="0.2">
      <c r="A64" s="54" t="s">
        <v>88</v>
      </c>
    </row>
    <row r="65" spans="1:14" ht="15" customHeight="1" x14ac:dyDescent="0.2">
      <c r="A65" t="s">
        <v>92</v>
      </c>
    </row>
    <row r="66" spans="1:14" ht="15" customHeight="1" x14ac:dyDescent="0.2"/>
    <row r="67" spans="1:14" ht="15" customHeight="1" x14ac:dyDescent="0.2">
      <c r="C67" t="s">
        <v>89</v>
      </c>
      <c r="H67" s="54" t="s">
        <v>96</v>
      </c>
      <c r="M67" t="s">
        <v>90</v>
      </c>
    </row>
    <row r="68" spans="1:14" ht="15" customHeight="1" x14ac:dyDescent="0.2">
      <c r="H68" t="s">
        <v>97</v>
      </c>
    </row>
    <row r="69" spans="1:14" ht="15" customHeight="1" x14ac:dyDescent="0.2">
      <c r="C69" s="5" t="s">
        <v>2</v>
      </c>
      <c r="D69" s="5" t="s">
        <v>4</v>
      </c>
      <c r="H69" s="5" t="s">
        <v>2</v>
      </c>
      <c r="I69" s="5" t="s">
        <v>4</v>
      </c>
      <c r="M69" s="5" t="s">
        <v>2</v>
      </c>
      <c r="N69" s="5" t="s">
        <v>4</v>
      </c>
    </row>
    <row r="70" spans="1:14" ht="15" customHeight="1" x14ac:dyDescent="0.2">
      <c r="C70" s="3">
        <v>1</v>
      </c>
      <c r="D70" s="56">
        <v>0.7</v>
      </c>
      <c r="H70" s="3">
        <v>1</v>
      </c>
      <c r="I70" s="56">
        <f>IF(N70=0.7,0.7,(D70+N70)/2)</f>
        <v>0.8550279931556809</v>
      </c>
      <c r="M70" s="3">
        <v>1</v>
      </c>
      <c r="N70" s="56">
        <v>1.0100559863113618</v>
      </c>
    </row>
    <row r="71" spans="1:14" ht="15" customHeight="1" x14ac:dyDescent="0.2">
      <c r="C71" s="7">
        <v>2</v>
      </c>
      <c r="D71" s="57">
        <v>0.7</v>
      </c>
      <c r="H71" s="7">
        <v>2</v>
      </c>
      <c r="I71" s="57">
        <f t="shared" ref="I71:I75" si="17">IF(N71=0.7,0.7,(D71+N71)/2)</f>
        <v>0.82090448010462136</v>
      </c>
      <c r="M71" s="7">
        <v>2</v>
      </c>
      <c r="N71" s="57">
        <v>0.94180896020924276</v>
      </c>
    </row>
    <row r="72" spans="1:14" ht="15" customHeight="1" x14ac:dyDescent="0.2">
      <c r="C72" s="3">
        <v>3</v>
      </c>
      <c r="D72" s="56">
        <v>0.7</v>
      </c>
      <c r="H72" s="3">
        <v>3</v>
      </c>
      <c r="I72" s="56">
        <f t="shared" si="17"/>
        <v>0.78678096705356182</v>
      </c>
      <c r="M72" s="3">
        <v>3</v>
      </c>
      <c r="N72" s="56">
        <v>0.87356193410712368</v>
      </c>
    </row>
    <row r="73" spans="1:14" ht="15" customHeight="1" x14ac:dyDescent="0.2">
      <c r="C73" s="3">
        <v>4</v>
      </c>
      <c r="D73" s="56">
        <v>0.7</v>
      </c>
      <c r="H73" s="3">
        <v>4</v>
      </c>
      <c r="I73" s="56">
        <f t="shared" si="17"/>
        <v>0.76289450791782021</v>
      </c>
      <c r="M73" s="3">
        <v>4</v>
      </c>
      <c r="N73" s="56">
        <v>0.82578901583564035</v>
      </c>
    </row>
    <row r="74" spans="1:14" ht="15" customHeight="1" x14ac:dyDescent="0.2">
      <c r="C74" s="7">
        <v>5</v>
      </c>
      <c r="D74" s="57">
        <v>0.7</v>
      </c>
      <c r="H74" s="7">
        <v>5</v>
      </c>
      <c r="I74" s="57">
        <f t="shared" si="17"/>
        <v>0.74310287034820566</v>
      </c>
      <c r="M74" s="7">
        <v>5</v>
      </c>
      <c r="N74" s="57">
        <v>0.78620574069641136</v>
      </c>
    </row>
    <row r="75" spans="1:14" ht="15" customHeight="1" x14ac:dyDescent="0.2">
      <c r="C75" s="3">
        <v>10</v>
      </c>
      <c r="D75" s="56">
        <v>0.7</v>
      </c>
      <c r="H75" s="3">
        <v>10</v>
      </c>
      <c r="I75" s="56">
        <f t="shared" si="17"/>
        <v>0.71853394095144285</v>
      </c>
      <c r="M75" s="3">
        <v>10</v>
      </c>
      <c r="N75" s="56">
        <v>0.73706788190288564</v>
      </c>
    </row>
    <row r="76" spans="1:14" ht="15" customHeight="1" x14ac:dyDescent="0.2">
      <c r="C76" s="3">
        <v>20</v>
      </c>
      <c r="D76" s="56">
        <v>0.7</v>
      </c>
      <c r="E76" s="54" t="s">
        <v>93</v>
      </c>
      <c r="H76" s="3">
        <v>20</v>
      </c>
      <c r="I76" s="56">
        <f t="shared" ref="I76:I79" si="18">IF(N76=0.7,0.7,"n")</f>
        <v>0.7</v>
      </c>
      <c r="J76" s="54" t="s">
        <v>93</v>
      </c>
      <c r="M76" s="3">
        <v>20</v>
      </c>
      <c r="N76" s="56">
        <v>0.7</v>
      </c>
    </row>
    <row r="77" spans="1:14" ht="15" customHeight="1" x14ac:dyDescent="0.2">
      <c r="C77" s="3">
        <v>30</v>
      </c>
      <c r="D77" s="56">
        <v>0.7</v>
      </c>
      <c r="H77" s="3">
        <v>30</v>
      </c>
      <c r="I77" s="56">
        <f t="shared" si="18"/>
        <v>0.7</v>
      </c>
      <c r="M77" s="3">
        <v>30</v>
      </c>
      <c r="N77" s="56">
        <v>0.7</v>
      </c>
    </row>
    <row r="78" spans="1:14" ht="15" customHeight="1" x14ac:dyDescent="0.2">
      <c r="C78" s="7">
        <v>40</v>
      </c>
      <c r="D78" s="57">
        <v>0.7</v>
      </c>
      <c r="H78" s="7">
        <v>40</v>
      </c>
      <c r="I78" s="57">
        <f t="shared" si="18"/>
        <v>0.7</v>
      </c>
      <c r="M78" s="7">
        <v>40</v>
      </c>
      <c r="N78" s="57">
        <v>0.7</v>
      </c>
    </row>
    <row r="79" spans="1:14" ht="15" customHeight="1" x14ac:dyDescent="0.2">
      <c r="C79" s="3">
        <v>50</v>
      </c>
      <c r="D79" s="56">
        <v>0.7</v>
      </c>
      <c r="H79" s="3">
        <v>50</v>
      </c>
      <c r="I79" s="56">
        <f t="shared" si="18"/>
        <v>0.7</v>
      </c>
      <c r="M79" s="3">
        <v>50</v>
      </c>
      <c r="N79" s="56">
        <v>0.7</v>
      </c>
    </row>
    <row r="80" spans="1:14" ht="15" customHeight="1" x14ac:dyDescent="0.2"/>
    <row r="81" spans="8:17" ht="15" customHeight="1" x14ac:dyDescent="0.2"/>
    <row r="82" spans="8:17" ht="15" customHeight="1" x14ac:dyDescent="0.2">
      <c r="H82" t="s">
        <v>91</v>
      </c>
      <c r="M82" s="54" t="s">
        <v>95</v>
      </c>
    </row>
    <row r="83" spans="8:17" ht="15" customHeight="1" x14ac:dyDescent="0.2">
      <c r="H83" s="54" t="s">
        <v>94</v>
      </c>
      <c r="M83" s="54" t="s">
        <v>94</v>
      </c>
    </row>
    <row r="84" spans="8:17" ht="15" customHeight="1" x14ac:dyDescent="0.2"/>
    <row r="85" spans="8:17" ht="15" customHeight="1" x14ac:dyDescent="0.2">
      <c r="H85" s="73" t="s">
        <v>47</v>
      </c>
      <c r="I85" s="74" t="s">
        <v>48</v>
      </c>
      <c r="J85" s="22"/>
      <c r="M85" s="73" t="s">
        <v>47</v>
      </c>
      <c r="N85" s="74" t="s">
        <v>48</v>
      </c>
      <c r="O85" s="22"/>
    </row>
    <row r="86" spans="8:17" ht="15" customHeight="1" x14ac:dyDescent="0.2">
      <c r="H86" s="44">
        <v>0.86</v>
      </c>
      <c r="I86" s="75">
        <f>H86/$H$89</f>
        <v>1.2285714285714286</v>
      </c>
      <c r="J86" s="132">
        <f>I86</f>
        <v>1.2285714285714286</v>
      </c>
      <c r="M86" s="44">
        <v>1</v>
      </c>
      <c r="N86" s="75">
        <f>M86/$M$92</f>
        <v>1.4285714285714286</v>
      </c>
      <c r="O86" s="132">
        <f>N86</f>
        <v>1.4285714285714286</v>
      </c>
      <c r="Q86">
        <v>1.4285714285714286</v>
      </c>
    </row>
    <row r="87" spans="8:17" ht="15" customHeight="1" x14ac:dyDescent="0.2">
      <c r="H87" s="44">
        <v>0.8</v>
      </c>
      <c r="I87" s="75">
        <f t="shared" ref="I87:I96" si="19">H87/$H$89</f>
        <v>1.142857142857143</v>
      </c>
      <c r="J87" s="132">
        <f t="shared" ref="J87:J96" si="20">I87</f>
        <v>1.142857142857143</v>
      </c>
      <c r="M87" s="44">
        <v>0.95</v>
      </c>
      <c r="N87" s="75">
        <f t="shared" ref="N87:N96" si="21">M87/$M$92</f>
        <v>1.3571428571428572</v>
      </c>
      <c r="O87" s="132">
        <f t="shared" ref="O87:O96" si="22">N87</f>
        <v>1.3571428571428572</v>
      </c>
      <c r="Q87">
        <v>1.3571428571428572</v>
      </c>
    </row>
    <row r="88" spans="8:17" ht="15" customHeight="1" x14ac:dyDescent="0.2">
      <c r="H88" s="44">
        <v>0.75</v>
      </c>
      <c r="I88" s="75">
        <f t="shared" si="19"/>
        <v>1.0714285714285714</v>
      </c>
      <c r="J88" s="132">
        <f t="shared" si="20"/>
        <v>1.0714285714285714</v>
      </c>
      <c r="M88" s="44">
        <v>0.9</v>
      </c>
      <c r="N88" s="75">
        <f t="shared" si="21"/>
        <v>1.2857142857142858</v>
      </c>
      <c r="O88" s="132">
        <f t="shared" si="22"/>
        <v>1.2857142857142858</v>
      </c>
      <c r="Q88">
        <v>1.2857142857142858</v>
      </c>
    </row>
    <row r="89" spans="8:17" ht="15" customHeight="1" x14ac:dyDescent="0.2">
      <c r="H89" s="44">
        <v>0.7</v>
      </c>
      <c r="I89" s="75">
        <f t="shared" si="19"/>
        <v>1</v>
      </c>
      <c r="J89" s="132">
        <f t="shared" si="20"/>
        <v>1</v>
      </c>
      <c r="M89" s="44">
        <v>0.85</v>
      </c>
      <c r="N89" s="75">
        <f t="shared" si="21"/>
        <v>1.2142857142857144</v>
      </c>
      <c r="O89" s="132">
        <f t="shared" si="22"/>
        <v>1.2142857142857144</v>
      </c>
      <c r="Q89">
        <v>1.2142857142857144</v>
      </c>
    </row>
    <row r="90" spans="8:17" ht="15" customHeight="1" x14ac:dyDescent="0.2">
      <c r="H90" s="44">
        <v>0.65</v>
      </c>
      <c r="I90" s="75">
        <f t="shared" si="19"/>
        <v>0.92857142857142871</v>
      </c>
      <c r="J90" s="132">
        <f t="shared" si="20"/>
        <v>0.92857142857142871</v>
      </c>
      <c r="M90" s="44">
        <v>0.8</v>
      </c>
      <c r="N90" s="75">
        <f t="shared" si="21"/>
        <v>1.142857142857143</v>
      </c>
      <c r="O90" s="132">
        <f t="shared" si="22"/>
        <v>1.142857142857143</v>
      </c>
      <c r="Q90">
        <v>1.142857142857143</v>
      </c>
    </row>
    <row r="91" spans="8:17" ht="15" customHeight="1" x14ac:dyDescent="0.2">
      <c r="H91" s="44">
        <v>0.6</v>
      </c>
      <c r="I91" s="75">
        <f t="shared" si="19"/>
        <v>0.85714285714285721</v>
      </c>
      <c r="J91" s="132">
        <f t="shared" si="20"/>
        <v>0.85714285714285721</v>
      </c>
      <c r="M91" s="44">
        <v>0.75</v>
      </c>
      <c r="N91" s="75">
        <f t="shared" si="21"/>
        <v>1.0714285714285714</v>
      </c>
      <c r="O91" s="132">
        <f t="shared" si="22"/>
        <v>1.0714285714285714</v>
      </c>
      <c r="Q91">
        <v>1.0714285714285714</v>
      </c>
    </row>
    <row r="92" spans="8:17" ht="15" customHeight="1" x14ac:dyDescent="0.2">
      <c r="H92" s="44">
        <v>0.55000000000000004</v>
      </c>
      <c r="I92" s="75">
        <f t="shared" si="19"/>
        <v>0.78571428571428581</v>
      </c>
      <c r="J92" s="132">
        <f t="shared" si="20"/>
        <v>0.78571428571428581</v>
      </c>
      <c r="M92" s="44">
        <v>0.7</v>
      </c>
      <c r="N92" s="75">
        <f t="shared" si="21"/>
        <v>1</v>
      </c>
      <c r="O92" s="132">
        <f t="shared" si="22"/>
        <v>1</v>
      </c>
      <c r="Q92">
        <v>1</v>
      </c>
    </row>
    <row r="93" spans="8:17" ht="15" customHeight="1" x14ac:dyDescent="0.2">
      <c r="H93" s="44">
        <v>0.5</v>
      </c>
      <c r="I93" s="75">
        <f t="shared" si="19"/>
        <v>0.7142857142857143</v>
      </c>
      <c r="J93" s="132">
        <f t="shared" si="20"/>
        <v>0.7142857142857143</v>
      </c>
      <c r="M93" s="44">
        <v>0.65</v>
      </c>
      <c r="N93" s="75">
        <f t="shared" si="21"/>
        <v>0.92857142857142871</v>
      </c>
      <c r="O93" s="132">
        <f t="shared" si="22"/>
        <v>0.92857142857142871</v>
      </c>
      <c r="Q93">
        <v>0.92857142857142871</v>
      </c>
    </row>
    <row r="94" spans="8:17" ht="15" customHeight="1" x14ac:dyDescent="0.2">
      <c r="H94" s="44">
        <v>0.45</v>
      </c>
      <c r="I94" s="75">
        <f t="shared" si="19"/>
        <v>0.6428571428571429</v>
      </c>
      <c r="J94" s="132">
        <f t="shared" si="20"/>
        <v>0.6428571428571429</v>
      </c>
      <c r="M94" s="44">
        <v>0.6</v>
      </c>
      <c r="N94" s="75">
        <f t="shared" si="21"/>
        <v>0.85714285714285721</v>
      </c>
      <c r="O94" s="132">
        <f t="shared" si="22"/>
        <v>0.85714285714285721</v>
      </c>
      <c r="Q94">
        <v>0.85714285714285721</v>
      </c>
    </row>
    <row r="95" spans="8:17" ht="15" customHeight="1" x14ac:dyDescent="0.2">
      <c r="H95" s="44">
        <v>0.4</v>
      </c>
      <c r="I95" s="75">
        <f t="shared" si="19"/>
        <v>0.57142857142857151</v>
      </c>
      <c r="J95" s="132">
        <f t="shared" si="20"/>
        <v>0.57142857142857151</v>
      </c>
      <c r="M95" s="44">
        <v>0.55000000000000004</v>
      </c>
      <c r="N95" s="75">
        <f t="shared" si="21"/>
        <v>0.78571428571428581</v>
      </c>
      <c r="O95" s="132">
        <f t="shared" si="22"/>
        <v>0.78571428571428581</v>
      </c>
      <c r="Q95">
        <v>0.78571428571428581</v>
      </c>
    </row>
    <row r="96" spans="8:17" ht="15" customHeight="1" x14ac:dyDescent="0.2">
      <c r="H96" s="45">
        <v>0.35</v>
      </c>
      <c r="I96" s="76">
        <f t="shared" si="19"/>
        <v>0.5</v>
      </c>
      <c r="J96" s="134">
        <f t="shared" si="20"/>
        <v>0.5</v>
      </c>
      <c r="M96" s="45">
        <v>0.5</v>
      </c>
      <c r="N96" s="76">
        <f t="shared" si="21"/>
        <v>0.7142857142857143</v>
      </c>
      <c r="O96" s="134">
        <f t="shared" si="22"/>
        <v>0.7142857142857143</v>
      </c>
      <c r="Q96">
        <v>0.7142857142857143</v>
      </c>
    </row>
    <row r="97" spans="8:10" ht="15" customHeight="1" x14ac:dyDescent="0.2"/>
    <row r="98" spans="8:10" ht="15" customHeight="1" x14ac:dyDescent="0.2"/>
    <row r="99" spans="8:10" ht="15" customHeight="1" x14ac:dyDescent="0.2"/>
    <row r="100" spans="8:10" ht="15" customHeight="1" x14ac:dyDescent="0.2">
      <c r="H100" s="73" t="s">
        <v>47</v>
      </c>
      <c r="I100" s="74" t="s">
        <v>48</v>
      </c>
      <c r="J100" s="22"/>
    </row>
    <row r="101" spans="8:10" ht="15" customHeight="1" x14ac:dyDescent="0.2">
      <c r="H101" s="44">
        <v>0.85</v>
      </c>
      <c r="I101" s="75">
        <f>H101/$H$89</f>
        <v>1.2142857142857144</v>
      </c>
      <c r="J101" s="132">
        <f>I101</f>
        <v>1.2142857142857144</v>
      </c>
    </row>
    <row r="102" spans="8:10" ht="15" customHeight="1" x14ac:dyDescent="0.2">
      <c r="H102" s="44">
        <v>0.8</v>
      </c>
      <c r="I102" s="75">
        <f t="shared" ref="I102:I111" si="23">H102/$H$89</f>
        <v>1.142857142857143</v>
      </c>
      <c r="J102" s="132">
        <f t="shared" ref="J102:J111" si="24">I102</f>
        <v>1.142857142857143</v>
      </c>
    </row>
    <row r="103" spans="8:10" ht="15" customHeight="1" x14ac:dyDescent="0.2">
      <c r="H103" s="44">
        <v>0.75</v>
      </c>
      <c r="I103" s="75">
        <f t="shared" si="23"/>
        <v>1.0714285714285714</v>
      </c>
      <c r="J103" s="132">
        <f t="shared" si="24"/>
        <v>1.0714285714285714</v>
      </c>
    </row>
    <row r="104" spans="8:10" ht="15" customHeight="1" x14ac:dyDescent="0.2">
      <c r="H104" s="44">
        <v>0.7</v>
      </c>
      <c r="I104" s="75">
        <f t="shared" si="23"/>
        <v>1</v>
      </c>
      <c r="J104" s="132">
        <f t="shared" si="24"/>
        <v>1</v>
      </c>
    </row>
    <row r="105" spans="8:10" ht="15" customHeight="1" x14ac:dyDescent="0.2">
      <c r="H105" s="44">
        <v>0.65</v>
      </c>
      <c r="I105" s="75">
        <f t="shared" si="23"/>
        <v>0.92857142857142871</v>
      </c>
      <c r="J105" s="132">
        <f t="shared" si="24"/>
        <v>0.92857142857142871</v>
      </c>
    </row>
    <row r="106" spans="8:10" ht="15" customHeight="1" x14ac:dyDescent="0.2">
      <c r="H106" s="44">
        <v>0.6</v>
      </c>
      <c r="I106" s="75">
        <f t="shared" si="23"/>
        <v>0.85714285714285721</v>
      </c>
      <c r="J106" s="132">
        <f t="shared" si="24"/>
        <v>0.85714285714285721</v>
      </c>
    </row>
    <row r="107" spans="8:10" ht="15" customHeight="1" x14ac:dyDescent="0.2">
      <c r="H107" s="44">
        <v>0.55000000000000004</v>
      </c>
      <c r="I107" s="75">
        <f t="shared" si="23"/>
        <v>0.78571428571428581</v>
      </c>
      <c r="J107" s="132">
        <f t="shared" si="24"/>
        <v>0.78571428571428581</v>
      </c>
    </row>
    <row r="108" spans="8:10" ht="15" customHeight="1" x14ac:dyDescent="0.2">
      <c r="H108" s="44">
        <v>0.5</v>
      </c>
      <c r="I108" s="75">
        <f t="shared" si="23"/>
        <v>0.7142857142857143</v>
      </c>
      <c r="J108" s="132">
        <f t="shared" si="24"/>
        <v>0.7142857142857143</v>
      </c>
    </row>
    <row r="109" spans="8:10" ht="15" customHeight="1" x14ac:dyDescent="0.2">
      <c r="H109" s="44">
        <v>0.45</v>
      </c>
      <c r="I109" s="75">
        <f t="shared" si="23"/>
        <v>0.6428571428571429</v>
      </c>
      <c r="J109" s="132">
        <f t="shared" si="24"/>
        <v>0.6428571428571429</v>
      </c>
    </row>
    <row r="110" spans="8:10" ht="15" customHeight="1" x14ac:dyDescent="0.2">
      <c r="H110" s="44">
        <v>0.4</v>
      </c>
      <c r="I110" s="75">
        <f t="shared" si="23"/>
        <v>0.57142857142857151</v>
      </c>
      <c r="J110" s="132">
        <f t="shared" si="24"/>
        <v>0.57142857142857151</v>
      </c>
    </row>
    <row r="111" spans="8:10" ht="15" customHeight="1" x14ac:dyDescent="0.2">
      <c r="H111" s="45">
        <v>0.35</v>
      </c>
      <c r="I111" s="76">
        <f t="shared" si="23"/>
        <v>0.5</v>
      </c>
      <c r="J111" s="134">
        <f t="shared" si="24"/>
        <v>0.5</v>
      </c>
    </row>
    <row r="112" spans="8:10"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sheetData>
  <pageMargins left="0.45" right="0.45" top="0.5" bottom="0.5" header="0.3" footer="0.3"/>
  <pageSetup scale="96"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5">
    <pageSetUpPr fitToPage="1"/>
  </sheetPr>
  <dimension ref="A1:AE172"/>
  <sheetViews>
    <sheetView showGridLines="0" topLeftCell="A4" zoomScale="90" zoomScaleNormal="90" workbookViewId="0"/>
  </sheetViews>
  <sheetFormatPr defaultRowHeight="12.75" x14ac:dyDescent="0.2"/>
  <cols>
    <col min="3" max="3" width="9.140625" customWidth="1"/>
    <col min="7" max="7" width="9.140625" customWidth="1"/>
    <col min="9" max="9" width="9.140625" customWidth="1"/>
    <col min="11" max="12" width="9.140625" customWidth="1"/>
    <col min="13" max="13" width="8.42578125" customWidth="1"/>
    <col min="15" max="15" width="9.140625" customWidth="1"/>
    <col min="20" max="20" width="7.5703125" customWidth="1"/>
  </cols>
  <sheetData>
    <row r="1" spans="1:31" ht="15" customHeight="1" x14ac:dyDescent="0.2">
      <c r="K1" t="s">
        <v>73</v>
      </c>
    </row>
    <row r="2" spans="1:31" ht="15" customHeight="1" x14ac:dyDescent="0.2">
      <c r="A2" t="s">
        <v>13</v>
      </c>
      <c r="B2" s="13" t="s">
        <v>12</v>
      </c>
    </row>
    <row r="3" spans="1:31" ht="15" customHeight="1" x14ac:dyDescent="0.2">
      <c r="B3" s="13" t="s">
        <v>7</v>
      </c>
    </row>
    <row r="4" spans="1:31" ht="15" customHeight="1" x14ac:dyDescent="0.2">
      <c r="A4" s="50" t="s">
        <v>100</v>
      </c>
      <c r="B4" s="13"/>
    </row>
    <row r="5" spans="1:31" ht="15" customHeight="1" x14ac:dyDescent="0.2">
      <c r="Z5" t="s">
        <v>42</v>
      </c>
    </row>
    <row r="6" spans="1:31" ht="15" customHeight="1" x14ac:dyDescent="0.2">
      <c r="G6" s="133"/>
      <c r="H6" s="133"/>
      <c r="I6" s="133"/>
      <c r="J6" s="133"/>
      <c r="K6" s="133"/>
      <c r="L6" s="133"/>
      <c r="AD6" t="s">
        <v>36</v>
      </c>
    </row>
    <row r="7" spans="1:31" ht="15" customHeight="1" x14ac:dyDescent="0.2">
      <c r="H7" s="54" t="s">
        <v>99</v>
      </c>
      <c r="O7" s="54" t="s">
        <v>98</v>
      </c>
      <c r="Z7" t="s">
        <v>43</v>
      </c>
      <c r="AB7" t="s">
        <v>44</v>
      </c>
      <c r="AD7" s="68" t="s">
        <v>45</v>
      </c>
      <c r="AE7" t="s">
        <v>37</v>
      </c>
    </row>
    <row r="8" spans="1:31" ht="15" customHeight="1" x14ac:dyDescent="0.2">
      <c r="B8" s="4">
        <v>2.46</v>
      </c>
      <c r="C8" s="2" t="s">
        <v>6</v>
      </c>
      <c r="E8" s="8"/>
      <c r="F8" s="1"/>
      <c r="L8" s="50"/>
      <c r="S8" s="50" t="s">
        <v>41</v>
      </c>
      <c r="Z8" s="69">
        <v>-37</v>
      </c>
      <c r="AB8" s="69">
        <v>-36</v>
      </c>
      <c r="AC8">
        <v>1</v>
      </c>
      <c r="AD8" s="52">
        <f>(Z8+AB8)/2*-1</f>
        <v>36.5</v>
      </c>
      <c r="AE8" s="70">
        <f>AD8/AC8</f>
        <v>36.5</v>
      </c>
    </row>
    <row r="9" spans="1:31" ht="15" customHeight="1" x14ac:dyDescent="0.2">
      <c r="B9" s="4">
        <v>4.5</v>
      </c>
      <c r="C9" s="1" t="s">
        <v>0</v>
      </c>
      <c r="F9" s="1"/>
      <c r="H9" s="4">
        <v>2.46</v>
      </c>
      <c r="I9" s="2" t="s">
        <v>6</v>
      </c>
      <c r="O9" s="4">
        <v>2.46</v>
      </c>
      <c r="P9" s="2" t="s">
        <v>6</v>
      </c>
      <c r="Z9" s="71">
        <v>-64</v>
      </c>
      <c r="AB9" s="71">
        <v>-64</v>
      </c>
      <c r="AC9">
        <v>2</v>
      </c>
      <c r="AD9" s="53">
        <f t="shared" ref="AD9:AD17" si="0">(Z9+AB9)/2*-1</f>
        <v>64</v>
      </c>
      <c r="AE9" s="70">
        <f t="shared" ref="AE9:AE17" si="1">AD9/AC9</f>
        <v>32</v>
      </c>
    </row>
    <row r="10" spans="1:31" ht="15" customHeight="1" x14ac:dyDescent="0.2">
      <c r="B10" s="4">
        <v>85</v>
      </c>
      <c r="C10" s="2" t="s">
        <v>1</v>
      </c>
      <c r="F10" s="1"/>
      <c r="H10" s="4">
        <v>4.5</v>
      </c>
      <c r="I10" s="1" t="s">
        <v>0</v>
      </c>
      <c r="O10" s="4">
        <v>4.5</v>
      </c>
      <c r="P10" s="1" t="s">
        <v>0</v>
      </c>
      <c r="Z10" s="69">
        <v>-93</v>
      </c>
      <c r="AB10" s="69">
        <v>-92</v>
      </c>
      <c r="AC10">
        <v>3</v>
      </c>
      <c r="AD10" s="52">
        <f t="shared" si="0"/>
        <v>92.5</v>
      </c>
      <c r="AE10" s="70">
        <f t="shared" si="1"/>
        <v>30.833333333333332</v>
      </c>
    </row>
    <row r="11" spans="1:31" ht="15" customHeight="1" x14ac:dyDescent="0.2">
      <c r="B11" s="4"/>
      <c r="C11" s="2"/>
      <c r="E11" s="1" t="s">
        <v>10</v>
      </c>
      <c r="F11" s="1"/>
      <c r="H11" s="4">
        <v>85</v>
      </c>
      <c r="I11" s="2" t="s">
        <v>1</v>
      </c>
      <c r="O11" s="4">
        <v>85</v>
      </c>
      <c r="P11" s="2" t="s">
        <v>1</v>
      </c>
      <c r="Z11" s="69">
        <v>-120</v>
      </c>
      <c r="AB11" s="69">
        <v>-119</v>
      </c>
      <c r="AC11">
        <v>4</v>
      </c>
      <c r="AD11" s="52">
        <f t="shared" si="0"/>
        <v>119.5</v>
      </c>
      <c r="AE11" s="70">
        <f t="shared" si="1"/>
        <v>29.875</v>
      </c>
    </row>
    <row r="12" spans="1:31" ht="15" customHeight="1" x14ac:dyDescent="0.2">
      <c r="C12" s="1"/>
      <c r="D12" s="1"/>
      <c r="E12" s="1"/>
      <c r="I12" t="s">
        <v>36</v>
      </c>
      <c r="K12">
        <f>0.86/1</f>
        <v>0.86</v>
      </c>
      <c r="P12" t="s">
        <v>36</v>
      </c>
      <c r="Z12" s="71">
        <v>-146</v>
      </c>
      <c r="AB12" s="71">
        <v>-145</v>
      </c>
      <c r="AC12">
        <v>5</v>
      </c>
      <c r="AD12" s="53">
        <f t="shared" si="0"/>
        <v>145.5</v>
      </c>
      <c r="AE12" s="70">
        <f t="shared" si="1"/>
        <v>29.1</v>
      </c>
    </row>
    <row r="13" spans="1:31" ht="15" customHeight="1" x14ac:dyDescent="0.2">
      <c r="B13" s="5" t="s">
        <v>2</v>
      </c>
      <c r="C13" s="5" t="s">
        <v>3</v>
      </c>
      <c r="D13" s="6" t="s">
        <v>5</v>
      </c>
      <c r="E13" s="5" t="s">
        <v>4</v>
      </c>
      <c r="F13" s="1"/>
      <c r="G13" s="138" t="s">
        <v>102</v>
      </c>
      <c r="H13" s="5" t="s">
        <v>2</v>
      </c>
      <c r="I13" s="67" t="s">
        <v>38</v>
      </c>
      <c r="J13" s="55" t="s">
        <v>37</v>
      </c>
      <c r="K13" s="5" t="s">
        <v>4</v>
      </c>
      <c r="O13" s="5" t="s">
        <v>2</v>
      </c>
      <c r="P13" s="67" t="s">
        <v>38</v>
      </c>
      <c r="Q13" s="55" t="s">
        <v>37</v>
      </c>
      <c r="R13" s="5" t="s">
        <v>4</v>
      </c>
      <c r="V13" t="s">
        <v>101</v>
      </c>
      <c r="Z13" s="69">
        <v>-270</v>
      </c>
      <c r="AB13" s="69">
        <v>-269</v>
      </c>
      <c r="AC13">
        <v>10</v>
      </c>
      <c r="AD13" s="52">
        <f t="shared" si="0"/>
        <v>269.5</v>
      </c>
      <c r="AE13" s="70">
        <f t="shared" si="1"/>
        <v>26.95</v>
      </c>
    </row>
    <row r="14" spans="1:31" ht="15" customHeight="1" x14ac:dyDescent="0.2">
      <c r="B14" s="3">
        <v>1</v>
      </c>
      <c r="C14" s="9">
        <v>-25.75</v>
      </c>
      <c r="D14" s="14">
        <f>C14/B14</f>
        <v>-25.75</v>
      </c>
      <c r="E14" s="11">
        <f>SQRT(12*32.2*D14^2/(4*$B$10*($B$9*56)*$B$8^2))</f>
        <v>0.7029443688518261</v>
      </c>
      <c r="G14" s="52">
        <v>31.502458250000345</v>
      </c>
      <c r="H14" s="3">
        <v>1</v>
      </c>
      <c r="I14" s="52">
        <v>31.5</v>
      </c>
      <c r="J14" s="52">
        <f>I14/H14</f>
        <v>31.5</v>
      </c>
      <c r="K14" s="136">
        <f>SQRT(12*32.2*J14^2/(4*$H$11*($H$10*56)*$H$9^2))</f>
        <v>0.85991252888669989</v>
      </c>
      <c r="N14" s="52">
        <v>37</v>
      </c>
      <c r="O14" s="3">
        <v>1</v>
      </c>
      <c r="P14" s="52">
        <v>36.6</v>
      </c>
      <c r="Q14" s="52">
        <f>P14/O14</f>
        <v>36.6</v>
      </c>
      <c r="R14" s="136">
        <f>SQRT(12*32.2*Q14^2/(4*$O$11*($O$10*56)*$O$9^2))</f>
        <v>0.99913646213502283</v>
      </c>
      <c r="V14" s="52">
        <v>37</v>
      </c>
      <c r="Z14" s="69">
        <v>-533</v>
      </c>
      <c r="AB14" s="69">
        <v>-531</v>
      </c>
      <c r="AC14">
        <v>20</v>
      </c>
      <c r="AD14" s="52">
        <f t="shared" si="0"/>
        <v>532</v>
      </c>
      <c r="AE14" s="70">
        <f t="shared" si="1"/>
        <v>26.6</v>
      </c>
    </row>
    <row r="15" spans="1:31" ht="15" customHeight="1" x14ac:dyDescent="0.2">
      <c r="B15" s="7">
        <v>2</v>
      </c>
      <c r="C15" s="10">
        <v>-51.5</v>
      </c>
      <c r="D15" s="15">
        <f t="shared" ref="D15:D23" si="2">C15/B15</f>
        <v>-25.75</v>
      </c>
      <c r="E15" s="12">
        <f t="shared" ref="E15:E23" si="3">SQRT(12*32.2*D15^2/(4*$B$10*($B$9*56)*$B$8^2))</f>
        <v>0.7029443688518261</v>
      </c>
      <c r="G15" s="53">
        <v>60.074455267442509</v>
      </c>
      <c r="H15" s="7">
        <v>2</v>
      </c>
      <c r="I15" s="53">
        <v>60</v>
      </c>
      <c r="J15" s="53">
        <f t="shared" ref="J15:J23" si="4">I15/H15</f>
        <v>30</v>
      </c>
      <c r="K15" s="137">
        <f t="shared" ref="K15:K23" si="5">SQRT(12*32.2*J15^2/(4*$O$11*($O$10*56)*$O$9^2))</f>
        <v>0.81896431322542851</v>
      </c>
      <c r="L15" s="91">
        <f>K14-K15</f>
        <v>4.0948215661271381E-2</v>
      </c>
      <c r="N15" s="53">
        <v>68</v>
      </c>
      <c r="O15" s="7">
        <v>2</v>
      </c>
      <c r="P15" s="53">
        <v>67</v>
      </c>
      <c r="Q15" s="53">
        <f t="shared" ref="Q15:Q23" si="6">P15/O15</f>
        <v>33.5</v>
      </c>
      <c r="R15" s="137">
        <f t="shared" ref="R15:R23" si="7">SQRT(12*32.2*Q15^2/(4*$O$11*($O$10*56)*$O$9^2))</f>
        <v>0.91451014976839518</v>
      </c>
      <c r="S15" s="91">
        <f>R14-R15</f>
        <v>8.4626312366627654E-2</v>
      </c>
      <c r="V15" s="53">
        <v>69</v>
      </c>
      <c r="W15">
        <v>-3</v>
      </c>
      <c r="X15" s="135">
        <f>SUM(V15:W15)</f>
        <v>66</v>
      </c>
      <c r="Z15" s="69">
        <v>-851</v>
      </c>
      <c r="AB15" s="69">
        <v>-853</v>
      </c>
      <c r="AC15">
        <v>30</v>
      </c>
      <c r="AD15" s="52">
        <f t="shared" si="0"/>
        <v>852</v>
      </c>
      <c r="AE15" s="70">
        <f t="shared" si="1"/>
        <v>28.4</v>
      </c>
    </row>
    <row r="16" spans="1:31" ht="15" customHeight="1" x14ac:dyDescent="0.2">
      <c r="B16" s="3">
        <v>3</v>
      </c>
      <c r="C16" s="9">
        <v>-77</v>
      </c>
      <c r="D16" s="14">
        <f t="shared" si="2"/>
        <v>-25.666666666666668</v>
      </c>
      <c r="E16" s="11">
        <f t="shared" si="3"/>
        <v>0.70066946798175544</v>
      </c>
      <c r="G16" s="52">
        <v>86.81491401453583</v>
      </c>
      <c r="H16" s="3">
        <v>3</v>
      </c>
      <c r="I16" s="52">
        <v>85.8</v>
      </c>
      <c r="J16" s="52">
        <f t="shared" si="4"/>
        <v>28.599999999999998</v>
      </c>
      <c r="K16" s="136">
        <f t="shared" si="5"/>
        <v>0.7807459786082418</v>
      </c>
      <c r="L16" s="91">
        <f t="shared" ref="L16:L18" si="8">K15-K16</f>
        <v>3.8218334617186711E-2</v>
      </c>
      <c r="N16" s="52">
        <v>96</v>
      </c>
      <c r="O16" s="3">
        <v>3</v>
      </c>
      <c r="P16" s="52">
        <v>92.6</v>
      </c>
      <c r="Q16" s="52">
        <f t="shared" si="6"/>
        <v>30.866666666666664</v>
      </c>
      <c r="R16" s="136">
        <f t="shared" si="7"/>
        <v>0.84262328227416305</v>
      </c>
      <c r="S16" s="91">
        <f t="shared" ref="S16:S17" si="9">R15-R16</f>
        <v>7.1886867494232121E-2</v>
      </c>
      <c r="T16" s="91">
        <f>S15-S16</f>
        <v>1.2739444872395533E-2</v>
      </c>
      <c r="V16" s="52">
        <v>96</v>
      </c>
      <c r="W16">
        <v>-6</v>
      </c>
      <c r="X16" s="135">
        <f t="shared" ref="X16:X19" si="10">SUM(V16:W16)</f>
        <v>90</v>
      </c>
      <c r="Z16" s="71">
        <v>-1164</v>
      </c>
      <c r="AB16" s="71">
        <v>-1168</v>
      </c>
      <c r="AC16">
        <v>40</v>
      </c>
      <c r="AD16" s="53">
        <f t="shared" si="0"/>
        <v>1166</v>
      </c>
      <c r="AE16" s="70">
        <f t="shared" si="1"/>
        <v>29.15</v>
      </c>
    </row>
    <row r="17" spans="2:31" ht="15" customHeight="1" x14ac:dyDescent="0.2">
      <c r="B17" s="3">
        <v>4</v>
      </c>
      <c r="C17" s="9">
        <v>-103</v>
      </c>
      <c r="D17" s="14">
        <f t="shared" si="2"/>
        <v>-25.75</v>
      </c>
      <c r="E17" s="11">
        <f t="shared" si="3"/>
        <v>0.7029443688518261</v>
      </c>
      <c r="G17" s="52">
        <v>111.3575268372105</v>
      </c>
      <c r="H17" s="3">
        <v>4</v>
      </c>
      <c r="I17" s="52">
        <v>109.4</v>
      </c>
      <c r="J17" s="52">
        <f t="shared" si="4"/>
        <v>27.35</v>
      </c>
      <c r="K17" s="136">
        <f t="shared" si="5"/>
        <v>0.74662246555718237</v>
      </c>
      <c r="L17" s="91">
        <f t="shared" si="8"/>
        <v>3.4123513051059429E-2</v>
      </c>
      <c r="N17" s="52">
        <v>121</v>
      </c>
      <c r="O17" s="3">
        <v>4</v>
      </c>
      <c r="P17" s="52">
        <v>115</v>
      </c>
      <c r="Q17" s="52">
        <f t="shared" si="6"/>
        <v>28.75</v>
      </c>
      <c r="R17" s="136">
        <f t="shared" si="7"/>
        <v>0.78484080017436897</v>
      </c>
      <c r="S17" s="91">
        <f t="shared" si="9"/>
        <v>5.7782482099794086E-2</v>
      </c>
      <c r="T17" s="91">
        <f t="shared" ref="T17:T23" si="11">S16-S17</f>
        <v>1.4104385394438035E-2</v>
      </c>
      <c r="V17" s="52">
        <v>121</v>
      </c>
      <c r="W17">
        <v>-9</v>
      </c>
      <c r="X17" s="135">
        <f t="shared" si="10"/>
        <v>112</v>
      </c>
      <c r="Z17" s="69">
        <v>-1465</v>
      </c>
      <c r="AB17" s="69">
        <v>-1469</v>
      </c>
      <c r="AC17">
        <v>50</v>
      </c>
      <c r="AD17" s="52">
        <f t="shared" si="0"/>
        <v>1467</v>
      </c>
      <c r="AE17" s="70">
        <f t="shared" si="1"/>
        <v>29.34</v>
      </c>
    </row>
    <row r="18" spans="2:31" ht="15" customHeight="1" x14ac:dyDescent="0.2">
      <c r="B18" s="7">
        <v>5</v>
      </c>
      <c r="C18" s="10">
        <v>-128.4</v>
      </c>
      <c r="D18" s="15">
        <f t="shared" si="2"/>
        <v>-25.68</v>
      </c>
      <c r="E18" s="12">
        <f t="shared" si="3"/>
        <v>0.70103345212096679</v>
      </c>
      <c r="G18" s="53">
        <v>135.53383200581544</v>
      </c>
      <c r="H18" s="7">
        <v>5</v>
      </c>
      <c r="I18" s="53">
        <v>132</v>
      </c>
      <c r="J18" s="53">
        <f t="shared" si="4"/>
        <v>26.4</v>
      </c>
      <c r="K18" s="137">
        <f t="shared" si="5"/>
        <v>0.72068859563837706</v>
      </c>
      <c r="L18" s="91">
        <f t="shared" si="8"/>
        <v>2.5933869918805308E-2</v>
      </c>
      <c r="N18" s="53">
        <v>144</v>
      </c>
      <c r="O18" s="7">
        <v>5</v>
      </c>
      <c r="P18" s="53">
        <v>136</v>
      </c>
      <c r="Q18" s="53">
        <f t="shared" si="6"/>
        <v>27.2</v>
      </c>
      <c r="R18" s="137">
        <f t="shared" si="7"/>
        <v>0.74252764399105509</v>
      </c>
      <c r="S18" s="91">
        <f>R17-R18</f>
        <v>4.2313156183313883E-2</v>
      </c>
      <c r="T18" s="91">
        <f t="shared" si="11"/>
        <v>1.5469325916480203E-2</v>
      </c>
      <c r="V18" s="53">
        <v>144</v>
      </c>
      <c r="W18">
        <v>-12</v>
      </c>
      <c r="X18" s="135">
        <f t="shared" si="10"/>
        <v>132</v>
      </c>
    </row>
    <row r="19" spans="2:31" ht="15" customHeight="1" x14ac:dyDescent="0.2">
      <c r="B19" s="3">
        <v>10</v>
      </c>
      <c r="C19" s="9">
        <v>-256.5</v>
      </c>
      <c r="D19" s="14">
        <f t="shared" si="2"/>
        <v>-25.65</v>
      </c>
      <c r="E19" s="11">
        <f t="shared" si="3"/>
        <v>0.70021448780774131</v>
      </c>
      <c r="G19" s="52">
        <v>263.74151093023545</v>
      </c>
      <c r="H19" s="3">
        <v>10</v>
      </c>
      <c r="I19" s="52">
        <v>256.5</v>
      </c>
      <c r="J19" s="52">
        <f t="shared" si="4"/>
        <v>25.65</v>
      </c>
      <c r="K19" s="136">
        <f t="shared" si="5"/>
        <v>0.70021448780774131</v>
      </c>
      <c r="L19" s="91">
        <f>(K18-K19)/5</f>
        <v>4.0948215661271489E-3</v>
      </c>
      <c r="N19" s="52">
        <v>260</v>
      </c>
      <c r="O19" s="3">
        <v>10</v>
      </c>
      <c r="P19" s="52">
        <v>256.5</v>
      </c>
      <c r="Q19" s="52">
        <f t="shared" si="6"/>
        <v>25.65</v>
      </c>
      <c r="R19" s="136">
        <f t="shared" si="7"/>
        <v>0.70021448780774131</v>
      </c>
      <c r="S19" s="91">
        <f>(R18-R19)/5</f>
        <v>8.4626312366627536E-3</v>
      </c>
      <c r="T19" s="91">
        <f t="shared" si="11"/>
        <v>3.3850524946651125E-2</v>
      </c>
      <c r="V19" s="52">
        <v>270</v>
      </c>
      <c r="W19">
        <v>-15</v>
      </c>
      <c r="X19" s="135">
        <f t="shared" si="10"/>
        <v>255</v>
      </c>
      <c r="AD19" s="54" t="s">
        <v>46</v>
      </c>
    </row>
    <row r="20" spans="2:31" ht="15" customHeight="1" x14ac:dyDescent="0.2">
      <c r="B20" s="3">
        <v>20</v>
      </c>
      <c r="C20" s="9">
        <v>-513</v>
      </c>
      <c r="D20" s="14">
        <f t="shared" si="2"/>
        <v>-25.65</v>
      </c>
      <c r="E20" s="11">
        <f t="shared" si="3"/>
        <v>0.70021448780774131</v>
      </c>
      <c r="G20" s="52">
        <v>512.83071569768003</v>
      </c>
      <c r="H20" s="3">
        <v>20</v>
      </c>
      <c r="I20" s="52">
        <v>512.83071569768003</v>
      </c>
      <c r="J20" s="52">
        <f t="shared" si="4"/>
        <v>25.641535784884002</v>
      </c>
      <c r="K20" s="56">
        <f t="shared" si="5"/>
        <v>0.69998342480375919</v>
      </c>
      <c r="L20" s="91">
        <f>(K19-K20)/10</f>
        <v>2.3106300398212377E-5</v>
      </c>
      <c r="N20" s="52">
        <v>513</v>
      </c>
      <c r="O20" s="3">
        <v>20</v>
      </c>
      <c r="P20" s="52">
        <v>513</v>
      </c>
      <c r="Q20" s="52">
        <f t="shared" si="6"/>
        <v>25.65</v>
      </c>
      <c r="R20" s="136">
        <f t="shared" si="7"/>
        <v>0.70021448780774131</v>
      </c>
      <c r="S20" s="91">
        <f>(R19-R20)/10</f>
        <v>0</v>
      </c>
      <c r="T20" s="91">
        <f t="shared" si="11"/>
        <v>8.4626312366627536E-3</v>
      </c>
      <c r="V20" s="52">
        <v>513</v>
      </c>
      <c r="AD20" s="68" t="s">
        <v>45</v>
      </c>
      <c r="AE20" s="72" t="s">
        <v>37</v>
      </c>
    </row>
    <row r="21" spans="2:31" ht="15" customHeight="1" x14ac:dyDescent="0.2">
      <c r="B21" s="3">
        <v>30</v>
      </c>
      <c r="C21" s="9">
        <v>769.5</v>
      </c>
      <c r="D21" s="14">
        <f t="shared" si="2"/>
        <v>25.65</v>
      </c>
      <c r="E21" s="11">
        <f t="shared" si="3"/>
        <v>0.70021448780774131</v>
      </c>
      <c r="G21" s="52">
        <v>769.24607354651994</v>
      </c>
      <c r="H21" s="3">
        <v>30</v>
      </c>
      <c r="I21" s="52">
        <v>769.24607354651994</v>
      </c>
      <c r="J21" s="52">
        <f t="shared" si="4"/>
        <v>25.641535784883999</v>
      </c>
      <c r="K21" s="56">
        <f t="shared" si="5"/>
        <v>0.69998342480375908</v>
      </c>
      <c r="L21" s="91">
        <f t="shared" ref="L21:L23" si="12">(K20-K21)/10</f>
        <v>1.1102230246251566E-17</v>
      </c>
      <c r="N21" s="52">
        <v>769</v>
      </c>
      <c r="O21" s="3">
        <v>30</v>
      </c>
      <c r="P21" s="52">
        <v>769</v>
      </c>
      <c r="Q21" s="52">
        <f t="shared" si="6"/>
        <v>25.633333333333333</v>
      </c>
      <c r="R21" s="136">
        <f t="shared" si="7"/>
        <v>0.6997595076337273</v>
      </c>
      <c r="S21" s="91">
        <f t="shared" ref="S21:S23" si="13">(R20-R21)/10</f>
        <v>4.5498017401401911E-5</v>
      </c>
      <c r="T21" s="91">
        <f t="shared" si="11"/>
        <v>-4.5498017401401911E-5</v>
      </c>
      <c r="V21" s="52">
        <v>769</v>
      </c>
      <c r="AC21">
        <v>1</v>
      </c>
      <c r="AD21" s="52">
        <v>37</v>
      </c>
      <c r="AE21" s="70">
        <f>AD21/AC21</f>
        <v>37</v>
      </c>
    </row>
    <row r="22" spans="2:31" ht="15" customHeight="1" x14ac:dyDescent="0.2">
      <c r="B22" s="7">
        <v>40</v>
      </c>
      <c r="C22" s="10">
        <v>-1026</v>
      </c>
      <c r="D22" s="15">
        <f t="shared" si="2"/>
        <v>-25.65</v>
      </c>
      <c r="E22" s="12">
        <f t="shared" si="3"/>
        <v>0.70021448780774131</v>
      </c>
      <c r="G22" s="53">
        <v>1025.6614313953601</v>
      </c>
      <c r="H22" s="7">
        <v>40</v>
      </c>
      <c r="I22" s="53">
        <v>1025.6614313953601</v>
      </c>
      <c r="J22" s="53">
        <f t="shared" si="4"/>
        <v>25.641535784884002</v>
      </c>
      <c r="K22" s="57">
        <f t="shared" si="5"/>
        <v>0.69998342480375919</v>
      </c>
      <c r="L22" s="91">
        <f t="shared" si="12"/>
        <v>-1.1102230246251566E-17</v>
      </c>
      <c r="N22" s="53">
        <v>1026</v>
      </c>
      <c r="O22" s="7">
        <v>40</v>
      </c>
      <c r="P22" s="53">
        <v>1026</v>
      </c>
      <c r="Q22" s="53">
        <f t="shared" si="6"/>
        <v>25.65</v>
      </c>
      <c r="R22" s="137">
        <f t="shared" si="7"/>
        <v>0.70021448780774131</v>
      </c>
      <c r="S22" s="91">
        <f t="shared" si="13"/>
        <v>-4.5498017401401911E-5</v>
      </c>
      <c r="T22" s="91">
        <f t="shared" si="11"/>
        <v>9.0996034802803821E-5</v>
      </c>
      <c r="V22" s="53">
        <v>1026</v>
      </c>
      <c r="AC22">
        <v>2</v>
      </c>
      <c r="AD22" s="53">
        <v>68</v>
      </c>
      <c r="AE22" s="70">
        <f t="shared" ref="AE22:AE30" si="14">AD22/AC22</f>
        <v>34</v>
      </c>
    </row>
    <row r="23" spans="2:31" ht="15" customHeight="1" x14ac:dyDescent="0.2">
      <c r="B23" s="3">
        <v>50</v>
      </c>
      <c r="C23" s="9">
        <v>-1283</v>
      </c>
      <c r="D23" s="14">
        <f t="shared" si="2"/>
        <v>-25.66</v>
      </c>
      <c r="E23" s="11">
        <f t="shared" si="3"/>
        <v>0.70048747591214988</v>
      </c>
      <c r="G23" s="52">
        <v>1282.0767892442</v>
      </c>
      <c r="H23" s="3">
        <v>50</v>
      </c>
      <c r="I23" s="52">
        <v>1282.0767892442</v>
      </c>
      <c r="J23" s="52">
        <f t="shared" si="4"/>
        <v>25.641535784883999</v>
      </c>
      <c r="K23" s="56">
        <f t="shared" si="5"/>
        <v>0.69998342480375908</v>
      </c>
      <c r="L23" s="91">
        <f t="shared" si="12"/>
        <v>1.1102230246251566E-17</v>
      </c>
      <c r="N23" s="52">
        <v>1282</v>
      </c>
      <c r="O23" s="3">
        <v>50</v>
      </c>
      <c r="P23" s="52">
        <v>1282</v>
      </c>
      <c r="Q23" s="52">
        <f t="shared" si="6"/>
        <v>25.64</v>
      </c>
      <c r="R23" s="136">
        <f t="shared" si="7"/>
        <v>0.69994149970333286</v>
      </c>
      <c r="S23" s="91">
        <f t="shared" si="13"/>
        <v>2.729881044084559E-5</v>
      </c>
      <c r="T23" s="91">
        <f t="shared" si="11"/>
        <v>-7.2796827842247497E-5</v>
      </c>
      <c r="V23" s="52">
        <v>1282</v>
      </c>
      <c r="AC23">
        <v>3</v>
      </c>
      <c r="AD23" s="52">
        <v>96</v>
      </c>
      <c r="AE23" s="70">
        <f t="shared" si="14"/>
        <v>32</v>
      </c>
    </row>
    <row r="24" spans="2:31" ht="15" customHeight="1" x14ac:dyDescent="0.2">
      <c r="AC24">
        <v>4</v>
      </c>
      <c r="AD24" s="52">
        <v>121</v>
      </c>
      <c r="AE24" s="70">
        <f t="shared" si="14"/>
        <v>30.25</v>
      </c>
    </row>
    <row r="25" spans="2:31" ht="15" customHeight="1" x14ac:dyDescent="0.2">
      <c r="B25" s="51" t="s">
        <v>35</v>
      </c>
      <c r="AC25">
        <v>5</v>
      </c>
      <c r="AD25" s="53">
        <v>144</v>
      </c>
      <c r="AE25" s="70">
        <f t="shared" si="14"/>
        <v>28.8</v>
      </c>
    </row>
    <row r="26" spans="2:31" ht="15" customHeight="1" x14ac:dyDescent="0.2">
      <c r="AC26">
        <v>10</v>
      </c>
      <c r="AD26" s="52">
        <v>260</v>
      </c>
      <c r="AE26" s="70">
        <f t="shared" si="14"/>
        <v>26</v>
      </c>
    </row>
    <row r="27" spans="2:31" ht="15" customHeight="1" x14ac:dyDescent="0.2">
      <c r="B27" s="17" t="s">
        <v>14</v>
      </c>
      <c r="C27" s="18"/>
      <c r="D27" s="18"/>
      <c r="E27" s="18"/>
      <c r="F27" s="18"/>
      <c r="G27" s="18"/>
      <c r="H27" s="18"/>
      <c r="I27" s="18"/>
      <c r="J27" s="18"/>
      <c r="K27" s="18"/>
      <c r="L27" s="19"/>
      <c r="AC27">
        <v>20</v>
      </c>
      <c r="AD27" s="52">
        <v>513</v>
      </c>
      <c r="AE27" s="70">
        <f t="shared" si="14"/>
        <v>25.65</v>
      </c>
    </row>
    <row r="28" spans="2:31" ht="15" customHeight="1" x14ac:dyDescent="0.2">
      <c r="AC28">
        <v>30</v>
      </c>
      <c r="AD28" s="52">
        <v>769</v>
      </c>
      <c r="AE28" s="70">
        <f t="shared" si="14"/>
        <v>25.633333333333333</v>
      </c>
    </row>
    <row r="29" spans="2:31" ht="15" customHeight="1" x14ac:dyDescent="0.2">
      <c r="B29" s="20" t="s">
        <v>15</v>
      </c>
      <c r="C29" s="21"/>
      <c r="D29" s="22"/>
      <c r="J29" s="59" t="s">
        <v>23</v>
      </c>
      <c r="K29" s="60"/>
      <c r="L29" s="60"/>
      <c r="M29" s="61"/>
      <c r="AC29">
        <v>40</v>
      </c>
      <c r="AD29" s="53">
        <v>1026</v>
      </c>
      <c r="AE29" s="70">
        <f t="shared" si="14"/>
        <v>25.65</v>
      </c>
    </row>
    <row r="30" spans="2:31" ht="15" customHeight="1" x14ac:dyDescent="0.2">
      <c r="B30" s="23" t="s">
        <v>16</v>
      </c>
      <c r="C30" s="24" t="s">
        <v>19</v>
      </c>
      <c r="D30" s="25">
        <v>2.46</v>
      </c>
      <c r="J30" s="35" t="s">
        <v>24</v>
      </c>
      <c r="K30" s="36" t="s">
        <v>26</v>
      </c>
      <c r="L30" s="21"/>
      <c r="M30" s="22"/>
      <c r="AC30">
        <v>50</v>
      </c>
      <c r="AD30" s="52">
        <v>1282</v>
      </c>
      <c r="AE30" s="70">
        <f t="shared" si="14"/>
        <v>25.64</v>
      </c>
    </row>
    <row r="31" spans="2:31" ht="15" customHeight="1" x14ac:dyDescent="0.2">
      <c r="B31" s="23" t="s">
        <v>17</v>
      </c>
      <c r="C31" s="24" t="s">
        <v>20</v>
      </c>
      <c r="D31" s="25">
        <v>4.5</v>
      </c>
      <c r="F31" s="29" t="s">
        <v>39</v>
      </c>
      <c r="G31" s="29" t="s">
        <v>21</v>
      </c>
      <c r="H31" s="30"/>
      <c r="J31" s="37" t="s">
        <v>25</v>
      </c>
      <c r="K31" s="38" t="s">
        <v>27</v>
      </c>
      <c r="L31" s="1"/>
      <c r="M31" s="39"/>
    </row>
    <row r="32" spans="2:31" ht="15" customHeight="1" x14ac:dyDescent="0.2">
      <c r="B32" s="26" t="s">
        <v>18</v>
      </c>
      <c r="C32" s="27" t="s">
        <v>28</v>
      </c>
      <c r="D32" s="28">
        <v>85</v>
      </c>
      <c r="F32" s="58">
        <v>1</v>
      </c>
      <c r="G32" s="26" t="s">
        <v>22</v>
      </c>
      <c r="H32" s="28">
        <v>0.86</v>
      </c>
      <c r="J32" s="62">
        <f>D31*2.20462*25.4*12</f>
        <v>3023.8567919999996</v>
      </c>
      <c r="K32" s="14">
        <f>H32*D$30*SQRT(4*D$32*J$32/32.2)/12</f>
        <v>31.502458250000345</v>
      </c>
      <c r="L32" s="1"/>
      <c r="M32" s="39"/>
    </row>
    <row r="33" spans="2:13" ht="15" customHeight="1" x14ac:dyDescent="0.2">
      <c r="F33" s="58">
        <v>2</v>
      </c>
      <c r="G33" s="26" t="s">
        <v>22</v>
      </c>
      <c r="H33" s="28">
        <v>0.82</v>
      </c>
      <c r="J33" s="63"/>
      <c r="K33" s="14">
        <f t="shared" ref="K33:K41" si="15">H33*D$30*SQRT(4*D$32*J$32/32.2)/12</f>
        <v>30.037227633721255</v>
      </c>
      <c r="L33" s="1"/>
      <c r="M33" s="39"/>
    </row>
    <row r="34" spans="2:13" ht="15" customHeight="1" x14ac:dyDescent="0.2">
      <c r="F34" s="58">
        <v>3</v>
      </c>
      <c r="G34" s="26" t="s">
        <v>22</v>
      </c>
      <c r="H34" s="28">
        <v>0.79</v>
      </c>
      <c r="J34" s="63"/>
      <c r="K34" s="14">
        <f t="shared" si="15"/>
        <v>28.938304671511943</v>
      </c>
      <c r="L34" s="1"/>
      <c r="M34" s="39"/>
    </row>
    <row r="35" spans="2:13" ht="15" customHeight="1" x14ac:dyDescent="0.2">
      <c r="B35" s="73" t="s">
        <v>47</v>
      </c>
      <c r="C35" s="74" t="s">
        <v>48</v>
      </c>
      <c r="D35" s="22"/>
      <c r="F35" s="58">
        <v>4</v>
      </c>
      <c r="G35" s="26" t="s">
        <v>22</v>
      </c>
      <c r="H35" s="28">
        <v>0.76</v>
      </c>
      <c r="J35" s="63"/>
      <c r="K35" s="14">
        <f t="shared" si="15"/>
        <v>27.839381709302625</v>
      </c>
      <c r="L35" s="1"/>
      <c r="M35" s="39"/>
    </row>
    <row r="36" spans="2:13" ht="15" customHeight="1" x14ac:dyDescent="0.2">
      <c r="B36" s="44">
        <v>1</v>
      </c>
      <c r="C36" s="75">
        <f>B36/$B$42</f>
        <v>1.4285714285714286</v>
      </c>
      <c r="D36" s="39"/>
      <c r="F36" s="58">
        <v>5</v>
      </c>
      <c r="G36" s="26" t="s">
        <v>22</v>
      </c>
      <c r="H36" s="28">
        <v>0.74</v>
      </c>
      <c r="J36" s="63"/>
      <c r="K36" s="14">
        <f t="shared" si="15"/>
        <v>27.106766401163085</v>
      </c>
      <c r="L36" s="1"/>
      <c r="M36" s="39"/>
    </row>
    <row r="37" spans="2:13" ht="15" customHeight="1" x14ac:dyDescent="0.2">
      <c r="B37" s="44">
        <v>0.95</v>
      </c>
      <c r="C37" s="75">
        <f t="shared" ref="C37:C46" si="16">B37/$B$42</f>
        <v>1.3571428571428572</v>
      </c>
      <c r="D37" s="39"/>
      <c r="F37" s="58">
        <v>10</v>
      </c>
      <c r="G37" s="26" t="s">
        <v>22</v>
      </c>
      <c r="H37" s="28">
        <v>0.72</v>
      </c>
      <c r="J37" s="63"/>
      <c r="K37" s="14">
        <f t="shared" si="15"/>
        <v>26.374151093023542</v>
      </c>
      <c r="L37" s="1"/>
      <c r="M37" s="39"/>
    </row>
    <row r="38" spans="2:13" ht="15" customHeight="1" x14ac:dyDescent="0.2">
      <c r="B38" s="44">
        <v>0.9</v>
      </c>
      <c r="C38" s="75">
        <f t="shared" si="16"/>
        <v>1.2857142857142858</v>
      </c>
      <c r="D38" s="39"/>
      <c r="F38" s="58">
        <v>20</v>
      </c>
      <c r="G38" s="26" t="s">
        <v>22</v>
      </c>
      <c r="H38" s="28">
        <v>0.7</v>
      </c>
      <c r="J38" s="63"/>
      <c r="K38" s="14">
        <f t="shared" si="15"/>
        <v>25.641535784883999</v>
      </c>
      <c r="L38" s="1"/>
      <c r="M38" s="39"/>
    </row>
    <row r="39" spans="2:13" ht="15" customHeight="1" x14ac:dyDescent="0.2">
      <c r="B39" s="44">
        <v>0.85</v>
      </c>
      <c r="C39" s="75">
        <f t="shared" si="16"/>
        <v>1.2142857142857144</v>
      </c>
      <c r="D39" s="39"/>
      <c r="F39" s="58">
        <v>30</v>
      </c>
      <c r="G39" s="26" t="s">
        <v>22</v>
      </c>
      <c r="H39" s="28">
        <v>0.7</v>
      </c>
      <c r="J39" s="63"/>
      <c r="K39" s="14">
        <f t="shared" si="15"/>
        <v>25.641535784883999</v>
      </c>
      <c r="L39" s="1"/>
      <c r="M39" s="39"/>
    </row>
    <row r="40" spans="2:13" ht="15" customHeight="1" x14ac:dyDescent="0.2">
      <c r="B40" s="44">
        <v>0.8</v>
      </c>
      <c r="C40" s="75">
        <f t="shared" si="16"/>
        <v>1.142857142857143</v>
      </c>
      <c r="D40" s="39"/>
      <c r="F40" s="58">
        <v>40</v>
      </c>
      <c r="G40" s="26" t="s">
        <v>22</v>
      </c>
      <c r="H40" s="28">
        <v>0.7</v>
      </c>
      <c r="J40" s="63"/>
      <c r="K40" s="14">
        <f t="shared" si="15"/>
        <v>25.641535784883999</v>
      </c>
      <c r="L40" s="1"/>
      <c r="M40" s="39"/>
    </row>
    <row r="41" spans="2:13" ht="15" customHeight="1" x14ac:dyDescent="0.2">
      <c r="B41" s="44">
        <v>0.75</v>
      </c>
      <c r="C41" s="75">
        <f t="shared" si="16"/>
        <v>1.0714285714285714</v>
      </c>
      <c r="D41" s="39"/>
      <c r="F41" s="58">
        <v>50</v>
      </c>
      <c r="G41" s="26" t="s">
        <v>22</v>
      </c>
      <c r="H41" s="28">
        <v>0.7</v>
      </c>
      <c r="J41" s="64"/>
      <c r="K41" s="41">
        <f t="shared" si="15"/>
        <v>25.641535784883999</v>
      </c>
      <c r="L41" s="42"/>
      <c r="M41" s="31"/>
    </row>
    <row r="42" spans="2:13" ht="15" customHeight="1" x14ac:dyDescent="0.2">
      <c r="B42" s="44">
        <v>0.7</v>
      </c>
      <c r="C42" s="75">
        <f t="shared" si="16"/>
        <v>1</v>
      </c>
      <c r="D42" s="39"/>
    </row>
    <row r="43" spans="2:13" ht="15" customHeight="1" x14ac:dyDescent="0.2">
      <c r="B43" s="44">
        <v>0.65</v>
      </c>
      <c r="C43" s="75">
        <f t="shared" si="16"/>
        <v>0.92857142857142871</v>
      </c>
      <c r="D43" s="39"/>
      <c r="J43" t="s">
        <v>40</v>
      </c>
    </row>
    <row r="44" spans="2:13" ht="15" customHeight="1" x14ac:dyDescent="0.2">
      <c r="B44" s="44">
        <v>0.6</v>
      </c>
      <c r="C44" s="75">
        <f t="shared" si="16"/>
        <v>0.85714285714285721</v>
      </c>
      <c r="D44" s="39"/>
      <c r="J44" s="59" t="s">
        <v>29</v>
      </c>
      <c r="K44" s="60"/>
      <c r="L44" s="61"/>
    </row>
    <row r="45" spans="2:13" ht="15" customHeight="1" x14ac:dyDescent="0.2">
      <c r="B45" s="44">
        <v>0.55000000000000004</v>
      </c>
      <c r="C45" s="75">
        <f t="shared" si="16"/>
        <v>0.78571428571428581</v>
      </c>
      <c r="D45" s="39"/>
      <c r="J45" s="35" t="s">
        <v>30</v>
      </c>
      <c r="K45" s="36" t="s">
        <v>32</v>
      </c>
      <c r="L45" s="43"/>
    </row>
    <row r="46" spans="2:13" ht="15" customHeight="1" x14ac:dyDescent="0.2">
      <c r="B46" s="45">
        <v>0.5</v>
      </c>
      <c r="C46" s="76">
        <f t="shared" si="16"/>
        <v>0.7142857142857143</v>
      </c>
      <c r="D46" s="31"/>
      <c r="J46" s="37" t="s">
        <v>31</v>
      </c>
      <c r="K46" s="38" t="s">
        <v>33</v>
      </c>
      <c r="L46" s="25"/>
    </row>
    <row r="47" spans="2:13" ht="15" customHeight="1" x14ac:dyDescent="0.2">
      <c r="J47" s="44">
        <v>1</v>
      </c>
      <c r="K47" s="46">
        <f>J47*K32</f>
        <v>31.502458250000345</v>
      </c>
      <c r="L47" s="25"/>
      <c r="M47" s="65">
        <v>37</v>
      </c>
    </row>
    <row r="48" spans="2:13" ht="15" customHeight="1" x14ac:dyDescent="0.2">
      <c r="J48" s="48">
        <v>2</v>
      </c>
      <c r="K48" s="49">
        <f t="shared" ref="K48:K56" si="17">J48*K33</f>
        <v>60.074455267442509</v>
      </c>
      <c r="L48" s="25"/>
      <c r="M48" s="66">
        <v>69</v>
      </c>
    </row>
    <row r="49" spans="1:13" ht="15" customHeight="1" x14ac:dyDescent="0.2">
      <c r="B49" s="73" t="s">
        <v>49</v>
      </c>
      <c r="C49" s="77" t="s">
        <v>49</v>
      </c>
      <c r="D49" s="22"/>
      <c r="J49" s="44">
        <v>3</v>
      </c>
      <c r="K49" s="46">
        <f t="shared" si="17"/>
        <v>86.81491401453583</v>
      </c>
      <c r="L49" s="25"/>
      <c r="M49" s="65">
        <v>96</v>
      </c>
    </row>
    <row r="50" spans="1:13" ht="15" customHeight="1" x14ac:dyDescent="0.2">
      <c r="B50" s="44" t="s">
        <v>50</v>
      </c>
      <c r="C50" s="3" t="s">
        <v>51</v>
      </c>
      <c r="D50" s="25" t="s">
        <v>52</v>
      </c>
      <c r="E50" s="81" t="s">
        <v>53</v>
      </c>
      <c r="J50" s="44">
        <v>4</v>
      </c>
      <c r="K50" s="46">
        <f t="shared" si="17"/>
        <v>111.3575268372105</v>
      </c>
      <c r="L50" s="25"/>
      <c r="M50" s="65">
        <v>121</v>
      </c>
    </row>
    <row r="51" spans="1:13" ht="15" customHeight="1" x14ac:dyDescent="0.2">
      <c r="B51" s="44">
        <v>0.72</v>
      </c>
      <c r="C51" s="3">
        <v>1.03</v>
      </c>
      <c r="D51" s="78">
        <f>C51/B51</f>
        <v>1.4305555555555556</v>
      </c>
      <c r="J51" s="48">
        <v>5</v>
      </c>
      <c r="K51" s="49">
        <f t="shared" si="17"/>
        <v>135.53383200581544</v>
      </c>
      <c r="L51" s="25"/>
      <c r="M51" s="66">
        <v>144</v>
      </c>
    </row>
    <row r="52" spans="1:13" ht="15" customHeight="1" x14ac:dyDescent="0.2">
      <c r="B52" s="44">
        <v>0.89</v>
      </c>
      <c r="C52" s="3">
        <v>1.21</v>
      </c>
      <c r="D52" s="78">
        <f t="shared" ref="D52:D60" si="18">C52/B52</f>
        <v>1.3595505617977528</v>
      </c>
      <c r="J52" s="44">
        <v>10</v>
      </c>
      <c r="K52" s="46">
        <f t="shared" si="17"/>
        <v>263.74151093023545</v>
      </c>
      <c r="L52" s="25"/>
      <c r="M52" s="65">
        <v>270</v>
      </c>
    </row>
    <row r="53" spans="1:13" ht="15" customHeight="1" x14ac:dyDescent="0.2">
      <c r="B53" s="44">
        <v>1.01</v>
      </c>
      <c r="C53" s="3">
        <v>1.26</v>
      </c>
      <c r="D53" s="78">
        <f t="shared" si="18"/>
        <v>1.2475247524752475</v>
      </c>
      <c r="J53" s="44">
        <v>20</v>
      </c>
      <c r="K53" s="46">
        <f t="shared" si="17"/>
        <v>512.83071569768003</v>
      </c>
      <c r="L53" s="25"/>
      <c r="M53" s="65">
        <v>513</v>
      </c>
    </row>
    <row r="54" spans="1:13" ht="15" customHeight="1" x14ac:dyDescent="0.2">
      <c r="B54" s="44">
        <v>1.1100000000000001</v>
      </c>
      <c r="C54" s="3">
        <v>1.31</v>
      </c>
      <c r="D54" s="78">
        <f t="shared" si="18"/>
        <v>1.1801801801801801</v>
      </c>
      <c r="J54" s="44">
        <v>30</v>
      </c>
      <c r="K54" s="46">
        <f t="shared" si="17"/>
        <v>769.24607354651994</v>
      </c>
      <c r="L54" s="25"/>
      <c r="M54" s="65">
        <v>769</v>
      </c>
    </row>
    <row r="55" spans="1:13" ht="15" customHeight="1" x14ac:dyDescent="0.2">
      <c r="B55" s="44">
        <v>1.19</v>
      </c>
      <c r="C55" s="3">
        <v>1.34</v>
      </c>
      <c r="D55" s="78">
        <f t="shared" si="18"/>
        <v>1.1260504201680674</v>
      </c>
      <c r="J55" s="48">
        <v>40</v>
      </c>
      <c r="K55" s="49">
        <f t="shared" si="17"/>
        <v>1025.6614313953601</v>
      </c>
      <c r="L55" s="25"/>
      <c r="M55" s="66">
        <v>1026</v>
      </c>
    </row>
    <row r="56" spans="1:13" ht="15" customHeight="1" x14ac:dyDescent="0.2">
      <c r="B56" s="44">
        <v>1.41</v>
      </c>
      <c r="C56" s="3">
        <v>1.49</v>
      </c>
      <c r="D56" s="78">
        <f t="shared" si="18"/>
        <v>1.0567375886524824</v>
      </c>
      <c r="J56" s="45">
        <v>50</v>
      </c>
      <c r="K56" s="47">
        <f t="shared" si="17"/>
        <v>1282.0767892442</v>
      </c>
      <c r="L56" s="28"/>
      <c r="M56" s="65">
        <v>1282</v>
      </c>
    </row>
    <row r="57" spans="1:13" ht="15" customHeight="1" x14ac:dyDescent="0.2">
      <c r="B57" s="44">
        <v>1.59</v>
      </c>
      <c r="C57" s="3">
        <v>1.59</v>
      </c>
      <c r="D57" s="78">
        <f t="shared" si="18"/>
        <v>1</v>
      </c>
      <c r="J57" s="3"/>
      <c r="K57" s="14"/>
      <c r="L57" s="3"/>
    </row>
    <row r="58" spans="1:13" ht="15" customHeight="1" x14ac:dyDescent="0.2">
      <c r="B58" s="44">
        <v>1.74</v>
      </c>
      <c r="C58" s="3">
        <v>1.74</v>
      </c>
      <c r="D58" s="78">
        <f t="shared" si="18"/>
        <v>1</v>
      </c>
      <c r="J58" s="3"/>
      <c r="K58" s="14"/>
      <c r="L58" s="3"/>
    </row>
    <row r="59" spans="1:13" ht="15" customHeight="1" x14ac:dyDescent="0.2">
      <c r="B59" s="44">
        <v>1.88</v>
      </c>
      <c r="C59" s="3">
        <v>1.88</v>
      </c>
      <c r="D59" s="78">
        <f t="shared" si="18"/>
        <v>1</v>
      </c>
      <c r="J59" s="3"/>
      <c r="K59" s="14"/>
      <c r="L59" s="3"/>
    </row>
    <row r="60" spans="1:13" ht="15" customHeight="1" x14ac:dyDescent="0.2">
      <c r="B60" s="45">
        <v>2.0099999999999998</v>
      </c>
      <c r="C60" s="79">
        <v>2.0099999999999998</v>
      </c>
      <c r="D60" s="80">
        <f t="shared" si="18"/>
        <v>1</v>
      </c>
    </row>
    <row r="61" spans="1:13" ht="15" customHeight="1" x14ac:dyDescent="0.2"/>
    <row r="62" spans="1:13" ht="15" customHeight="1" x14ac:dyDescent="0.2"/>
    <row r="63" spans="1:13" ht="15" customHeight="1" x14ac:dyDescent="0.2"/>
    <row r="64" spans="1:13" ht="15" customHeight="1" x14ac:dyDescent="0.2">
      <c r="A64" t="s">
        <v>86</v>
      </c>
    </row>
    <row r="65" spans="1:14" ht="15" customHeight="1" x14ac:dyDescent="0.2">
      <c r="A65" t="s">
        <v>87</v>
      </c>
    </row>
    <row r="66" spans="1:14" ht="15" customHeight="1" x14ac:dyDescent="0.2">
      <c r="A66" s="54" t="s">
        <v>88</v>
      </c>
    </row>
    <row r="67" spans="1:14" ht="15" customHeight="1" x14ac:dyDescent="0.2">
      <c r="A67" t="s">
        <v>92</v>
      </c>
    </row>
    <row r="68" spans="1:14" ht="15" customHeight="1" x14ac:dyDescent="0.2"/>
    <row r="69" spans="1:14" ht="15" customHeight="1" x14ac:dyDescent="0.2">
      <c r="C69" t="s">
        <v>89</v>
      </c>
      <c r="H69" s="54" t="s">
        <v>96</v>
      </c>
      <c r="M69" t="s">
        <v>90</v>
      </c>
    </row>
    <row r="70" spans="1:14" ht="15" customHeight="1" x14ac:dyDescent="0.2">
      <c r="H70" t="s">
        <v>97</v>
      </c>
    </row>
    <row r="71" spans="1:14" ht="15" customHeight="1" x14ac:dyDescent="0.2">
      <c r="C71" s="5" t="s">
        <v>2</v>
      </c>
      <c r="D71" s="5" t="s">
        <v>4</v>
      </c>
      <c r="H71" s="5" t="s">
        <v>2</v>
      </c>
      <c r="I71" s="5" t="s">
        <v>4</v>
      </c>
      <c r="M71" s="5" t="s">
        <v>2</v>
      </c>
      <c r="N71" s="5" t="s">
        <v>4</v>
      </c>
    </row>
    <row r="72" spans="1:14" ht="15" customHeight="1" x14ac:dyDescent="0.2">
      <c r="C72" s="3">
        <v>1</v>
      </c>
      <c r="D72" s="56">
        <v>0.7</v>
      </c>
      <c r="H72" s="3">
        <v>1</v>
      </c>
      <c r="I72" s="56">
        <f>IF(N72=0.7,0.7,(D72+N72)/2)</f>
        <v>0.8550279931556809</v>
      </c>
      <c r="M72" s="3">
        <v>1</v>
      </c>
      <c r="N72" s="56">
        <v>1.0100559863113618</v>
      </c>
    </row>
    <row r="73" spans="1:14" ht="15" customHeight="1" x14ac:dyDescent="0.2">
      <c r="C73" s="7">
        <v>2</v>
      </c>
      <c r="D73" s="57">
        <v>0.7</v>
      </c>
      <c r="H73" s="7">
        <v>2</v>
      </c>
      <c r="I73" s="57">
        <f t="shared" ref="I73:I77" si="19">IF(N73=0.7,0.7,(D73+N73)/2)</f>
        <v>0.82090448010462136</v>
      </c>
      <c r="M73" s="7">
        <v>2</v>
      </c>
      <c r="N73" s="57">
        <v>0.94180896020924276</v>
      </c>
    </row>
    <row r="74" spans="1:14" ht="15" customHeight="1" x14ac:dyDescent="0.2">
      <c r="C74" s="3">
        <v>3</v>
      </c>
      <c r="D74" s="56">
        <v>0.7</v>
      </c>
      <c r="H74" s="3">
        <v>3</v>
      </c>
      <c r="I74" s="56">
        <f t="shared" si="19"/>
        <v>0.78678096705356182</v>
      </c>
      <c r="M74" s="3">
        <v>3</v>
      </c>
      <c r="N74" s="56">
        <v>0.87356193410712368</v>
      </c>
    </row>
    <row r="75" spans="1:14" ht="15" customHeight="1" x14ac:dyDescent="0.2">
      <c r="C75" s="3">
        <v>4</v>
      </c>
      <c r="D75" s="56">
        <v>0.7</v>
      </c>
      <c r="H75" s="3">
        <v>4</v>
      </c>
      <c r="I75" s="56">
        <f t="shared" si="19"/>
        <v>0.76289450791782021</v>
      </c>
      <c r="M75" s="3">
        <v>4</v>
      </c>
      <c r="N75" s="56">
        <v>0.82578901583564035</v>
      </c>
    </row>
    <row r="76" spans="1:14" ht="15" customHeight="1" x14ac:dyDescent="0.2">
      <c r="C76" s="7">
        <v>5</v>
      </c>
      <c r="D76" s="57">
        <v>0.7</v>
      </c>
      <c r="H76" s="7">
        <v>5</v>
      </c>
      <c r="I76" s="57">
        <f t="shared" si="19"/>
        <v>0.74310287034820566</v>
      </c>
      <c r="M76" s="7">
        <v>5</v>
      </c>
      <c r="N76" s="57">
        <v>0.78620574069641136</v>
      </c>
    </row>
    <row r="77" spans="1:14" ht="15" customHeight="1" x14ac:dyDescent="0.2">
      <c r="C77" s="3">
        <v>10</v>
      </c>
      <c r="D77" s="56">
        <v>0.7</v>
      </c>
      <c r="H77" s="3">
        <v>10</v>
      </c>
      <c r="I77" s="56">
        <f t="shared" si="19"/>
        <v>0.71853394095144285</v>
      </c>
      <c r="M77" s="3">
        <v>10</v>
      </c>
      <c r="N77" s="56">
        <v>0.73706788190288564</v>
      </c>
    </row>
    <row r="78" spans="1:14" ht="15" customHeight="1" x14ac:dyDescent="0.2">
      <c r="C78" s="3">
        <v>20</v>
      </c>
      <c r="D78" s="56">
        <v>0.7</v>
      </c>
      <c r="E78" s="54" t="s">
        <v>93</v>
      </c>
      <c r="H78" s="3">
        <v>20</v>
      </c>
      <c r="I78" s="56">
        <f t="shared" ref="I78:I81" si="20">IF(N78=0.7,0.7,"n")</f>
        <v>0.7</v>
      </c>
      <c r="J78" s="54" t="s">
        <v>93</v>
      </c>
      <c r="M78" s="3">
        <v>20</v>
      </c>
      <c r="N78" s="56">
        <v>0.7</v>
      </c>
    </row>
    <row r="79" spans="1:14" ht="15" customHeight="1" x14ac:dyDescent="0.2">
      <c r="C79" s="3">
        <v>30</v>
      </c>
      <c r="D79" s="56">
        <v>0.7</v>
      </c>
      <c r="H79" s="3">
        <v>30</v>
      </c>
      <c r="I79" s="56">
        <f t="shared" si="20"/>
        <v>0.7</v>
      </c>
      <c r="M79" s="3">
        <v>30</v>
      </c>
      <c r="N79" s="56">
        <v>0.7</v>
      </c>
    </row>
    <row r="80" spans="1:14" ht="15" customHeight="1" x14ac:dyDescent="0.2">
      <c r="C80" s="7">
        <v>40</v>
      </c>
      <c r="D80" s="57">
        <v>0.7</v>
      </c>
      <c r="H80" s="7">
        <v>40</v>
      </c>
      <c r="I80" s="57">
        <f t="shared" si="20"/>
        <v>0.7</v>
      </c>
      <c r="M80" s="7">
        <v>40</v>
      </c>
      <c r="N80" s="57">
        <v>0.7</v>
      </c>
    </row>
    <row r="81" spans="3:17" ht="15" customHeight="1" x14ac:dyDescent="0.2">
      <c r="C81" s="3">
        <v>50</v>
      </c>
      <c r="D81" s="56">
        <v>0.7</v>
      </c>
      <c r="H81" s="3">
        <v>50</v>
      </c>
      <c r="I81" s="56">
        <f t="shared" si="20"/>
        <v>0.7</v>
      </c>
      <c r="M81" s="3">
        <v>50</v>
      </c>
      <c r="N81" s="56">
        <v>0.7</v>
      </c>
    </row>
    <row r="82" spans="3:17" ht="15" customHeight="1" x14ac:dyDescent="0.2"/>
    <row r="83" spans="3:17" ht="15" customHeight="1" x14ac:dyDescent="0.2"/>
    <row r="84" spans="3:17" ht="15" customHeight="1" x14ac:dyDescent="0.2">
      <c r="H84" t="s">
        <v>91</v>
      </c>
      <c r="M84" s="54" t="s">
        <v>95</v>
      </c>
    </row>
    <row r="85" spans="3:17" ht="15" customHeight="1" x14ac:dyDescent="0.2">
      <c r="H85" s="54" t="s">
        <v>94</v>
      </c>
      <c r="M85" s="54" t="s">
        <v>94</v>
      </c>
    </row>
    <row r="86" spans="3:17" ht="15" customHeight="1" x14ac:dyDescent="0.2"/>
    <row r="87" spans="3:17" ht="15" customHeight="1" x14ac:dyDescent="0.2">
      <c r="H87" s="73" t="s">
        <v>47</v>
      </c>
      <c r="I87" s="74" t="s">
        <v>48</v>
      </c>
      <c r="J87" s="22"/>
      <c r="M87" s="73" t="s">
        <v>47</v>
      </c>
      <c r="N87" s="74" t="s">
        <v>48</v>
      </c>
      <c r="O87" s="22"/>
    </row>
    <row r="88" spans="3:17" ht="15" customHeight="1" x14ac:dyDescent="0.2">
      <c r="H88" s="44">
        <v>0.86</v>
      </c>
      <c r="I88" s="75">
        <f>H88/$H$91</f>
        <v>1.2285714285714286</v>
      </c>
      <c r="J88" s="132">
        <f>I88</f>
        <v>1.2285714285714286</v>
      </c>
      <c r="M88" s="44">
        <v>1</v>
      </c>
      <c r="N88" s="75">
        <f>M88/$M$94</f>
        <v>1.4285714285714286</v>
      </c>
      <c r="O88" s="132">
        <f>N88</f>
        <v>1.4285714285714286</v>
      </c>
      <c r="Q88">
        <v>1.4285714285714286</v>
      </c>
    </row>
    <row r="89" spans="3:17" ht="15" customHeight="1" x14ac:dyDescent="0.2">
      <c r="H89" s="44">
        <v>0.8</v>
      </c>
      <c r="I89" s="75">
        <f t="shared" ref="I89:I98" si="21">H89/$H$91</f>
        <v>1.142857142857143</v>
      </c>
      <c r="J89" s="132">
        <f t="shared" ref="J89:J98" si="22">I89</f>
        <v>1.142857142857143</v>
      </c>
      <c r="M89" s="44">
        <v>0.95</v>
      </c>
      <c r="N89" s="75">
        <f t="shared" ref="N89:N98" si="23">M89/$M$94</f>
        <v>1.3571428571428572</v>
      </c>
      <c r="O89" s="132">
        <f t="shared" ref="O89:O98" si="24">N89</f>
        <v>1.3571428571428572</v>
      </c>
      <c r="Q89">
        <v>1.3571428571428572</v>
      </c>
    </row>
    <row r="90" spans="3:17" ht="15" customHeight="1" x14ac:dyDescent="0.2">
      <c r="H90" s="44">
        <v>0.75</v>
      </c>
      <c r="I90" s="75">
        <f t="shared" si="21"/>
        <v>1.0714285714285714</v>
      </c>
      <c r="J90" s="132">
        <f t="shared" si="22"/>
        <v>1.0714285714285714</v>
      </c>
      <c r="M90" s="44">
        <v>0.9</v>
      </c>
      <c r="N90" s="75">
        <f t="shared" si="23"/>
        <v>1.2857142857142858</v>
      </c>
      <c r="O90" s="132">
        <f t="shared" si="24"/>
        <v>1.2857142857142858</v>
      </c>
      <c r="Q90">
        <v>1.2857142857142858</v>
      </c>
    </row>
    <row r="91" spans="3:17" ht="15" customHeight="1" x14ac:dyDescent="0.2">
      <c r="H91" s="44">
        <v>0.7</v>
      </c>
      <c r="I91" s="75">
        <f t="shared" si="21"/>
        <v>1</v>
      </c>
      <c r="J91" s="132">
        <f t="shared" si="22"/>
        <v>1</v>
      </c>
      <c r="M91" s="44">
        <v>0.85</v>
      </c>
      <c r="N91" s="75">
        <f t="shared" si="23"/>
        <v>1.2142857142857144</v>
      </c>
      <c r="O91" s="132">
        <f t="shared" si="24"/>
        <v>1.2142857142857144</v>
      </c>
      <c r="Q91">
        <v>1.2142857142857144</v>
      </c>
    </row>
    <row r="92" spans="3:17" ht="15" customHeight="1" x14ac:dyDescent="0.2">
      <c r="H92" s="44">
        <v>0.65</v>
      </c>
      <c r="I92" s="75">
        <f t="shared" si="21"/>
        <v>0.92857142857142871</v>
      </c>
      <c r="J92" s="132">
        <f t="shared" si="22"/>
        <v>0.92857142857142871</v>
      </c>
      <c r="M92" s="44">
        <v>0.8</v>
      </c>
      <c r="N92" s="75">
        <f t="shared" si="23"/>
        <v>1.142857142857143</v>
      </c>
      <c r="O92" s="132">
        <f t="shared" si="24"/>
        <v>1.142857142857143</v>
      </c>
      <c r="Q92">
        <v>1.142857142857143</v>
      </c>
    </row>
    <row r="93" spans="3:17" ht="15" customHeight="1" x14ac:dyDescent="0.2">
      <c r="H93" s="44">
        <v>0.6</v>
      </c>
      <c r="I93" s="75">
        <f t="shared" si="21"/>
        <v>0.85714285714285721</v>
      </c>
      <c r="J93" s="132">
        <f t="shared" si="22"/>
        <v>0.85714285714285721</v>
      </c>
      <c r="M93" s="44">
        <v>0.75</v>
      </c>
      <c r="N93" s="75">
        <f t="shared" si="23"/>
        <v>1.0714285714285714</v>
      </c>
      <c r="O93" s="132">
        <f t="shared" si="24"/>
        <v>1.0714285714285714</v>
      </c>
      <c r="Q93">
        <v>1.0714285714285714</v>
      </c>
    </row>
    <row r="94" spans="3:17" ht="15" customHeight="1" x14ac:dyDescent="0.2">
      <c r="H94" s="44">
        <v>0.55000000000000004</v>
      </c>
      <c r="I94" s="75">
        <f t="shared" si="21"/>
        <v>0.78571428571428581</v>
      </c>
      <c r="J94" s="132">
        <f t="shared" si="22"/>
        <v>0.78571428571428581</v>
      </c>
      <c r="M94" s="44">
        <v>0.7</v>
      </c>
      <c r="N94" s="75">
        <f t="shared" si="23"/>
        <v>1</v>
      </c>
      <c r="O94" s="132">
        <f t="shared" si="24"/>
        <v>1</v>
      </c>
      <c r="Q94">
        <v>1</v>
      </c>
    </row>
    <row r="95" spans="3:17" ht="15" customHeight="1" x14ac:dyDescent="0.2">
      <c r="H95" s="44">
        <v>0.5</v>
      </c>
      <c r="I95" s="75">
        <f t="shared" si="21"/>
        <v>0.7142857142857143</v>
      </c>
      <c r="J95" s="132">
        <f t="shared" si="22"/>
        <v>0.7142857142857143</v>
      </c>
      <c r="M95" s="44">
        <v>0.65</v>
      </c>
      <c r="N95" s="75">
        <f t="shared" si="23"/>
        <v>0.92857142857142871</v>
      </c>
      <c r="O95" s="132">
        <f t="shared" si="24"/>
        <v>0.92857142857142871</v>
      </c>
      <c r="Q95">
        <v>0.92857142857142871</v>
      </c>
    </row>
    <row r="96" spans="3:17" ht="15" customHeight="1" x14ac:dyDescent="0.2">
      <c r="H96" s="44">
        <v>0.45</v>
      </c>
      <c r="I96" s="75">
        <f t="shared" si="21"/>
        <v>0.6428571428571429</v>
      </c>
      <c r="J96" s="132">
        <f t="shared" si="22"/>
        <v>0.6428571428571429</v>
      </c>
      <c r="M96" s="44">
        <v>0.6</v>
      </c>
      <c r="N96" s="75">
        <f t="shared" si="23"/>
        <v>0.85714285714285721</v>
      </c>
      <c r="O96" s="132">
        <f t="shared" si="24"/>
        <v>0.85714285714285721</v>
      </c>
      <c r="Q96">
        <v>0.85714285714285721</v>
      </c>
    </row>
    <row r="97" spans="8:17" ht="15" customHeight="1" x14ac:dyDescent="0.2">
      <c r="H97" s="44">
        <v>0.4</v>
      </c>
      <c r="I97" s="75">
        <f t="shared" si="21"/>
        <v>0.57142857142857151</v>
      </c>
      <c r="J97" s="132">
        <f t="shared" si="22"/>
        <v>0.57142857142857151</v>
      </c>
      <c r="M97" s="44">
        <v>0.55000000000000004</v>
      </c>
      <c r="N97" s="75">
        <f t="shared" si="23"/>
        <v>0.78571428571428581</v>
      </c>
      <c r="O97" s="132">
        <f t="shared" si="24"/>
        <v>0.78571428571428581</v>
      </c>
      <c r="Q97">
        <v>0.78571428571428581</v>
      </c>
    </row>
    <row r="98" spans="8:17" ht="15" customHeight="1" x14ac:dyDescent="0.2">
      <c r="H98" s="45">
        <v>0.35</v>
      </c>
      <c r="I98" s="76">
        <f t="shared" si="21"/>
        <v>0.5</v>
      </c>
      <c r="J98" s="134">
        <f t="shared" si="22"/>
        <v>0.5</v>
      </c>
      <c r="M98" s="45">
        <v>0.5</v>
      </c>
      <c r="N98" s="76">
        <f t="shared" si="23"/>
        <v>0.7142857142857143</v>
      </c>
      <c r="O98" s="134">
        <f t="shared" si="24"/>
        <v>0.7142857142857143</v>
      </c>
      <c r="Q98">
        <v>0.7142857142857143</v>
      </c>
    </row>
    <row r="99" spans="8:17" ht="15" customHeight="1" x14ac:dyDescent="0.2"/>
    <row r="100" spans="8:17" ht="15" customHeight="1" x14ac:dyDescent="0.2"/>
    <row r="101" spans="8:17" ht="15" customHeight="1" x14ac:dyDescent="0.2"/>
    <row r="102" spans="8:17" ht="15" customHeight="1" x14ac:dyDescent="0.2">
      <c r="H102" s="73" t="s">
        <v>47</v>
      </c>
      <c r="I102" s="74" t="s">
        <v>48</v>
      </c>
      <c r="J102" s="22"/>
    </row>
    <row r="103" spans="8:17" ht="15" customHeight="1" x14ac:dyDescent="0.2">
      <c r="H103" s="44">
        <v>0.85</v>
      </c>
      <c r="I103" s="75">
        <f>H103/$H$91</f>
        <v>1.2142857142857144</v>
      </c>
      <c r="J103" s="132">
        <f>I103</f>
        <v>1.2142857142857144</v>
      </c>
    </row>
    <row r="104" spans="8:17" ht="15" customHeight="1" x14ac:dyDescent="0.2">
      <c r="H104" s="44">
        <v>0.8</v>
      </c>
      <c r="I104" s="75">
        <f t="shared" ref="I104:I113" si="25">H104/$H$91</f>
        <v>1.142857142857143</v>
      </c>
      <c r="J104" s="132">
        <f t="shared" ref="J104:J113" si="26">I104</f>
        <v>1.142857142857143</v>
      </c>
    </row>
    <row r="105" spans="8:17" ht="15" customHeight="1" x14ac:dyDescent="0.2">
      <c r="H105" s="44">
        <v>0.75</v>
      </c>
      <c r="I105" s="75">
        <f t="shared" si="25"/>
        <v>1.0714285714285714</v>
      </c>
      <c r="J105" s="132">
        <f t="shared" si="26"/>
        <v>1.0714285714285714</v>
      </c>
    </row>
    <row r="106" spans="8:17" ht="15" customHeight="1" x14ac:dyDescent="0.2">
      <c r="H106" s="44">
        <v>0.7</v>
      </c>
      <c r="I106" s="75">
        <f t="shared" si="25"/>
        <v>1</v>
      </c>
      <c r="J106" s="132">
        <f t="shared" si="26"/>
        <v>1</v>
      </c>
    </row>
    <row r="107" spans="8:17" ht="15" customHeight="1" x14ac:dyDescent="0.2">
      <c r="H107" s="44">
        <v>0.65</v>
      </c>
      <c r="I107" s="75">
        <f t="shared" si="25"/>
        <v>0.92857142857142871</v>
      </c>
      <c r="J107" s="132">
        <f t="shared" si="26"/>
        <v>0.92857142857142871</v>
      </c>
    </row>
    <row r="108" spans="8:17" ht="15" customHeight="1" x14ac:dyDescent="0.2">
      <c r="H108" s="44">
        <v>0.6</v>
      </c>
      <c r="I108" s="75">
        <f t="shared" si="25"/>
        <v>0.85714285714285721</v>
      </c>
      <c r="J108" s="132">
        <f t="shared" si="26"/>
        <v>0.85714285714285721</v>
      </c>
    </row>
    <row r="109" spans="8:17" ht="15" customHeight="1" x14ac:dyDescent="0.2">
      <c r="H109" s="44">
        <v>0.55000000000000004</v>
      </c>
      <c r="I109" s="75">
        <f t="shared" si="25"/>
        <v>0.78571428571428581</v>
      </c>
      <c r="J109" s="132">
        <f t="shared" si="26"/>
        <v>0.78571428571428581</v>
      </c>
    </row>
    <row r="110" spans="8:17" ht="15" customHeight="1" x14ac:dyDescent="0.2">
      <c r="H110" s="44">
        <v>0.5</v>
      </c>
      <c r="I110" s="75">
        <f t="shared" si="25"/>
        <v>0.7142857142857143</v>
      </c>
      <c r="J110" s="132">
        <f t="shared" si="26"/>
        <v>0.7142857142857143</v>
      </c>
    </row>
    <row r="111" spans="8:17" ht="15" customHeight="1" x14ac:dyDescent="0.2">
      <c r="H111" s="44">
        <v>0.45</v>
      </c>
      <c r="I111" s="75">
        <f t="shared" si="25"/>
        <v>0.6428571428571429</v>
      </c>
      <c r="J111" s="132">
        <f t="shared" si="26"/>
        <v>0.6428571428571429</v>
      </c>
    </row>
    <row r="112" spans="8:17" ht="15" customHeight="1" x14ac:dyDescent="0.2">
      <c r="H112" s="44">
        <v>0.4</v>
      </c>
      <c r="I112" s="75">
        <f t="shared" si="25"/>
        <v>0.57142857142857151</v>
      </c>
      <c r="J112" s="132">
        <f t="shared" si="26"/>
        <v>0.57142857142857151</v>
      </c>
    </row>
    <row r="113" spans="8:10" ht="15" customHeight="1" x14ac:dyDescent="0.2">
      <c r="H113" s="45">
        <v>0.35</v>
      </c>
      <c r="I113" s="76">
        <f t="shared" si="25"/>
        <v>0.5</v>
      </c>
      <c r="J113" s="134">
        <f t="shared" si="26"/>
        <v>0.5</v>
      </c>
    </row>
    <row r="114" spans="8:10" ht="15" customHeight="1" x14ac:dyDescent="0.2"/>
    <row r="115" spans="8:10" ht="15" customHeight="1" x14ac:dyDescent="0.2"/>
    <row r="116" spans="8:10" ht="15" customHeight="1" x14ac:dyDescent="0.2"/>
    <row r="117" spans="8:10" ht="15" customHeight="1" x14ac:dyDescent="0.2"/>
    <row r="118" spans="8:10" ht="15" customHeight="1" x14ac:dyDescent="0.2"/>
    <row r="119" spans="8:10" ht="15" customHeight="1" x14ac:dyDescent="0.2"/>
    <row r="120" spans="8:10" ht="15" customHeight="1" x14ac:dyDescent="0.2"/>
    <row r="121" spans="8:10" ht="15" customHeight="1" x14ac:dyDescent="0.2"/>
    <row r="122" spans="8:10" ht="15" customHeight="1" x14ac:dyDescent="0.2"/>
    <row r="123" spans="8:10" ht="15" customHeight="1" x14ac:dyDescent="0.2"/>
    <row r="124" spans="8:10" ht="15" customHeight="1" x14ac:dyDescent="0.2"/>
    <row r="125" spans="8:10" ht="15" customHeight="1" x14ac:dyDescent="0.2"/>
    <row r="126" spans="8:10" ht="15" customHeight="1" x14ac:dyDescent="0.2"/>
    <row r="127" spans="8:10" ht="15" customHeight="1" x14ac:dyDescent="0.2"/>
    <row r="128" spans="8:10"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sheetData>
  <pageMargins left="0.45" right="0.45" top="0.5" bottom="0.5" header="0.3" footer="0.3"/>
  <pageSetup scale="96"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6">
    <tabColor theme="6" tint="0.59999389629810485"/>
    <pageSetUpPr fitToPage="1"/>
  </sheetPr>
  <dimension ref="A1:AG340"/>
  <sheetViews>
    <sheetView showGridLines="0" zoomScale="86" zoomScaleNormal="86" workbookViewId="0"/>
  </sheetViews>
  <sheetFormatPr defaultRowHeight="12.75" x14ac:dyDescent="0.2"/>
  <cols>
    <col min="2" max="2" width="11.42578125" customWidth="1"/>
    <col min="3" max="4" width="10.5703125" customWidth="1"/>
    <col min="5" max="5" width="10.7109375" customWidth="1"/>
    <col min="6" max="6" width="10.5703125" customWidth="1"/>
    <col min="7" max="7" width="10.7109375" customWidth="1"/>
    <col min="8" max="10" width="10.5703125" customWidth="1"/>
    <col min="11" max="12" width="10.7109375" customWidth="1"/>
    <col min="13" max="13" width="10.5703125" customWidth="1"/>
    <col min="14" max="16" width="10.7109375" customWidth="1"/>
    <col min="17" max="17" width="11.7109375" customWidth="1"/>
    <col min="18" max="18" width="11.5703125" customWidth="1"/>
    <col min="20" max="20" width="9.140625" customWidth="1"/>
    <col min="21" max="21" width="8.42578125" customWidth="1"/>
    <col min="22" max="22" width="10.28515625" customWidth="1"/>
    <col min="23" max="23" width="7.140625" customWidth="1"/>
    <col min="24" max="24" width="10.85546875" customWidth="1"/>
    <col min="25" max="25" width="14.85546875" customWidth="1"/>
    <col min="26" max="26" width="9.140625" customWidth="1"/>
    <col min="27" max="27" width="11.5703125" customWidth="1"/>
    <col min="28" max="28" width="17.28515625" customWidth="1"/>
    <col min="29" max="29" width="17.140625" customWidth="1"/>
    <col min="30" max="30" width="17" customWidth="1"/>
    <col min="31" max="31" width="13.7109375" customWidth="1"/>
    <col min="32" max="32" width="17" customWidth="1"/>
    <col min="33" max="33" width="25.42578125" customWidth="1"/>
    <col min="34" max="38" width="9.140625" customWidth="1"/>
  </cols>
  <sheetData>
    <row r="1" spans="1:33" ht="20.100000000000001" customHeight="1" x14ac:dyDescent="0.2">
      <c r="K1" t="s">
        <v>73</v>
      </c>
    </row>
    <row r="2" spans="1:33" ht="20.100000000000001" customHeight="1" x14ac:dyDescent="0.2">
      <c r="A2" s="411" t="s">
        <v>266</v>
      </c>
      <c r="B2" s="410" t="s">
        <v>267</v>
      </c>
      <c r="C2" s="411"/>
      <c r="D2" s="411"/>
      <c r="E2" s="411"/>
      <c r="F2" s="411"/>
      <c r="U2" s="430" t="s">
        <v>340</v>
      </c>
      <c r="V2" s="430" t="s">
        <v>323</v>
      </c>
      <c r="W2" s="431" t="s">
        <v>319</v>
      </c>
      <c r="X2" s="431" t="s">
        <v>320</v>
      </c>
      <c r="Y2" s="431" t="s">
        <v>321</v>
      </c>
      <c r="Z2" s="431" t="s">
        <v>322</v>
      </c>
      <c r="AA2" s="430" t="s">
        <v>327</v>
      </c>
      <c r="AB2" s="431" t="s">
        <v>110</v>
      </c>
      <c r="AC2" s="431" t="s">
        <v>112</v>
      </c>
      <c r="AD2" s="430" t="s">
        <v>335</v>
      </c>
      <c r="AE2" s="430" t="s">
        <v>336</v>
      </c>
      <c r="AF2" s="430" t="s">
        <v>353</v>
      </c>
      <c r="AG2" s="430" t="s">
        <v>117</v>
      </c>
    </row>
    <row r="3" spans="1:33" ht="20.100000000000001" customHeight="1" x14ac:dyDescent="0.2">
      <c r="A3" s="411"/>
      <c r="B3" s="427" t="s">
        <v>376</v>
      </c>
      <c r="C3" s="411"/>
      <c r="D3" s="411"/>
      <c r="E3" s="411"/>
      <c r="F3" s="411"/>
      <c r="T3" t="s">
        <v>347</v>
      </c>
      <c r="U3" s="432" t="s">
        <v>341</v>
      </c>
      <c r="V3" s="432" t="s">
        <v>111</v>
      </c>
      <c r="W3" s="432" t="s">
        <v>316</v>
      </c>
      <c r="X3" s="432" t="s">
        <v>318</v>
      </c>
      <c r="Y3" s="432" t="s">
        <v>242</v>
      </c>
      <c r="Z3" s="432" t="s">
        <v>223</v>
      </c>
      <c r="AA3" s="432" t="s">
        <v>304</v>
      </c>
      <c r="AB3" s="432" t="s">
        <v>328</v>
      </c>
      <c r="AC3" s="433" t="s">
        <v>344</v>
      </c>
      <c r="AD3" s="433" t="s">
        <v>329</v>
      </c>
      <c r="AE3" s="433" t="s">
        <v>338</v>
      </c>
      <c r="AF3" s="433" t="s">
        <v>330</v>
      </c>
      <c r="AG3" s="433" t="s">
        <v>339</v>
      </c>
    </row>
    <row r="4" spans="1:33" ht="20.100000000000001" customHeight="1" x14ac:dyDescent="0.2">
      <c r="A4" s="411"/>
      <c r="B4" s="427" t="s">
        <v>377</v>
      </c>
      <c r="C4" s="411"/>
      <c r="D4" s="411"/>
      <c r="E4" s="411"/>
      <c r="F4" s="411"/>
      <c r="G4" s="411"/>
      <c r="U4" s="432"/>
      <c r="V4" s="432"/>
      <c r="W4" s="432"/>
      <c r="X4" s="432"/>
      <c r="Y4" s="432"/>
      <c r="Z4" s="432"/>
      <c r="AA4" s="432"/>
      <c r="AB4" s="432"/>
      <c r="AC4" s="433"/>
      <c r="AD4" s="433"/>
      <c r="AE4" s="433"/>
      <c r="AF4" s="433"/>
      <c r="AG4" s="433"/>
    </row>
    <row r="5" spans="1:33" ht="20.100000000000001" customHeight="1" x14ac:dyDescent="0.2">
      <c r="A5" s="411"/>
      <c r="B5" s="412" t="s">
        <v>268</v>
      </c>
      <c r="C5" s="411"/>
      <c r="D5" s="411"/>
      <c r="E5" s="411"/>
      <c r="F5" s="411"/>
      <c r="G5" s="411"/>
      <c r="T5" t="s">
        <v>347</v>
      </c>
      <c r="U5" s="432" t="s">
        <v>341</v>
      </c>
      <c r="V5" s="432" t="s">
        <v>331</v>
      </c>
      <c r="W5" s="432" t="s">
        <v>314</v>
      </c>
      <c r="X5" s="432" t="s">
        <v>318</v>
      </c>
      <c r="Y5" s="432" t="s">
        <v>242</v>
      </c>
      <c r="Z5" s="432" t="s">
        <v>223</v>
      </c>
      <c r="AA5" s="432" t="s">
        <v>304</v>
      </c>
      <c r="AB5" s="433" t="s">
        <v>334</v>
      </c>
      <c r="AC5" s="433" t="s">
        <v>344</v>
      </c>
      <c r="AD5" s="433" t="s">
        <v>332</v>
      </c>
      <c r="AE5" s="433" t="s">
        <v>338</v>
      </c>
      <c r="AF5" s="433" t="s">
        <v>333</v>
      </c>
      <c r="AG5" s="433" t="s">
        <v>354</v>
      </c>
    </row>
    <row r="6" spans="1:33" ht="20.100000000000001" customHeight="1" x14ac:dyDescent="0.2">
      <c r="A6" s="411"/>
      <c r="B6" s="412" t="s">
        <v>278</v>
      </c>
      <c r="C6" s="411"/>
      <c r="D6" s="411"/>
      <c r="E6" s="411"/>
      <c r="F6" s="411"/>
      <c r="T6" t="s">
        <v>347</v>
      </c>
      <c r="U6" s="435" t="s">
        <v>341</v>
      </c>
      <c r="V6" s="435" t="s">
        <v>331</v>
      </c>
      <c r="W6" s="435" t="s">
        <v>302</v>
      </c>
      <c r="X6" s="435" t="s">
        <v>318</v>
      </c>
      <c r="Y6" s="435" t="s">
        <v>242</v>
      </c>
      <c r="Z6" s="435" t="s">
        <v>223</v>
      </c>
      <c r="AA6" s="435" t="s">
        <v>304</v>
      </c>
      <c r="AB6" s="436" t="s">
        <v>334</v>
      </c>
      <c r="AC6" s="433" t="s">
        <v>344</v>
      </c>
      <c r="AD6" s="436" t="s">
        <v>337</v>
      </c>
      <c r="AE6" s="436" t="s">
        <v>336</v>
      </c>
      <c r="AF6" s="436" t="s">
        <v>333</v>
      </c>
      <c r="AG6" s="433" t="s">
        <v>339</v>
      </c>
    </row>
    <row r="7" spans="1:33" ht="20.100000000000001" customHeight="1" x14ac:dyDescent="0.2">
      <c r="P7" s="289" t="s">
        <v>183</v>
      </c>
      <c r="Q7" s="289" t="s">
        <v>184</v>
      </c>
      <c r="T7" t="s">
        <v>347</v>
      </c>
      <c r="U7" s="436" t="s">
        <v>355</v>
      </c>
      <c r="V7" s="435" t="s">
        <v>331</v>
      </c>
      <c r="W7" s="436" t="s">
        <v>317</v>
      </c>
      <c r="X7" s="435" t="s">
        <v>283</v>
      </c>
      <c r="Y7" s="435" t="s">
        <v>242</v>
      </c>
      <c r="Z7" s="435" t="s">
        <v>223</v>
      </c>
      <c r="AA7" s="435" t="s">
        <v>342</v>
      </c>
      <c r="AB7" s="436" t="s">
        <v>334</v>
      </c>
      <c r="AC7" s="433" t="s">
        <v>345</v>
      </c>
      <c r="AD7" s="436" t="s">
        <v>337</v>
      </c>
      <c r="AE7" s="436" t="s">
        <v>336</v>
      </c>
      <c r="AF7" s="436" t="s">
        <v>333</v>
      </c>
      <c r="AG7" s="433" t="s">
        <v>339</v>
      </c>
    </row>
    <row r="8" spans="1:33" ht="20.100000000000001" customHeight="1" x14ac:dyDescent="0.2">
      <c r="B8" s="17" t="s">
        <v>14</v>
      </c>
      <c r="C8" s="18"/>
      <c r="D8" s="18"/>
      <c r="E8" s="18"/>
      <c r="F8" s="18"/>
      <c r="G8" s="18"/>
      <c r="H8" s="18"/>
      <c r="I8" s="18"/>
      <c r="J8" s="18"/>
      <c r="K8" s="18"/>
      <c r="L8" s="19"/>
      <c r="O8" s="291" t="s">
        <v>185</v>
      </c>
      <c r="P8">
        <v>77</v>
      </c>
      <c r="Q8">
        <v>73</v>
      </c>
      <c r="T8" t="s">
        <v>347</v>
      </c>
      <c r="U8" s="441"/>
      <c r="V8" s="442" t="s">
        <v>357</v>
      </c>
      <c r="W8" s="443"/>
      <c r="X8" s="443"/>
      <c r="Y8" s="443"/>
      <c r="Z8" s="443"/>
      <c r="AA8" s="443"/>
      <c r="AB8" s="443"/>
      <c r="AC8" s="443"/>
      <c r="AD8" s="443"/>
      <c r="AE8" s="444"/>
      <c r="AF8" s="443"/>
      <c r="AG8" s="445"/>
    </row>
    <row r="9" spans="1:33" ht="20.100000000000001" customHeight="1" x14ac:dyDescent="0.2">
      <c r="B9" s="287" t="s">
        <v>243</v>
      </c>
      <c r="C9" s="237"/>
      <c r="D9" s="237"/>
      <c r="E9" s="237"/>
      <c r="F9" s="237"/>
      <c r="G9" s="237"/>
      <c r="H9" s="237"/>
      <c r="I9" s="237"/>
      <c r="J9" s="237"/>
      <c r="K9" s="237"/>
      <c r="L9" s="237"/>
      <c r="O9" s="291" t="s">
        <v>187</v>
      </c>
      <c r="P9" s="292">
        <v>73</v>
      </c>
      <c r="Q9" s="292">
        <v>69</v>
      </c>
      <c r="T9" t="s">
        <v>347</v>
      </c>
      <c r="U9" s="440"/>
      <c r="V9" s="442" t="s">
        <v>356</v>
      </c>
      <c r="W9" s="443"/>
      <c r="X9" s="443"/>
      <c r="Y9" s="443"/>
      <c r="Z9" s="443"/>
      <c r="AA9" s="443"/>
      <c r="AB9" s="443"/>
      <c r="AC9" s="443"/>
      <c r="AD9" s="443"/>
      <c r="AE9" s="444"/>
      <c r="AF9" s="443"/>
      <c r="AG9" s="445"/>
    </row>
    <row r="10" spans="1:33" ht="20.100000000000001" customHeight="1" x14ac:dyDescent="0.2">
      <c r="B10" s="399" t="s">
        <v>242</v>
      </c>
      <c r="C10" s="237"/>
      <c r="D10" s="237"/>
      <c r="E10" s="237"/>
      <c r="F10" s="237"/>
      <c r="G10" s="237"/>
      <c r="H10" s="237"/>
      <c r="I10" s="237"/>
      <c r="J10" s="237"/>
      <c r="K10" s="237"/>
      <c r="L10" s="237"/>
      <c r="O10" s="290" t="s">
        <v>186</v>
      </c>
      <c r="P10">
        <f>P8-P9</f>
        <v>4</v>
      </c>
      <c r="Q10">
        <f>Q8-Q9</f>
        <v>4</v>
      </c>
      <c r="U10" s="440"/>
      <c r="V10" s="443"/>
      <c r="W10" s="443"/>
      <c r="X10" s="443"/>
      <c r="Y10" s="443"/>
      <c r="Z10" s="443"/>
      <c r="AA10" s="443"/>
      <c r="AB10" s="443"/>
      <c r="AC10" s="443"/>
      <c r="AD10" s="443"/>
      <c r="AE10" s="443"/>
      <c r="AF10" s="443"/>
      <c r="AG10" s="445"/>
    </row>
    <row r="11" spans="1:33" ht="20.100000000000001" customHeight="1" x14ac:dyDescent="0.2">
      <c r="B11" s="261" t="s">
        <v>211</v>
      </c>
      <c r="C11" s="237"/>
      <c r="D11" s="237"/>
      <c r="E11" s="237"/>
      <c r="F11" s="237"/>
      <c r="G11" s="237"/>
      <c r="H11" s="237"/>
      <c r="I11" s="237"/>
      <c r="J11" s="237"/>
      <c r="K11" s="237"/>
      <c r="L11" s="237"/>
      <c r="U11" s="432" t="s">
        <v>364</v>
      </c>
      <c r="V11" s="435" t="s">
        <v>331</v>
      </c>
      <c r="W11" s="436" t="s">
        <v>352</v>
      </c>
      <c r="X11" s="435" t="s">
        <v>283</v>
      </c>
      <c r="Y11" s="435" t="s">
        <v>242</v>
      </c>
      <c r="Z11" s="435" t="s">
        <v>223</v>
      </c>
      <c r="AA11" s="435" t="s">
        <v>342</v>
      </c>
      <c r="AB11" s="436" t="s">
        <v>334</v>
      </c>
      <c r="AC11" s="433" t="s">
        <v>345</v>
      </c>
      <c r="AD11" s="436" t="s">
        <v>337</v>
      </c>
      <c r="AE11" s="436" t="s">
        <v>336</v>
      </c>
      <c r="AF11" s="433" t="s">
        <v>378</v>
      </c>
      <c r="AG11" s="433" t="s">
        <v>339</v>
      </c>
    </row>
    <row r="12" spans="1:33" ht="20.100000000000001" customHeight="1" x14ac:dyDescent="0.2">
      <c r="A12" s="84"/>
      <c r="B12" s="261"/>
      <c r="C12" s="237"/>
      <c r="D12" s="237"/>
      <c r="E12" s="237"/>
      <c r="F12" s="237"/>
      <c r="G12" s="237"/>
      <c r="H12" s="237"/>
      <c r="I12" s="237"/>
      <c r="J12" s="237"/>
      <c r="K12" s="237"/>
      <c r="L12" s="237"/>
      <c r="M12" s="84"/>
      <c r="U12" s="433" t="s">
        <v>391</v>
      </c>
      <c r="V12" s="435" t="s">
        <v>331</v>
      </c>
      <c r="W12" s="436" t="s">
        <v>359</v>
      </c>
      <c r="X12" s="435" t="s">
        <v>283</v>
      </c>
      <c r="Y12" s="435" t="s">
        <v>281</v>
      </c>
      <c r="Z12" s="435" t="s">
        <v>348</v>
      </c>
      <c r="AA12" s="435" t="s">
        <v>342</v>
      </c>
      <c r="AB12" s="436" t="s">
        <v>334</v>
      </c>
      <c r="AC12" s="433" t="s">
        <v>345</v>
      </c>
      <c r="AD12" s="436" t="s">
        <v>349</v>
      </c>
      <c r="AE12" s="436" t="s">
        <v>336</v>
      </c>
      <c r="AF12" s="433" t="s">
        <v>378</v>
      </c>
      <c r="AG12" s="433" t="s">
        <v>350</v>
      </c>
    </row>
    <row r="13" spans="1:33" ht="20.100000000000001" customHeight="1" x14ac:dyDescent="0.2">
      <c r="A13" s="84"/>
      <c r="B13" s="287" t="s">
        <v>201</v>
      </c>
      <c r="C13" s="287" t="s">
        <v>316</v>
      </c>
      <c r="D13" s="426" t="s">
        <v>313</v>
      </c>
      <c r="E13" s="237" t="s">
        <v>358</v>
      </c>
      <c r="F13" s="237"/>
      <c r="G13" s="237"/>
      <c r="H13" s="237"/>
      <c r="I13" s="237"/>
      <c r="J13" s="237"/>
      <c r="K13" s="237"/>
      <c r="L13" s="237"/>
      <c r="M13" s="84"/>
      <c r="U13" s="434"/>
      <c r="V13" s="434"/>
      <c r="W13" s="434"/>
      <c r="X13" s="434"/>
      <c r="Y13" s="434"/>
      <c r="Z13" s="434"/>
      <c r="AA13" s="434"/>
      <c r="AB13" s="434"/>
      <c r="AC13" s="434"/>
      <c r="AD13" s="434"/>
      <c r="AE13" s="434"/>
      <c r="AF13" s="434"/>
      <c r="AG13" s="434"/>
    </row>
    <row r="14" spans="1:33" ht="20.100000000000001" customHeight="1" x14ac:dyDescent="0.25">
      <c r="A14" s="84"/>
      <c r="B14" s="438" t="s">
        <v>363</v>
      </c>
      <c r="C14" s="83"/>
      <c r="D14" s="83"/>
      <c r="E14" s="83"/>
      <c r="F14" s="83"/>
      <c r="G14" s="83"/>
      <c r="H14" s="83"/>
      <c r="I14" s="83"/>
      <c r="J14" s="83"/>
      <c r="K14" s="83"/>
      <c r="L14" s="83"/>
      <c r="M14" s="84"/>
      <c r="U14" s="434"/>
      <c r="V14" s="434"/>
      <c r="W14" s="434"/>
      <c r="X14" s="434"/>
      <c r="Y14" s="434"/>
      <c r="Z14" s="434"/>
      <c r="AA14" s="434"/>
      <c r="AB14" s="434"/>
      <c r="AC14" s="434"/>
      <c r="AD14" s="434"/>
      <c r="AE14" s="434"/>
      <c r="AF14" s="434"/>
      <c r="AG14" s="434"/>
    </row>
    <row r="15" spans="1:33" ht="15" customHeight="1" x14ac:dyDescent="0.2">
      <c r="A15" s="84"/>
      <c r="C15" s="83"/>
      <c r="D15" s="83"/>
      <c r="E15" s="83"/>
      <c r="F15" s="83"/>
      <c r="G15" s="83"/>
      <c r="H15" s="83"/>
      <c r="I15" s="83"/>
      <c r="J15" s="83"/>
      <c r="K15" s="83"/>
      <c r="L15" s="83"/>
      <c r="M15" s="84"/>
      <c r="U15" s="434"/>
      <c r="V15" s="434"/>
      <c r="W15" s="434"/>
      <c r="X15" s="434"/>
      <c r="Y15" s="434"/>
      <c r="Z15" s="434"/>
      <c r="AA15" s="434"/>
      <c r="AB15" s="434"/>
      <c r="AC15" s="434"/>
      <c r="AD15" s="434"/>
      <c r="AE15" s="434"/>
      <c r="AF15" s="434"/>
      <c r="AG15" s="434"/>
    </row>
    <row r="16" spans="1:33" ht="15" customHeight="1" x14ac:dyDescent="0.25">
      <c r="A16" s="84"/>
      <c r="B16" s="438" t="s">
        <v>360</v>
      </c>
      <c r="C16" s="83"/>
      <c r="D16" s="83"/>
      <c r="E16" s="83"/>
      <c r="F16" s="83"/>
      <c r="G16" s="83"/>
      <c r="H16" s="83"/>
      <c r="I16" s="83"/>
      <c r="J16" s="83"/>
      <c r="K16" s="83"/>
      <c r="L16" s="83"/>
      <c r="M16" s="84"/>
      <c r="AD16" s="1"/>
    </row>
    <row r="17" spans="1:30" ht="15" customHeight="1" x14ac:dyDescent="0.2">
      <c r="A17" s="84"/>
      <c r="C17" s="83"/>
      <c r="D17" s="83"/>
      <c r="E17" s="83"/>
      <c r="F17" s="83"/>
      <c r="G17" s="83"/>
      <c r="H17" s="83"/>
      <c r="I17" s="83"/>
      <c r="J17" s="83"/>
      <c r="K17" s="83"/>
      <c r="L17" s="83"/>
      <c r="M17" s="84"/>
      <c r="AD17" s="1"/>
    </row>
    <row r="18" spans="1:30" ht="15" customHeight="1" x14ac:dyDescent="0.25">
      <c r="A18" s="84"/>
      <c r="B18" s="438" t="s">
        <v>311</v>
      </c>
      <c r="C18" s="83"/>
      <c r="D18" s="83"/>
      <c r="E18" s="83"/>
      <c r="F18" s="83"/>
      <c r="G18" s="83"/>
      <c r="H18" s="83"/>
      <c r="I18" s="83"/>
      <c r="J18" s="83"/>
      <c r="K18" s="83"/>
      <c r="L18" s="83"/>
      <c r="M18" s="84"/>
      <c r="AD18" s="1"/>
    </row>
    <row r="19" spans="1:30" ht="15" customHeight="1" x14ac:dyDescent="0.2">
      <c r="A19" s="84"/>
      <c r="B19" s="415" t="s">
        <v>279</v>
      </c>
      <c r="C19" s="416"/>
      <c r="D19" s="21"/>
      <c r="E19" s="511">
        <v>1</v>
      </c>
      <c r="F19" s="416"/>
      <c r="G19" s="420"/>
      <c r="H19" s="83"/>
      <c r="I19" s="83"/>
      <c r="J19" s="83"/>
      <c r="K19" s="83"/>
      <c r="L19" s="83"/>
      <c r="M19" s="84"/>
      <c r="AD19" s="1"/>
    </row>
    <row r="20" spans="1:30" ht="15" customHeight="1" x14ac:dyDescent="0.2">
      <c r="A20" s="84"/>
      <c r="B20" s="417"/>
      <c r="C20" s="414" t="str">
        <f>L243</f>
        <v>C-ZETA CURVE</v>
      </c>
      <c r="D20" s="83" t="str">
        <f>M243</f>
        <v xml:space="preserve"> 110_61_31</v>
      </c>
      <c r="E20" s="83"/>
      <c r="F20" s="83"/>
      <c r="G20" s="418"/>
      <c r="H20" s="83"/>
      <c r="I20" s="83"/>
      <c r="J20" s="83"/>
      <c r="K20" s="83"/>
      <c r="L20" s="83"/>
      <c r="M20" s="84"/>
      <c r="U20" s="143" t="s">
        <v>285</v>
      </c>
      <c r="V20" t="s">
        <v>286</v>
      </c>
      <c r="AB20" s="1"/>
      <c r="AC20" s="1"/>
      <c r="AD20" s="1"/>
    </row>
    <row r="21" spans="1:30" ht="15" customHeight="1" x14ac:dyDescent="0.2">
      <c r="B21" s="419" t="s">
        <v>390</v>
      </c>
      <c r="C21" s="42"/>
      <c r="D21" s="42"/>
      <c r="E21" s="42"/>
      <c r="F21" s="42"/>
      <c r="G21" s="31"/>
      <c r="U21" s="72" t="s">
        <v>121</v>
      </c>
      <c r="V21" t="s">
        <v>287</v>
      </c>
      <c r="AB21" s="1"/>
      <c r="AC21" s="1"/>
    </row>
    <row r="22" spans="1:30" ht="15" customHeight="1" x14ac:dyDescent="0.2">
      <c r="A22" s="169" t="s">
        <v>121</v>
      </c>
      <c r="B22" s="143" t="s">
        <v>139</v>
      </c>
      <c r="U22" s="72" t="s">
        <v>122</v>
      </c>
      <c r="V22" s="54" t="s">
        <v>288</v>
      </c>
      <c r="AB22" s="1"/>
      <c r="AC22" s="1"/>
    </row>
    <row r="23" spans="1:30" ht="15" customHeight="1" x14ac:dyDescent="0.2">
      <c r="U23" s="72" t="s">
        <v>125</v>
      </c>
      <c r="V23" s="54" t="s">
        <v>295</v>
      </c>
      <c r="AB23" s="1"/>
      <c r="AC23" s="1"/>
    </row>
    <row r="24" spans="1:30" ht="15" customHeight="1" x14ac:dyDescent="0.2">
      <c r="B24" s="54" t="s">
        <v>140</v>
      </c>
      <c r="U24" s="72" t="s">
        <v>152</v>
      </c>
      <c r="V24" s="54" t="s">
        <v>296</v>
      </c>
      <c r="AB24" s="1"/>
      <c r="AC24" s="1"/>
    </row>
    <row r="25" spans="1:30" ht="15" customHeight="1" x14ac:dyDescent="0.2">
      <c r="B25" s="54" t="s">
        <v>204</v>
      </c>
      <c r="U25" s="72" t="s">
        <v>157</v>
      </c>
      <c r="V25" t="s">
        <v>289</v>
      </c>
      <c r="AC25" s="1"/>
    </row>
    <row r="26" spans="1:30" ht="15" customHeight="1" thickBot="1" x14ac:dyDescent="0.25">
      <c r="U26" s="72"/>
      <c r="V26" s="54" t="s">
        <v>306</v>
      </c>
    </row>
    <row r="27" spans="1:30" ht="15" customHeight="1" x14ac:dyDescent="0.2">
      <c r="B27" s="146"/>
      <c r="C27" s="147" t="s">
        <v>105</v>
      </c>
      <c r="D27" s="147" t="s">
        <v>105</v>
      </c>
      <c r="E27" s="208" t="s">
        <v>105</v>
      </c>
      <c r="U27" s="72"/>
      <c r="V27" t="s">
        <v>290</v>
      </c>
    </row>
    <row r="28" spans="1:30" ht="15" customHeight="1" x14ac:dyDescent="0.2">
      <c r="B28" s="146"/>
      <c r="C28" s="147" t="s">
        <v>342</v>
      </c>
      <c r="D28" s="147" t="s">
        <v>343</v>
      </c>
      <c r="E28" s="209" t="s">
        <v>108</v>
      </c>
      <c r="U28" s="72" t="s">
        <v>159</v>
      </c>
      <c r="V28" t="s">
        <v>291</v>
      </c>
    </row>
    <row r="29" spans="1:30" ht="15" customHeight="1" x14ac:dyDescent="0.2">
      <c r="B29" s="147" t="s">
        <v>39</v>
      </c>
      <c r="C29" s="147" t="s">
        <v>106</v>
      </c>
      <c r="D29" s="147" t="s">
        <v>107</v>
      </c>
      <c r="E29" s="209" t="s">
        <v>151</v>
      </c>
      <c r="U29" s="72" t="s">
        <v>162</v>
      </c>
      <c r="V29" t="s">
        <v>292</v>
      </c>
    </row>
    <row r="30" spans="1:30" ht="15" customHeight="1" x14ac:dyDescent="0.2">
      <c r="B30" s="147">
        <v>1</v>
      </c>
      <c r="C30" s="343">
        <v>2</v>
      </c>
      <c r="D30" s="343">
        <v>0.75</v>
      </c>
      <c r="E30" s="210">
        <f>SUM(C30:D30)/2</f>
        <v>1.375</v>
      </c>
      <c r="U30" s="72" t="s">
        <v>172</v>
      </c>
      <c r="V30" s="54" t="s">
        <v>293</v>
      </c>
    </row>
    <row r="31" spans="1:30" ht="15" customHeight="1" x14ac:dyDescent="0.2">
      <c r="B31" s="147">
        <v>2</v>
      </c>
      <c r="C31" s="343">
        <v>4</v>
      </c>
      <c r="D31" s="343">
        <v>2</v>
      </c>
      <c r="E31" s="210">
        <f t="shared" ref="E31:E39" si="0">SUM(C31:D31)/2</f>
        <v>3</v>
      </c>
      <c r="U31" s="72" t="s">
        <v>175</v>
      </c>
      <c r="V31" s="54" t="s">
        <v>294</v>
      </c>
    </row>
    <row r="32" spans="1:30" ht="15" customHeight="1" x14ac:dyDescent="0.2">
      <c r="B32" s="147">
        <v>3</v>
      </c>
      <c r="C32" s="343">
        <v>5.8</v>
      </c>
      <c r="D32" s="343">
        <v>3.3</v>
      </c>
      <c r="E32" s="210">
        <f t="shared" si="0"/>
        <v>4.55</v>
      </c>
      <c r="U32" s="72"/>
    </row>
    <row r="33" spans="1:22" ht="15" customHeight="1" x14ac:dyDescent="0.2">
      <c r="B33" s="147">
        <v>4</v>
      </c>
      <c r="C33" s="343">
        <v>7.51</v>
      </c>
      <c r="D33" s="343">
        <v>4.7</v>
      </c>
      <c r="E33" s="210">
        <f t="shared" si="0"/>
        <v>6.1050000000000004</v>
      </c>
      <c r="V33" s="422" t="s">
        <v>310</v>
      </c>
    </row>
    <row r="34" spans="1:22" ht="15" customHeight="1" x14ac:dyDescent="0.2">
      <c r="B34" s="147">
        <v>5</v>
      </c>
      <c r="C34" s="343">
        <v>9</v>
      </c>
      <c r="D34" s="343">
        <v>5.9</v>
      </c>
      <c r="E34" s="210">
        <f t="shared" si="0"/>
        <v>7.45</v>
      </c>
    </row>
    <row r="35" spans="1:22" ht="15" customHeight="1" x14ac:dyDescent="0.2">
      <c r="B35" s="147">
        <v>10</v>
      </c>
      <c r="C35" s="343">
        <v>11.51</v>
      </c>
      <c r="D35" s="343">
        <v>10</v>
      </c>
      <c r="E35" s="210">
        <f t="shared" si="0"/>
        <v>10.754999999999999</v>
      </c>
    </row>
    <row r="36" spans="1:22" ht="15" customHeight="1" x14ac:dyDescent="0.2">
      <c r="B36" s="147">
        <v>20</v>
      </c>
      <c r="C36" s="343">
        <v>13</v>
      </c>
      <c r="D36" s="343">
        <v>13</v>
      </c>
      <c r="E36" s="210">
        <f t="shared" si="0"/>
        <v>13</v>
      </c>
    </row>
    <row r="37" spans="1:22" ht="15" customHeight="1" x14ac:dyDescent="0.2">
      <c r="B37" s="147">
        <v>30</v>
      </c>
      <c r="C37" s="343">
        <v>13</v>
      </c>
      <c r="D37" s="343">
        <v>13</v>
      </c>
      <c r="E37" s="210">
        <f t="shared" si="0"/>
        <v>13</v>
      </c>
    </row>
    <row r="38" spans="1:22" ht="15" customHeight="1" x14ac:dyDescent="0.2">
      <c r="B38" s="147">
        <v>40</v>
      </c>
      <c r="C38" s="343">
        <v>13</v>
      </c>
      <c r="D38" s="343">
        <v>13</v>
      </c>
      <c r="E38" s="210">
        <f t="shared" si="0"/>
        <v>13</v>
      </c>
    </row>
    <row r="39" spans="1:22" ht="15" customHeight="1" thickBot="1" x14ac:dyDescent="0.25">
      <c r="B39" s="147">
        <v>50</v>
      </c>
      <c r="C39" s="343">
        <v>13</v>
      </c>
      <c r="D39" s="343">
        <v>13</v>
      </c>
      <c r="E39" s="211">
        <f t="shared" si="0"/>
        <v>13</v>
      </c>
    </row>
    <row r="40" spans="1:22" ht="15" customHeight="1" x14ac:dyDescent="0.2"/>
    <row r="41" spans="1:22" ht="15" customHeight="1" x14ac:dyDescent="0.2"/>
    <row r="42" spans="1:22" ht="15" customHeight="1" x14ac:dyDescent="0.2"/>
    <row r="43" spans="1:22" ht="15" customHeight="1" x14ac:dyDescent="0.2"/>
    <row r="44" spans="1:22" ht="15" customHeight="1" x14ac:dyDescent="0.2">
      <c r="A44" s="143" t="s">
        <v>122</v>
      </c>
      <c r="B44" s="143" t="s">
        <v>190</v>
      </c>
    </row>
    <row r="45" spans="1:22" ht="15" customHeight="1" x14ac:dyDescent="0.2">
      <c r="B45" s="169" t="s">
        <v>142</v>
      </c>
    </row>
    <row r="46" spans="1:22" ht="15" customHeight="1" x14ac:dyDescent="0.2">
      <c r="B46" s="169" t="s">
        <v>144</v>
      </c>
    </row>
    <row r="47" spans="1:22" ht="15" customHeight="1" x14ac:dyDescent="0.2">
      <c r="F47" s="362" t="s">
        <v>212</v>
      </c>
    </row>
    <row r="48" spans="1:22" ht="15" customHeight="1" x14ac:dyDescent="0.2">
      <c r="B48" s="196" t="s">
        <v>202</v>
      </c>
      <c r="C48" s="196"/>
      <c r="D48" s="196"/>
    </row>
    <row r="49" spans="2:4" ht="15" customHeight="1" x14ac:dyDescent="0.2">
      <c r="B49" s="196" t="s">
        <v>143</v>
      </c>
      <c r="C49" s="196"/>
      <c r="D49" s="196" t="s">
        <v>111</v>
      </c>
    </row>
    <row r="50" spans="2:4" ht="15" customHeight="1" x14ac:dyDescent="0.2">
      <c r="B50" s="196" t="s">
        <v>119</v>
      </c>
      <c r="C50" s="196"/>
      <c r="D50" s="196" t="s">
        <v>119</v>
      </c>
    </row>
    <row r="51" spans="2:4" ht="15" customHeight="1" x14ac:dyDescent="0.2">
      <c r="B51" s="196" t="s">
        <v>120</v>
      </c>
      <c r="C51" s="196" t="s">
        <v>39</v>
      </c>
      <c r="D51" s="196" t="s">
        <v>120</v>
      </c>
    </row>
    <row r="52" spans="2:4" ht="15" customHeight="1" x14ac:dyDescent="0.2">
      <c r="B52" s="326">
        <v>22.3</v>
      </c>
      <c r="C52" s="185">
        <v>1</v>
      </c>
      <c r="D52" s="188">
        <v>22.3</v>
      </c>
    </row>
    <row r="53" spans="2:4" ht="15" customHeight="1" x14ac:dyDescent="0.2">
      <c r="B53" s="327">
        <v>44.8</v>
      </c>
      <c r="C53" s="185">
        <v>2</v>
      </c>
      <c r="D53" s="189">
        <v>44.8</v>
      </c>
    </row>
    <row r="54" spans="2:4" ht="15" customHeight="1" x14ac:dyDescent="0.2">
      <c r="B54" s="94">
        <v>62</v>
      </c>
      <c r="C54" s="185">
        <v>3</v>
      </c>
      <c r="D54" s="184">
        <v>62</v>
      </c>
    </row>
    <row r="55" spans="2:4" ht="15" customHeight="1" x14ac:dyDescent="0.2">
      <c r="B55" s="94">
        <v>75.5</v>
      </c>
      <c r="C55" s="185">
        <v>4</v>
      </c>
      <c r="D55" s="184">
        <v>75.5</v>
      </c>
    </row>
    <row r="56" spans="2:4" ht="15" customHeight="1" x14ac:dyDescent="0.2">
      <c r="B56" s="327">
        <v>91.1</v>
      </c>
      <c r="C56" s="185">
        <v>5</v>
      </c>
      <c r="D56" s="189">
        <v>91.1</v>
      </c>
    </row>
    <row r="57" spans="2:4" ht="15" customHeight="1" x14ac:dyDescent="0.2">
      <c r="B57" s="94">
        <v>150.69999999999999</v>
      </c>
      <c r="C57" s="185">
        <v>10</v>
      </c>
      <c r="D57" s="184">
        <v>150.69999999999999</v>
      </c>
    </row>
    <row r="58" spans="2:4" ht="15" customHeight="1" x14ac:dyDescent="0.2">
      <c r="B58" s="94">
        <v>252.2</v>
      </c>
      <c r="C58" s="185">
        <v>20</v>
      </c>
      <c r="D58" s="184">
        <v>252.2</v>
      </c>
    </row>
    <row r="59" spans="2:4" ht="15" customHeight="1" x14ac:dyDescent="0.2">
      <c r="B59" s="94">
        <v>340.1</v>
      </c>
      <c r="C59" s="185">
        <v>30</v>
      </c>
      <c r="D59" s="184">
        <v>340.1</v>
      </c>
    </row>
    <row r="60" spans="2:4" ht="15" customHeight="1" x14ac:dyDescent="0.2">
      <c r="B60" s="94">
        <v>420.4</v>
      </c>
      <c r="C60" s="185">
        <v>40</v>
      </c>
      <c r="D60" s="184">
        <v>420.4</v>
      </c>
    </row>
    <row r="61" spans="2:4" ht="15" customHeight="1" x14ac:dyDescent="0.2">
      <c r="B61" s="327">
        <v>498</v>
      </c>
      <c r="C61" s="185">
        <v>50</v>
      </c>
      <c r="D61" s="189">
        <v>498</v>
      </c>
    </row>
    <row r="62" spans="2:4" ht="15" customHeight="1" x14ac:dyDescent="0.2"/>
    <row r="63" spans="2:4" ht="15" customHeight="1" x14ac:dyDescent="0.2">
      <c r="C63" s="394" t="s">
        <v>203</v>
      </c>
    </row>
    <row r="64" spans="2:4" ht="15" customHeight="1" x14ac:dyDescent="0.2"/>
    <row r="65" spans="1:11" ht="15" customHeight="1" x14ac:dyDescent="0.2"/>
    <row r="66" spans="1:11" ht="15" customHeight="1" x14ac:dyDescent="0.2">
      <c r="A66" s="143" t="s">
        <v>125</v>
      </c>
      <c r="B66" s="143" t="s">
        <v>145</v>
      </c>
    </row>
    <row r="67" spans="1:11" ht="15" customHeight="1" x14ac:dyDescent="0.2">
      <c r="B67" s="169" t="s">
        <v>147</v>
      </c>
    </row>
    <row r="68" spans="1:11" ht="15" customHeight="1" x14ac:dyDescent="0.2">
      <c r="B68" s="169" t="s">
        <v>148</v>
      </c>
    </row>
    <row r="69" spans="1:11" ht="15" customHeight="1" x14ac:dyDescent="0.2">
      <c r="B69" s="362" t="s">
        <v>212</v>
      </c>
    </row>
    <row r="70" spans="1:11" ht="15" customHeight="1" x14ac:dyDescent="0.2">
      <c r="E70" s="504">
        <f>INDEX(LINEST(D$78:D$83,($C$78:$C$83)^{1,2,3}),1)</f>
        <v>0.11347208299458225</v>
      </c>
      <c r="F70" s="503">
        <f>INDEX(LINEST(D$83:D$87,($C$83:$C$87)^{1,2,3}),1)</f>
        <v>9.0833333333334172E-4</v>
      </c>
      <c r="H70" t="s">
        <v>387</v>
      </c>
    </row>
    <row r="71" spans="1:11" ht="15" customHeight="1" x14ac:dyDescent="0.2">
      <c r="E71" s="504">
        <f>INDEX(LINEST(D$78:D$83,($C$78:$C$83)^{1,2,3}),2)</f>
        <v>-2.3474575936727899</v>
      </c>
      <c r="F71" s="503">
        <f>INDEX(LINEST(D$83:D$87,($C$83:$C$87)^{1,2,3}),2)</f>
        <v>-0.12132142857142943</v>
      </c>
      <c r="H71" t="s">
        <v>388</v>
      </c>
    </row>
    <row r="72" spans="1:11" ht="15" customHeight="1" x14ac:dyDescent="0.2">
      <c r="E72" s="504">
        <f>INDEX(LINEST(D$78:D$83,($C$78:$C$83)^{1,2,3}),3)</f>
        <v>27.449303883727591</v>
      </c>
      <c r="F72" s="503">
        <f>INDEX(LINEST(D$83:D$87,($C$83:$C$87)^{1,2,3}),3)</f>
        <v>13.145952380952403</v>
      </c>
    </row>
    <row r="73" spans="1:11" ht="15" customHeight="1" x14ac:dyDescent="0.2">
      <c r="E73" s="504">
        <f>INDEX(LINEST(D$78:D$83,($C$78:$C$83)^{1,2,3}),4)</f>
        <v>-2.4966619570451272</v>
      </c>
      <c r="F73" s="503">
        <f>INDEX(LINEST(D$83:D$87,($C$83:$C$87)^{1,2,3}),4)</f>
        <v>30.479999999999897</v>
      </c>
    </row>
    <row r="74" spans="1:11" ht="15" customHeight="1" x14ac:dyDescent="0.2">
      <c r="E74" s="1"/>
      <c r="F74" s="1"/>
    </row>
    <row r="75" spans="1:11" ht="15" customHeight="1" x14ac:dyDescent="0.2">
      <c r="C75" s="195"/>
      <c r="D75" s="196" t="s">
        <v>146</v>
      </c>
      <c r="E75" s="196"/>
      <c r="F75" s="1"/>
      <c r="H75" s="212"/>
      <c r="I75" s="471" t="s">
        <v>133</v>
      </c>
      <c r="J75" s="212"/>
      <c r="K75" s="212"/>
    </row>
    <row r="76" spans="1:11" ht="15" customHeight="1" x14ac:dyDescent="0.2">
      <c r="C76" s="195"/>
      <c r="D76" s="196" t="s">
        <v>119</v>
      </c>
      <c r="E76" s="196"/>
      <c r="F76" s="1"/>
      <c r="H76" s="212"/>
      <c r="I76" s="472" t="s">
        <v>110</v>
      </c>
      <c r="J76" s="212" t="s">
        <v>111</v>
      </c>
      <c r="K76" s="508" t="s">
        <v>385</v>
      </c>
    </row>
    <row r="77" spans="1:11" ht="15" customHeight="1" x14ac:dyDescent="0.2">
      <c r="C77" s="195" t="s">
        <v>39</v>
      </c>
      <c r="D77" s="196" t="s">
        <v>120</v>
      </c>
      <c r="E77" s="196"/>
      <c r="F77" s="1"/>
      <c r="H77" s="212" t="s">
        <v>39</v>
      </c>
      <c r="I77" s="472" t="s">
        <v>149</v>
      </c>
      <c r="J77" s="212" t="s">
        <v>346</v>
      </c>
      <c r="K77" s="509" t="s">
        <v>386</v>
      </c>
    </row>
    <row r="78" spans="1:11" ht="15" customHeight="1" x14ac:dyDescent="0.2">
      <c r="C78" s="185">
        <v>1</v>
      </c>
      <c r="D78" s="188">
        <f>D52</f>
        <v>22.3</v>
      </c>
      <c r="E78" s="193">
        <f>(E$70*($C78)^3)+(E$71*($C78)^2)+(E$72*($C78)^1)+(E$73)</f>
        <v>22.718656416004258</v>
      </c>
      <c r="F78" s="3"/>
      <c r="H78" s="185">
        <v>1</v>
      </c>
      <c r="I78" s="473">
        <f>E78</f>
        <v>22.718656416004258</v>
      </c>
      <c r="J78" s="188">
        <f>B52</f>
        <v>22.3</v>
      </c>
      <c r="K78" s="505">
        <f>I78-J78</f>
        <v>0.41865641600425718</v>
      </c>
    </row>
    <row r="79" spans="1:11" ht="15" customHeight="1" x14ac:dyDescent="0.2">
      <c r="C79" s="185">
        <v>2</v>
      </c>
      <c r="D79" s="189">
        <f t="shared" ref="D79:D87" si="1">D53</f>
        <v>44.8</v>
      </c>
      <c r="E79" s="193">
        <f t="shared" ref="E79:E83" si="2">(E$70*($C79)^3)+(E$71*($C79)^2)+(E$72*($C79)^1)+(E$73)</f>
        <v>43.919892099675558</v>
      </c>
      <c r="F79" s="3"/>
      <c r="H79" s="185">
        <v>2</v>
      </c>
      <c r="I79" s="473">
        <f>E79</f>
        <v>43.919892099675558</v>
      </c>
      <c r="J79" s="189">
        <f t="shared" ref="J79:J87" si="3">B53</f>
        <v>44.8</v>
      </c>
      <c r="K79" s="506">
        <f t="shared" ref="K79:K87" si="4">I79-J79</f>
        <v>-0.88010790032443964</v>
      </c>
    </row>
    <row r="80" spans="1:11" ht="15" customHeight="1" x14ac:dyDescent="0.2">
      <c r="B80" t="s">
        <v>383</v>
      </c>
      <c r="C80" s="185">
        <v>3</v>
      </c>
      <c r="D80" s="184">
        <f t="shared" si="1"/>
        <v>62</v>
      </c>
      <c r="E80" s="193">
        <f t="shared" si="2"/>
        <v>61.787877591936258</v>
      </c>
      <c r="F80" s="3"/>
      <c r="H80" s="185">
        <v>3</v>
      </c>
      <c r="I80" s="473">
        <f>E80</f>
        <v>61.787877591936258</v>
      </c>
      <c r="J80" s="184">
        <f t="shared" si="3"/>
        <v>62</v>
      </c>
      <c r="K80" s="507">
        <f t="shared" si="4"/>
        <v>-0.21212240806374183</v>
      </c>
    </row>
    <row r="81" spans="1:11" ht="15" customHeight="1" x14ac:dyDescent="0.2">
      <c r="C81" s="185">
        <v>4</v>
      </c>
      <c r="D81" s="184">
        <f t="shared" si="1"/>
        <v>75.5</v>
      </c>
      <c r="E81" s="193">
        <f t="shared" si="2"/>
        <v>77.003445390753853</v>
      </c>
      <c r="F81" s="3"/>
      <c r="H81" s="185">
        <v>4</v>
      </c>
      <c r="I81" s="473">
        <f>E81</f>
        <v>77.003445390753853</v>
      </c>
      <c r="J81" s="184">
        <f t="shared" si="3"/>
        <v>75.5</v>
      </c>
      <c r="K81" s="507">
        <f t="shared" si="4"/>
        <v>1.5034453907538534</v>
      </c>
    </row>
    <row r="82" spans="1:11" ht="15" customHeight="1" x14ac:dyDescent="0.2">
      <c r="C82" s="185">
        <v>5</v>
      </c>
      <c r="D82" s="189">
        <f t="shared" si="1"/>
        <v>91.1</v>
      </c>
      <c r="E82" s="193">
        <f t="shared" si="2"/>
        <v>90.247427994095858</v>
      </c>
      <c r="F82" s="3"/>
      <c r="H82" s="185">
        <v>5</v>
      </c>
      <c r="I82" s="473">
        <f>E82</f>
        <v>90.247427994095858</v>
      </c>
      <c r="J82" s="189">
        <f t="shared" si="3"/>
        <v>91.1</v>
      </c>
      <c r="K82" s="506">
        <f t="shared" si="4"/>
        <v>-0.85257200590413618</v>
      </c>
    </row>
    <row r="83" spans="1:11" ht="15" customHeight="1" x14ac:dyDescent="0.2">
      <c r="C83" s="185">
        <v>10</v>
      </c>
      <c r="D83" s="184">
        <f t="shared" si="1"/>
        <v>150.69999999999999</v>
      </c>
      <c r="E83" s="193">
        <f t="shared" si="2"/>
        <v>150.72270050753403</v>
      </c>
      <c r="F83" s="194">
        <f>(F$70*($C83)^3)+(F$71*($C83)^2)+(F$72*($C83)^1)+(F$73)</f>
        <v>150.71571428571431</v>
      </c>
      <c r="H83" s="185">
        <v>10</v>
      </c>
      <c r="I83" s="473">
        <f>(E83+F83)/2</f>
        <v>150.71920739662417</v>
      </c>
      <c r="J83" s="184">
        <f t="shared" si="3"/>
        <v>150.69999999999999</v>
      </c>
      <c r="K83" s="507">
        <f t="shared" si="4"/>
        <v>1.9207396624182138E-2</v>
      </c>
    </row>
    <row r="84" spans="1:11" ht="15" customHeight="1" x14ac:dyDescent="0.2">
      <c r="C84" s="185">
        <v>20</v>
      </c>
      <c r="D84" s="184">
        <f t="shared" si="1"/>
        <v>252.2</v>
      </c>
      <c r="E84" s="3"/>
      <c r="F84" s="194">
        <f t="shared" ref="F84:F87" si="5">(F$70*($C84)^3)+(F$71*($C84)^2)+(F$72*($C84)^1)+(F$73)</f>
        <v>252.13714285714292</v>
      </c>
      <c r="H84" s="185">
        <v>20</v>
      </c>
      <c r="I84" s="473">
        <f>F84</f>
        <v>252.13714285714292</v>
      </c>
      <c r="J84" s="184">
        <f t="shared" si="3"/>
        <v>252.2</v>
      </c>
      <c r="K84" s="507">
        <f t="shared" si="4"/>
        <v>-6.2857142857069448E-2</v>
      </c>
    </row>
    <row r="85" spans="1:11" ht="15" customHeight="1" x14ac:dyDescent="0.2">
      <c r="B85" s="54" t="s">
        <v>384</v>
      </c>
      <c r="C85" s="185">
        <v>30</v>
      </c>
      <c r="D85" s="184">
        <f t="shared" si="1"/>
        <v>340.1</v>
      </c>
      <c r="E85" s="3"/>
      <c r="F85" s="194">
        <f t="shared" si="5"/>
        <v>340.1942857142858</v>
      </c>
      <c r="H85" s="185">
        <v>30</v>
      </c>
      <c r="I85" s="473">
        <f>F85</f>
        <v>340.1942857142858</v>
      </c>
      <c r="J85" s="184">
        <f t="shared" si="3"/>
        <v>340.1</v>
      </c>
      <c r="K85" s="507">
        <f t="shared" si="4"/>
        <v>9.4285714285774702E-2</v>
      </c>
    </row>
    <row r="86" spans="1:11" ht="15" customHeight="1" x14ac:dyDescent="0.2">
      <c r="C86" s="185">
        <v>40</v>
      </c>
      <c r="D86" s="184">
        <f t="shared" si="1"/>
        <v>420.4</v>
      </c>
      <c r="E86" s="3"/>
      <c r="F86" s="194">
        <f t="shared" si="5"/>
        <v>420.33714285714279</v>
      </c>
      <c r="H86" s="185">
        <v>40</v>
      </c>
      <c r="I86" s="473">
        <f>F86</f>
        <v>420.33714285714279</v>
      </c>
      <c r="J86" s="184">
        <f t="shared" si="3"/>
        <v>420.4</v>
      </c>
      <c r="K86" s="507">
        <f t="shared" si="4"/>
        <v>-6.2857142857183135E-2</v>
      </c>
    </row>
    <row r="87" spans="1:11" ht="15" customHeight="1" x14ac:dyDescent="0.2">
      <c r="C87" s="185">
        <v>50</v>
      </c>
      <c r="D87" s="189">
        <f t="shared" si="1"/>
        <v>498</v>
      </c>
      <c r="E87" s="3"/>
      <c r="F87" s="194">
        <f t="shared" si="5"/>
        <v>498.01571428571424</v>
      </c>
      <c r="H87" s="185">
        <v>50</v>
      </c>
      <c r="I87" s="474">
        <f>F87</f>
        <v>498.01571428571424</v>
      </c>
      <c r="J87" s="189">
        <f t="shared" si="3"/>
        <v>498</v>
      </c>
      <c r="K87" s="506">
        <f t="shared" si="4"/>
        <v>1.571428571423894E-2</v>
      </c>
    </row>
    <row r="88" spans="1:11" ht="15" customHeight="1" x14ac:dyDescent="0.2">
      <c r="I88" s="72"/>
    </row>
    <row r="89" spans="1:11" ht="15" customHeight="1" x14ac:dyDescent="0.2"/>
    <row r="90" spans="1:11" ht="15" customHeight="1" x14ac:dyDescent="0.2"/>
    <row r="91" spans="1:11" ht="15" customHeight="1" x14ac:dyDescent="0.2">
      <c r="I91" s="72"/>
    </row>
    <row r="92" spans="1:11" ht="15" customHeight="1" x14ac:dyDescent="0.2">
      <c r="A92" s="143" t="s">
        <v>152</v>
      </c>
      <c r="B92" s="143" t="s">
        <v>150</v>
      </c>
    </row>
    <row r="93" spans="1:11" ht="15" customHeight="1" x14ac:dyDescent="0.2">
      <c r="A93" s="143"/>
      <c r="B93" s="143"/>
    </row>
    <row r="94" spans="1:11" ht="15" customHeight="1" x14ac:dyDescent="0.2">
      <c r="A94" s="143"/>
      <c r="B94" s="143" t="s">
        <v>153</v>
      </c>
    </row>
    <row r="95" spans="1:11" ht="15" customHeight="1" x14ac:dyDescent="0.2">
      <c r="A95" s="143"/>
      <c r="B95" s="143"/>
      <c r="K95" s="169" t="s">
        <v>155</v>
      </c>
    </row>
    <row r="96" spans="1:11" ht="15" customHeight="1" x14ac:dyDescent="0.2">
      <c r="E96" s="362" t="s">
        <v>212</v>
      </c>
      <c r="I96" s="72"/>
    </row>
    <row r="97" spans="2:18" ht="15" customHeight="1" thickBot="1" x14ac:dyDescent="0.25">
      <c r="H97" s="362" t="s">
        <v>221</v>
      </c>
      <c r="I97" s="72"/>
      <c r="M97" t="s">
        <v>171</v>
      </c>
    </row>
    <row r="98" spans="2:18" ht="15" customHeight="1" x14ac:dyDescent="0.2">
      <c r="B98" s="195"/>
      <c r="C98" s="190"/>
      <c r="D98" s="190"/>
      <c r="E98" s="190"/>
      <c r="F98" s="363" t="s">
        <v>111</v>
      </c>
      <c r="G98" s="213" t="s">
        <v>133</v>
      </c>
      <c r="H98" s="191" t="s">
        <v>304</v>
      </c>
      <c r="J98" s="208" t="s">
        <v>105</v>
      </c>
      <c r="K98" s="226"/>
      <c r="M98" s="220"/>
      <c r="N98" s="218" t="s">
        <v>156</v>
      </c>
    </row>
    <row r="99" spans="2:18" ht="15" customHeight="1" x14ac:dyDescent="0.2">
      <c r="B99" s="195"/>
      <c r="C99" s="187"/>
      <c r="D99" s="187"/>
      <c r="E99" s="187" t="s">
        <v>109</v>
      </c>
      <c r="F99" s="364" t="s">
        <v>110</v>
      </c>
      <c r="G99" s="214" t="s">
        <v>112</v>
      </c>
      <c r="H99" s="191" t="s">
        <v>105</v>
      </c>
      <c r="J99" s="421" t="s">
        <v>108</v>
      </c>
      <c r="K99" s="227" t="s">
        <v>154</v>
      </c>
      <c r="M99" s="221" t="s">
        <v>129</v>
      </c>
      <c r="N99" s="219" t="s">
        <v>119</v>
      </c>
    </row>
    <row r="100" spans="2:18" ht="15" customHeight="1" thickBot="1" x14ac:dyDescent="0.25">
      <c r="B100" s="195" t="s">
        <v>39</v>
      </c>
      <c r="C100" s="190"/>
      <c r="D100" s="190"/>
      <c r="E100" s="190"/>
      <c r="F100" s="365" t="s">
        <v>149</v>
      </c>
      <c r="G100" s="215" t="s">
        <v>149</v>
      </c>
      <c r="H100" s="191"/>
      <c r="J100" s="423" t="s">
        <v>151</v>
      </c>
      <c r="K100" s="228" t="s">
        <v>132</v>
      </c>
      <c r="M100" s="221" t="s">
        <v>113</v>
      </c>
      <c r="N100" s="219"/>
      <c r="O100" s="344" t="s">
        <v>205</v>
      </c>
      <c r="P100" s="72" t="s">
        <v>213</v>
      </c>
      <c r="Q100" s="293" t="s">
        <v>214</v>
      </c>
    </row>
    <row r="101" spans="2:18" ht="15" customHeight="1" x14ac:dyDescent="0.2">
      <c r="B101" s="185">
        <v>1</v>
      </c>
      <c r="C101" s="198"/>
      <c r="D101" s="198"/>
      <c r="E101" s="198">
        <f>F101+G101</f>
        <v>22.61</v>
      </c>
      <c r="F101" s="198">
        <f>D52</f>
        <v>22.3</v>
      </c>
      <c r="G101" s="197">
        <v>0.31</v>
      </c>
      <c r="H101" s="231">
        <f>G101/E101</f>
        <v>1.3710747456877488E-2</v>
      </c>
      <c r="J101" s="216">
        <f t="shared" ref="J101:J110" si="6">E30/100</f>
        <v>1.375E-2</v>
      </c>
      <c r="K101" s="229">
        <f t="shared" ref="K101:K110" si="7">J101-H101</f>
        <v>3.9252543122512279E-5</v>
      </c>
      <c r="M101" s="216">
        <f>E101/F101</f>
        <v>1.0139013452914798</v>
      </c>
      <c r="N101" s="222">
        <f t="shared" ref="N101:N110" si="8">F101*M101</f>
        <v>22.61</v>
      </c>
      <c r="O101" s="366">
        <f>N101-E101</f>
        <v>0</v>
      </c>
      <c r="P101" s="367">
        <f>J101/H101</f>
        <v>1.0028629032258065</v>
      </c>
      <c r="Q101" s="368">
        <f>P101*G101</f>
        <v>0.31088750000000004</v>
      </c>
      <c r="R101" s="346" t="s">
        <v>217</v>
      </c>
    </row>
    <row r="102" spans="2:18" ht="15" customHeight="1" x14ac:dyDescent="0.2">
      <c r="B102" s="185">
        <v>2</v>
      </c>
      <c r="C102" s="199"/>
      <c r="D102" s="199"/>
      <c r="E102" s="199">
        <f t="shared" ref="E102:E110" si="9">F102+G102</f>
        <v>46.186</v>
      </c>
      <c r="F102" s="199">
        <f t="shared" ref="F102:F110" si="10">D53</f>
        <v>44.8</v>
      </c>
      <c r="G102" s="197">
        <v>1.3859999999999999</v>
      </c>
      <c r="H102" s="232">
        <f t="shared" ref="H102:H110" si="11">G102/E102</f>
        <v>3.000909366474689E-2</v>
      </c>
      <c r="J102" s="216">
        <f t="shared" si="6"/>
        <v>0.03</v>
      </c>
      <c r="K102" s="229">
        <f>J102-H102</f>
        <v>-9.0936647468911613E-6</v>
      </c>
      <c r="M102" s="216">
        <f t="shared" ref="M102:M110" si="12">E102/F102</f>
        <v>1.0309375000000001</v>
      </c>
      <c r="N102" s="223">
        <f t="shared" si="8"/>
        <v>46.186</v>
      </c>
      <c r="O102" s="366">
        <f t="shared" ref="O102:O110" si="13">N102-E102</f>
        <v>0</v>
      </c>
      <c r="P102" s="367">
        <f t="shared" ref="P102:P110" si="14">J102/H102</f>
        <v>0.99969696969696975</v>
      </c>
      <c r="Q102" s="369">
        <f t="shared" ref="Q102:Q110" si="15">P102*G102</f>
        <v>1.38558</v>
      </c>
      <c r="R102" s="346" t="s">
        <v>218</v>
      </c>
    </row>
    <row r="103" spans="2:18" ht="15" customHeight="1" x14ac:dyDescent="0.2">
      <c r="B103" s="185">
        <v>3</v>
      </c>
      <c r="C103" s="200"/>
      <c r="D103" s="200"/>
      <c r="E103" s="200">
        <f t="shared" si="9"/>
        <v>64.956000000000003</v>
      </c>
      <c r="F103" s="200">
        <f t="shared" si="10"/>
        <v>62</v>
      </c>
      <c r="G103" s="197">
        <v>2.956</v>
      </c>
      <c r="H103" s="233">
        <f t="shared" si="11"/>
        <v>4.5507728308393371E-2</v>
      </c>
      <c r="J103" s="216">
        <f t="shared" si="6"/>
        <v>4.5499999999999999E-2</v>
      </c>
      <c r="K103" s="229">
        <f t="shared" si="7"/>
        <v>-7.7283083933718522E-6</v>
      </c>
      <c r="M103" s="216">
        <f t="shared" si="12"/>
        <v>1.0476774193548388</v>
      </c>
      <c r="N103" s="224">
        <f t="shared" si="8"/>
        <v>64.956000000000003</v>
      </c>
      <c r="O103" s="366">
        <f t="shared" si="13"/>
        <v>0</v>
      </c>
      <c r="P103" s="367">
        <f t="shared" si="14"/>
        <v>0.99983017591339651</v>
      </c>
      <c r="Q103" s="367">
        <f t="shared" si="15"/>
        <v>2.955498</v>
      </c>
      <c r="R103" s="346" t="s">
        <v>220</v>
      </c>
    </row>
    <row r="104" spans="2:18" ht="15" customHeight="1" x14ac:dyDescent="0.2">
      <c r="B104" s="185">
        <v>4</v>
      </c>
      <c r="C104" s="200"/>
      <c r="D104" s="200"/>
      <c r="E104" s="200">
        <f t="shared" si="9"/>
        <v>80.412000000000006</v>
      </c>
      <c r="F104" s="200">
        <f t="shared" si="10"/>
        <v>75.5</v>
      </c>
      <c r="G104" s="197">
        <v>4.9119999999999999</v>
      </c>
      <c r="H104" s="233">
        <f t="shared" si="11"/>
        <v>6.1085410137790376E-2</v>
      </c>
      <c r="J104" s="216">
        <f t="shared" si="6"/>
        <v>6.1050000000000007E-2</v>
      </c>
      <c r="K104" s="229">
        <f t="shared" si="7"/>
        <v>-3.5410137790369001E-5</v>
      </c>
      <c r="M104" s="216">
        <f t="shared" si="12"/>
        <v>1.0650596026490067</v>
      </c>
      <c r="N104" s="224">
        <f t="shared" si="8"/>
        <v>80.412000000000006</v>
      </c>
      <c r="O104" s="366">
        <f t="shared" si="13"/>
        <v>0</v>
      </c>
      <c r="P104" s="367">
        <f t="shared" si="14"/>
        <v>0.99942031758957672</v>
      </c>
      <c r="Q104" s="367">
        <f t="shared" si="15"/>
        <v>4.9091526000000005</v>
      </c>
      <c r="R104" s="167" t="s">
        <v>219</v>
      </c>
    </row>
    <row r="105" spans="2:18" ht="15" customHeight="1" x14ac:dyDescent="0.2">
      <c r="B105" s="185">
        <v>5</v>
      </c>
      <c r="C105" s="199"/>
      <c r="D105" s="199"/>
      <c r="E105" s="199">
        <f t="shared" si="9"/>
        <v>98.433999999999997</v>
      </c>
      <c r="F105" s="199">
        <f t="shared" si="10"/>
        <v>91.1</v>
      </c>
      <c r="G105" s="197">
        <v>7.3339999999999996</v>
      </c>
      <c r="H105" s="232">
        <f t="shared" si="11"/>
        <v>7.4506776113944365E-2</v>
      </c>
      <c r="J105" s="216">
        <f t="shared" si="6"/>
        <v>7.4499999999999997E-2</v>
      </c>
      <c r="K105" s="229">
        <f t="shared" si="7"/>
        <v>-6.7761139443678342E-6</v>
      </c>
      <c r="M105" s="216">
        <f t="shared" si="12"/>
        <v>1.0805049396267838</v>
      </c>
      <c r="N105" s="223">
        <f t="shared" si="8"/>
        <v>98.433999999999997</v>
      </c>
      <c r="O105" s="366">
        <f t="shared" si="13"/>
        <v>0</v>
      </c>
      <c r="P105" s="367">
        <f t="shared" si="14"/>
        <v>0.99990905372238892</v>
      </c>
      <c r="Q105" s="369">
        <f t="shared" si="15"/>
        <v>7.3333329999999997</v>
      </c>
    </row>
    <row r="106" spans="2:18" ht="15" customHeight="1" x14ac:dyDescent="0.2">
      <c r="B106" s="185">
        <v>10</v>
      </c>
      <c r="C106" s="200"/>
      <c r="D106" s="200"/>
      <c r="E106" s="200">
        <f t="shared" si="9"/>
        <v>168.86399999999998</v>
      </c>
      <c r="F106" s="200">
        <f t="shared" si="10"/>
        <v>150.69999999999999</v>
      </c>
      <c r="G106" s="197">
        <v>18.164000000000001</v>
      </c>
      <c r="H106" s="233">
        <f t="shared" si="11"/>
        <v>0.1075658518097404</v>
      </c>
      <c r="J106" s="216">
        <f t="shared" si="6"/>
        <v>0.10754999999999999</v>
      </c>
      <c r="K106" s="229">
        <f t="shared" si="7"/>
        <v>-1.5851809740410894E-5</v>
      </c>
      <c r="M106" s="216">
        <f t="shared" si="12"/>
        <v>1.1205308560053084</v>
      </c>
      <c r="N106" s="224">
        <f t="shared" si="8"/>
        <v>168.86399999999998</v>
      </c>
      <c r="O106" s="366">
        <f t="shared" si="13"/>
        <v>0</v>
      </c>
      <c r="P106" s="367">
        <f t="shared" si="14"/>
        <v>0.9998526315789471</v>
      </c>
      <c r="Q106" s="367">
        <f t="shared" si="15"/>
        <v>18.161323199999998</v>
      </c>
    </row>
    <row r="107" spans="2:18" ht="15" customHeight="1" x14ac:dyDescent="0.2">
      <c r="B107" s="185">
        <v>20</v>
      </c>
      <c r="C107" s="200"/>
      <c r="D107" s="200"/>
      <c r="E107" s="200">
        <f t="shared" si="9"/>
        <v>289.89299999999997</v>
      </c>
      <c r="F107" s="200">
        <f t="shared" si="10"/>
        <v>252.2</v>
      </c>
      <c r="G107" s="197">
        <v>37.692999999999998</v>
      </c>
      <c r="H107" s="233">
        <f t="shared" si="11"/>
        <v>0.13002383638100956</v>
      </c>
      <c r="J107" s="216">
        <f t="shared" si="6"/>
        <v>0.13</v>
      </c>
      <c r="K107" s="229">
        <f t="shared" si="7"/>
        <v>-2.383638100955654E-5</v>
      </c>
      <c r="M107" s="216">
        <f t="shared" si="12"/>
        <v>1.1494567803330689</v>
      </c>
      <c r="N107" s="224">
        <f t="shared" si="8"/>
        <v>289.89299999999997</v>
      </c>
      <c r="O107" s="366">
        <f t="shared" si="13"/>
        <v>0</v>
      </c>
      <c r="P107" s="367">
        <f t="shared" si="14"/>
        <v>0.99981667683654785</v>
      </c>
      <c r="Q107" s="367">
        <f t="shared" si="15"/>
        <v>37.686089999999993</v>
      </c>
    </row>
    <row r="108" spans="2:18" ht="15" customHeight="1" x14ac:dyDescent="0.2">
      <c r="B108" s="185">
        <v>30</v>
      </c>
      <c r="C108" s="200"/>
      <c r="D108" s="200"/>
      <c r="E108" s="200">
        <f>F108+G108</f>
        <v>390.93100000000004</v>
      </c>
      <c r="F108" s="200">
        <f t="shared" si="10"/>
        <v>340.1</v>
      </c>
      <c r="G108" s="197">
        <v>50.831000000000003</v>
      </c>
      <c r="H108" s="233">
        <f t="shared" si="11"/>
        <v>0.13002550322179618</v>
      </c>
      <c r="J108" s="216">
        <f t="shared" si="6"/>
        <v>0.13</v>
      </c>
      <c r="K108" s="229">
        <f t="shared" si="7"/>
        <v>-2.5503221796174813E-5</v>
      </c>
      <c r="M108" s="216">
        <f t="shared" si="12"/>
        <v>1.1494589826521611</v>
      </c>
      <c r="N108" s="224">
        <f t="shared" si="8"/>
        <v>390.93099999999998</v>
      </c>
      <c r="O108" s="366">
        <f t="shared" si="13"/>
        <v>0</v>
      </c>
      <c r="P108" s="367">
        <f t="shared" si="14"/>
        <v>0.99980385984930453</v>
      </c>
      <c r="Q108" s="367">
        <f t="shared" si="15"/>
        <v>50.82103</v>
      </c>
    </row>
    <row r="109" spans="2:18" ht="15" customHeight="1" x14ac:dyDescent="0.2">
      <c r="B109" s="185">
        <v>40</v>
      </c>
      <c r="C109" s="200"/>
      <c r="D109" s="200"/>
      <c r="E109" s="200">
        <f t="shared" si="9"/>
        <v>483.23099999999999</v>
      </c>
      <c r="F109" s="200">
        <f t="shared" si="10"/>
        <v>420.4</v>
      </c>
      <c r="G109" s="197">
        <v>62.831000000000003</v>
      </c>
      <c r="H109" s="233">
        <f t="shared" si="11"/>
        <v>0.13002270135814964</v>
      </c>
      <c r="J109" s="216">
        <f t="shared" si="6"/>
        <v>0.13</v>
      </c>
      <c r="K109" s="229">
        <f t="shared" si="7"/>
        <v>-2.270135814963492E-5</v>
      </c>
      <c r="M109" s="216">
        <f t="shared" si="12"/>
        <v>1.149455280685062</v>
      </c>
      <c r="N109" s="224">
        <f t="shared" si="8"/>
        <v>483.23100000000005</v>
      </c>
      <c r="O109" s="366">
        <f t="shared" si="13"/>
        <v>0</v>
      </c>
      <c r="P109" s="367">
        <f t="shared" si="14"/>
        <v>0.99982540465693681</v>
      </c>
      <c r="Q109" s="367">
        <f t="shared" si="15"/>
        <v>62.820030000000003</v>
      </c>
    </row>
    <row r="110" spans="2:18" ht="15" customHeight="1" thickBot="1" x14ac:dyDescent="0.25">
      <c r="B110" s="185">
        <v>50</v>
      </c>
      <c r="C110" s="199"/>
      <c r="D110" s="199"/>
      <c r="E110" s="199">
        <f t="shared" si="9"/>
        <v>572.42700000000002</v>
      </c>
      <c r="F110" s="199">
        <f t="shared" si="10"/>
        <v>498</v>
      </c>
      <c r="G110" s="197">
        <v>74.427000000000007</v>
      </c>
      <c r="H110" s="232">
        <f t="shared" si="11"/>
        <v>0.1300200724284494</v>
      </c>
      <c r="J110" s="217">
        <f t="shared" si="6"/>
        <v>0.13</v>
      </c>
      <c r="K110" s="230">
        <f t="shared" si="7"/>
        <v>-2.007242844939694E-5</v>
      </c>
      <c r="M110" s="217">
        <f t="shared" si="12"/>
        <v>1.1494518072289157</v>
      </c>
      <c r="N110" s="225">
        <f t="shared" si="8"/>
        <v>572.42700000000002</v>
      </c>
      <c r="O110" s="366">
        <f t="shared" si="13"/>
        <v>0</v>
      </c>
      <c r="P110" s="367">
        <f t="shared" si="14"/>
        <v>0.99984562054093273</v>
      </c>
      <c r="Q110" s="369">
        <f t="shared" si="15"/>
        <v>74.415510000000012</v>
      </c>
    </row>
    <row r="111" spans="2:18" ht="15" customHeight="1" x14ac:dyDescent="0.2">
      <c r="K111" s="72"/>
    </row>
    <row r="112" spans="2:18" ht="15" customHeight="1" x14ac:dyDescent="0.2">
      <c r="K112" s="72"/>
    </row>
    <row r="113" spans="1:18" ht="15" customHeight="1" x14ac:dyDescent="0.2">
      <c r="A113" s="169" t="s">
        <v>157</v>
      </c>
      <c r="B113" s="143" t="s">
        <v>158</v>
      </c>
      <c r="K113" s="72"/>
    </row>
    <row r="114" spans="1:18" ht="15" customHeight="1" x14ac:dyDescent="0.2">
      <c r="B114" s="362" t="s">
        <v>222</v>
      </c>
      <c r="H114" s="362" t="s">
        <v>221</v>
      </c>
      <c r="I114" s="72"/>
      <c r="L114" s="362" t="s">
        <v>224</v>
      </c>
    </row>
    <row r="115" spans="1:18" ht="15" customHeight="1" x14ac:dyDescent="0.2">
      <c r="B115" s="362"/>
      <c r="H115" s="362"/>
      <c r="I115" s="72"/>
      <c r="L115" s="362"/>
    </row>
    <row r="116" spans="1:18" ht="15" customHeight="1" x14ac:dyDescent="0.2">
      <c r="B116" s="362"/>
      <c r="H116" s="362"/>
      <c r="I116" s="72"/>
      <c r="L116" s="362"/>
    </row>
    <row r="117" spans="1:18" ht="15" customHeight="1" x14ac:dyDescent="0.2">
      <c r="B117" s="362"/>
      <c r="H117" s="362"/>
      <c r="I117" s="72"/>
      <c r="L117" s="362"/>
    </row>
    <row r="118" spans="1:18" ht="15" customHeight="1" x14ac:dyDescent="0.2">
      <c r="B118" s="362"/>
      <c r="H118" s="362"/>
      <c r="I118" s="72"/>
      <c r="L118" s="362"/>
    </row>
    <row r="119" spans="1:18" ht="15" customHeight="1" x14ac:dyDescent="0.2">
      <c r="B119" s="362"/>
      <c r="H119" s="362"/>
      <c r="I119" s="72"/>
      <c r="L119" s="362"/>
    </row>
    <row r="120" spans="1:18" ht="15" customHeight="1" x14ac:dyDescent="0.2">
      <c r="B120" s="362"/>
      <c r="H120" s="362"/>
      <c r="I120" s="72"/>
      <c r="L120" s="362"/>
    </row>
    <row r="121" spans="1:18" ht="15" customHeight="1" x14ac:dyDescent="0.2"/>
    <row r="122" spans="1:18" ht="15" customHeight="1" x14ac:dyDescent="0.2">
      <c r="I122" s="72"/>
      <c r="P122" s="387" t="s">
        <v>231</v>
      </c>
    </row>
    <row r="123" spans="1:18" ht="15" customHeight="1" x14ac:dyDescent="0.2">
      <c r="I123" s="72"/>
      <c r="M123" s="386" t="s">
        <v>229</v>
      </c>
    </row>
    <row r="124" spans="1:18" ht="15" customHeight="1" x14ac:dyDescent="0.2">
      <c r="D124" s="72" t="s">
        <v>188</v>
      </c>
      <c r="I124" s="72"/>
    </row>
    <row r="125" spans="1:18" ht="15" customHeight="1" x14ac:dyDescent="0.2">
      <c r="F125" s="72"/>
      <c r="G125" s="72"/>
      <c r="H125" s="72"/>
      <c r="I125" s="72"/>
      <c r="J125" s="72"/>
      <c r="K125" s="293"/>
      <c r="L125" s="293"/>
      <c r="O125" s="72"/>
      <c r="P125" s="72"/>
      <c r="Q125" s="72"/>
    </row>
    <row r="126" spans="1:18" ht="15" customHeight="1" x14ac:dyDescent="0.2">
      <c r="B126" s="195"/>
      <c r="C126" s="371" t="s">
        <v>133</v>
      </c>
      <c r="D126" s="170" t="s">
        <v>133</v>
      </c>
      <c r="E126" s="284" t="s">
        <v>133</v>
      </c>
      <c r="F126" s="278" t="s">
        <v>133</v>
      </c>
      <c r="G126" s="278" t="s">
        <v>133</v>
      </c>
      <c r="H126" s="286"/>
      <c r="I126" s="196" t="s">
        <v>111</v>
      </c>
      <c r="J126" s="370" t="s">
        <v>111</v>
      </c>
      <c r="K126" s="370" t="s">
        <v>111</v>
      </c>
      <c r="L126" s="370" t="s">
        <v>123</v>
      </c>
      <c r="O126" s="196" t="s">
        <v>111</v>
      </c>
      <c r="P126" s="196" t="s">
        <v>111</v>
      </c>
      <c r="Q126" s="262" t="s">
        <v>111</v>
      </c>
    </row>
    <row r="127" spans="1:18" ht="15" customHeight="1" x14ac:dyDescent="0.2">
      <c r="B127" s="195"/>
      <c r="C127" s="372" t="s">
        <v>117</v>
      </c>
      <c r="D127" s="163" t="s">
        <v>118</v>
      </c>
      <c r="E127" s="196" t="s">
        <v>109</v>
      </c>
      <c r="F127" s="183" t="s">
        <v>110</v>
      </c>
      <c r="G127" s="183" t="s">
        <v>112</v>
      </c>
      <c r="H127" s="212" t="s">
        <v>105</v>
      </c>
      <c r="I127" s="196" t="s">
        <v>114</v>
      </c>
      <c r="J127" s="370" t="s">
        <v>114</v>
      </c>
      <c r="K127" s="370" t="s">
        <v>115</v>
      </c>
      <c r="L127" s="370" t="s">
        <v>114</v>
      </c>
      <c r="O127" s="196" t="s">
        <v>114</v>
      </c>
      <c r="P127" s="196" t="s">
        <v>115</v>
      </c>
      <c r="Q127" s="163" t="s">
        <v>118</v>
      </c>
    </row>
    <row r="128" spans="1:18" ht="15" customHeight="1" x14ac:dyDescent="0.2">
      <c r="B128" s="195" t="s">
        <v>39</v>
      </c>
      <c r="C128" s="192" t="s">
        <v>131</v>
      </c>
      <c r="D128" s="192" t="s">
        <v>131</v>
      </c>
      <c r="E128" s="285" t="s">
        <v>131</v>
      </c>
      <c r="F128" s="331" t="s">
        <v>130</v>
      </c>
      <c r="G128" s="331" t="s">
        <v>130</v>
      </c>
      <c r="H128" s="332" t="s">
        <v>131</v>
      </c>
      <c r="I128" s="196" t="s">
        <v>120</v>
      </c>
      <c r="J128" s="370" t="s">
        <v>180</v>
      </c>
      <c r="K128" s="370" t="s">
        <v>120</v>
      </c>
      <c r="L128" s="370" t="s">
        <v>223</v>
      </c>
      <c r="O128" s="196" t="s">
        <v>120</v>
      </c>
      <c r="P128" s="196" t="s">
        <v>120</v>
      </c>
      <c r="Q128" s="196" t="s">
        <v>120</v>
      </c>
      <c r="R128" s="345" t="s">
        <v>206</v>
      </c>
    </row>
    <row r="129" spans="1:18" ht="15" customHeight="1" x14ac:dyDescent="0.2">
      <c r="B129" s="185">
        <v>1</v>
      </c>
      <c r="C129" s="198">
        <f>(D129-L129)</f>
        <v>42.41</v>
      </c>
      <c r="D129" s="198">
        <f>(F129+G129+J129+K129)</f>
        <v>115.41</v>
      </c>
      <c r="E129" s="198">
        <f>F129+G129</f>
        <v>22.61</v>
      </c>
      <c r="F129" s="198">
        <f t="shared" ref="F129:G138" si="16">F101</f>
        <v>22.3</v>
      </c>
      <c r="G129" s="254">
        <f t="shared" si="16"/>
        <v>0.31</v>
      </c>
      <c r="H129" s="234">
        <f>G129/E129</f>
        <v>1.3710747456877488E-2</v>
      </c>
      <c r="I129" s="320">
        <v>80.8</v>
      </c>
      <c r="J129" s="320">
        <v>80.8</v>
      </c>
      <c r="K129" s="320">
        <v>12</v>
      </c>
      <c r="L129" s="320">
        <v>73</v>
      </c>
      <c r="O129" s="320">
        <v>80.8</v>
      </c>
      <c r="P129" s="320">
        <v>12</v>
      </c>
      <c r="Q129" s="323">
        <v>115</v>
      </c>
      <c r="R129" s="263">
        <f t="shared" ref="R129:R138" si="17">Q129-D129</f>
        <v>-0.40999999999999659</v>
      </c>
    </row>
    <row r="130" spans="1:18" ht="15" customHeight="1" x14ac:dyDescent="0.2">
      <c r="B130" s="185">
        <v>2</v>
      </c>
      <c r="C130" s="199">
        <f t="shared" ref="C130:C138" si="18">(D130-L130)</f>
        <v>64.986000000000018</v>
      </c>
      <c r="D130" s="199">
        <f t="shared" ref="D130:D138" si="19">(F130+G130+J130+K130)</f>
        <v>137.98600000000002</v>
      </c>
      <c r="E130" s="199">
        <f t="shared" ref="E130:E135" si="20">F130+G130</f>
        <v>46.186</v>
      </c>
      <c r="F130" s="199">
        <f t="shared" si="16"/>
        <v>44.8</v>
      </c>
      <c r="G130" s="255">
        <f t="shared" si="16"/>
        <v>1.3859999999999999</v>
      </c>
      <c r="H130" s="235">
        <f t="shared" ref="H130:H138" si="21">G130/E130</f>
        <v>3.000909366474689E-2</v>
      </c>
      <c r="I130" s="321">
        <v>80.5</v>
      </c>
      <c r="J130" s="321">
        <v>80.5</v>
      </c>
      <c r="K130" s="321">
        <v>11.3</v>
      </c>
      <c r="L130" s="321">
        <v>73</v>
      </c>
      <c r="O130" s="321">
        <v>80.5</v>
      </c>
      <c r="P130" s="321">
        <v>11.3</v>
      </c>
      <c r="Q130" s="324">
        <v>137</v>
      </c>
      <c r="R130" s="263">
        <f t="shared" si="17"/>
        <v>-0.98600000000001842</v>
      </c>
    </row>
    <row r="131" spans="1:18" ht="15" customHeight="1" x14ac:dyDescent="0.2">
      <c r="B131" s="185">
        <v>3</v>
      </c>
      <c r="C131" s="200">
        <f t="shared" si="18"/>
        <v>84.456000000000017</v>
      </c>
      <c r="D131" s="200">
        <f t="shared" si="19"/>
        <v>157.45600000000002</v>
      </c>
      <c r="E131" s="200">
        <f t="shared" si="20"/>
        <v>64.956000000000003</v>
      </c>
      <c r="F131" s="200">
        <f t="shared" si="16"/>
        <v>62</v>
      </c>
      <c r="G131" s="256">
        <f t="shared" si="16"/>
        <v>2.956</v>
      </c>
      <c r="H131" s="236">
        <f t="shared" si="21"/>
        <v>4.5507728308393371E-2</v>
      </c>
      <c r="I131" s="322">
        <v>80</v>
      </c>
      <c r="J131" s="322">
        <v>80</v>
      </c>
      <c r="K131" s="322">
        <v>12.5</v>
      </c>
      <c r="L131" s="322">
        <v>73</v>
      </c>
      <c r="O131" s="322">
        <v>80</v>
      </c>
      <c r="P131" s="322">
        <v>12.5</v>
      </c>
      <c r="Q131" s="325">
        <v>156</v>
      </c>
      <c r="R131" s="263">
        <f t="shared" si="17"/>
        <v>-1.4560000000000173</v>
      </c>
    </row>
    <row r="132" spans="1:18" ht="15" customHeight="1" x14ac:dyDescent="0.2">
      <c r="B132" s="185">
        <v>4</v>
      </c>
      <c r="C132" s="200">
        <f t="shared" si="18"/>
        <v>101.51200000000003</v>
      </c>
      <c r="D132" s="200">
        <f t="shared" si="19"/>
        <v>174.51200000000003</v>
      </c>
      <c r="E132" s="200">
        <f t="shared" si="20"/>
        <v>80.412000000000006</v>
      </c>
      <c r="F132" s="200">
        <f t="shared" si="16"/>
        <v>75.5</v>
      </c>
      <c r="G132" s="256">
        <f t="shared" si="16"/>
        <v>4.9119999999999999</v>
      </c>
      <c r="H132" s="236">
        <f t="shared" si="21"/>
        <v>6.1085410137790376E-2</v>
      </c>
      <c r="I132" s="322">
        <v>79.7</v>
      </c>
      <c r="J132" s="322">
        <v>79.7</v>
      </c>
      <c r="K132" s="322">
        <v>14.4</v>
      </c>
      <c r="L132" s="322">
        <v>73</v>
      </c>
      <c r="O132" s="322">
        <v>79.7</v>
      </c>
      <c r="P132" s="322">
        <v>14.4</v>
      </c>
      <c r="Q132" s="325">
        <v>172</v>
      </c>
      <c r="R132" s="263">
        <f t="shared" si="17"/>
        <v>-2.5120000000000289</v>
      </c>
    </row>
    <row r="133" spans="1:18" ht="15" customHeight="1" x14ac:dyDescent="0.2">
      <c r="B133" s="185">
        <v>5</v>
      </c>
      <c r="C133" s="199">
        <f t="shared" si="18"/>
        <v>117.334</v>
      </c>
      <c r="D133" s="199">
        <f t="shared" si="19"/>
        <v>190.334</v>
      </c>
      <c r="E133" s="199">
        <f t="shared" si="20"/>
        <v>98.433999999999997</v>
      </c>
      <c r="F133" s="199">
        <f t="shared" si="16"/>
        <v>91.1</v>
      </c>
      <c r="G133" s="255">
        <f t="shared" si="16"/>
        <v>7.3339999999999996</v>
      </c>
      <c r="H133" s="235">
        <f t="shared" si="21"/>
        <v>7.4506776113944365E-2</v>
      </c>
      <c r="I133" s="321">
        <v>79.599999999999994</v>
      </c>
      <c r="J133" s="321">
        <v>79.599999999999994</v>
      </c>
      <c r="K133" s="321">
        <v>12.3</v>
      </c>
      <c r="L133" s="321">
        <v>73</v>
      </c>
      <c r="O133" s="321">
        <v>79.599999999999994</v>
      </c>
      <c r="P133" s="321">
        <v>12.3</v>
      </c>
      <c r="Q133" s="324">
        <v>187</v>
      </c>
      <c r="R133" s="263">
        <f t="shared" si="17"/>
        <v>-3.3340000000000032</v>
      </c>
    </row>
    <row r="134" spans="1:18" ht="15" customHeight="1" x14ac:dyDescent="0.2">
      <c r="B134" s="185">
        <v>10</v>
      </c>
      <c r="C134" s="200">
        <f t="shared" si="18"/>
        <v>187.16399999999999</v>
      </c>
      <c r="D134" s="200">
        <f t="shared" si="19"/>
        <v>260.16399999999999</v>
      </c>
      <c r="E134" s="200">
        <f t="shared" si="20"/>
        <v>168.86399999999998</v>
      </c>
      <c r="F134" s="200">
        <f t="shared" si="16"/>
        <v>150.69999999999999</v>
      </c>
      <c r="G134" s="256">
        <f t="shared" si="16"/>
        <v>18.164000000000001</v>
      </c>
      <c r="H134" s="236">
        <f t="shared" si="21"/>
        <v>0.1075658518097404</v>
      </c>
      <c r="I134" s="322">
        <v>79.7</v>
      </c>
      <c r="J134" s="322">
        <v>79.7</v>
      </c>
      <c r="K134" s="322">
        <v>11.6</v>
      </c>
      <c r="L134" s="322">
        <v>73</v>
      </c>
      <c r="O134" s="322">
        <v>79.7</v>
      </c>
      <c r="P134" s="322">
        <v>11.6</v>
      </c>
      <c r="Q134" s="325">
        <v>257</v>
      </c>
      <c r="R134" s="263">
        <f t="shared" si="17"/>
        <v>-3.1639999999999873</v>
      </c>
    </row>
    <row r="135" spans="1:18" ht="15" customHeight="1" x14ac:dyDescent="0.2">
      <c r="B135" s="185">
        <v>20</v>
      </c>
      <c r="C135" s="200">
        <f t="shared" si="18"/>
        <v>307.79299999999995</v>
      </c>
      <c r="D135" s="200">
        <f t="shared" si="19"/>
        <v>380.79299999999995</v>
      </c>
      <c r="E135" s="200">
        <f t="shared" si="20"/>
        <v>289.89299999999997</v>
      </c>
      <c r="F135" s="200">
        <f t="shared" si="16"/>
        <v>252.2</v>
      </c>
      <c r="G135" s="256">
        <f t="shared" si="16"/>
        <v>37.692999999999998</v>
      </c>
      <c r="H135" s="236">
        <f t="shared" si="21"/>
        <v>0.13002383638100956</v>
      </c>
      <c r="I135" s="322">
        <v>79.599999999999994</v>
      </c>
      <c r="J135" s="322">
        <v>79.599999999999994</v>
      </c>
      <c r="K135" s="322">
        <v>11.3</v>
      </c>
      <c r="L135" s="322">
        <v>73</v>
      </c>
      <c r="O135" s="322">
        <v>79.599999999999994</v>
      </c>
      <c r="P135" s="322">
        <v>11.3</v>
      </c>
      <c r="Q135" s="325">
        <v>385</v>
      </c>
      <c r="R135" s="263">
        <f t="shared" si="17"/>
        <v>4.2070000000000505</v>
      </c>
    </row>
    <row r="136" spans="1:18" ht="15" customHeight="1" x14ac:dyDescent="0.2">
      <c r="B136" s="185">
        <v>30</v>
      </c>
      <c r="C136" s="200">
        <f t="shared" si="18"/>
        <v>411.43100000000004</v>
      </c>
      <c r="D136" s="200">
        <f t="shared" si="19"/>
        <v>484.43100000000004</v>
      </c>
      <c r="E136" s="200">
        <f>F136+G136</f>
        <v>390.93100000000004</v>
      </c>
      <c r="F136" s="200">
        <f t="shared" si="16"/>
        <v>340.1</v>
      </c>
      <c r="G136" s="256">
        <f t="shared" si="16"/>
        <v>50.831000000000003</v>
      </c>
      <c r="H136" s="236">
        <f t="shared" si="21"/>
        <v>0.13002550322179618</v>
      </c>
      <c r="I136" s="322">
        <v>80</v>
      </c>
      <c r="J136" s="322">
        <v>80</v>
      </c>
      <c r="K136" s="322">
        <v>13.5</v>
      </c>
      <c r="L136" s="322">
        <v>73</v>
      </c>
      <c r="O136" s="322">
        <v>80</v>
      </c>
      <c r="P136" s="322">
        <v>13.5</v>
      </c>
      <c r="Q136" s="325">
        <v>491</v>
      </c>
      <c r="R136" s="263">
        <f t="shared" si="17"/>
        <v>6.56899999999996</v>
      </c>
    </row>
    <row r="137" spans="1:18" ht="15" customHeight="1" x14ac:dyDescent="0.2">
      <c r="B137" s="185">
        <v>40</v>
      </c>
      <c r="C137" s="200">
        <f t="shared" si="18"/>
        <v>506.33100000000002</v>
      </c>
      <c r="D137" s="200">
        <f t="shared" si="19"/>
        <v>579.33100000000002</v>
      </c>
      <c r="E137" s="200">
        <f t="shared" ref="E137:E138" si="22">F137+G137</f>
        <v>483.23099999999999</v>
      </c>
      <c r="F137" s="200">
        <f t="shared" si="16"/>
        <v>420.4</v>
      </c>
      <c r="G137" s="256">
        <f t="shared" si="16"/>
        <v>62.831000000000003</v>
      </c>
      <c r="H137" s="236">
        <f t="shared" si="21"/>
        <v>0.13002270135814964</v>
      </c>
      <c r="I137" s="322">
        <v>81.099999999999994</v>
      </c>
      <c r="J137" s="322">
        <v>81.099999999999994</v>
      </c>
      <c r="K137" s="322">
        <v>15</v>
      </c>
      <c r="L137" s="322">
        <v>73</v>
      </c>
      <c r="O137" s="322">
        <v>81.099999999999994</v>
      </c>
      <c r="P137" s="322">
        <v>15</v>
      </c>
      <c r="Q137" s="325">
        <v>586</v>
      </c>
      <c r="R137" s="263">
        <f t="shared" si="17"/>
        <v>6.6689999999999827</v>
      </c>
    </row>
    <row r="138" spans="1:18" ht="15" customHeight="1" x14ac:dyDescent="0.2">
      <c r="B138" s="185">
        <v>50</v>
      </c>
      <c r="C138" s="199">
        <f t="shared" si="18"/>
        <v>597.02700000000004</v>
      </c>
      <c r="D138" s="199">
        <f t="shared" si="19"/>
        <v>670.02700000000004</v>
      </c>
      <c r="E138" s="199">
        <f t="shared" si="22"/>
        <v>572.42700000000002</v>
      </c>
      <c r="F138" s="199">
        <f t="shared" si="16"/>
        <v>498</v>
      </c>
      <c r="G138" s="255">
        <f t="shared" si="16"/>
        <v>74.427000000000007</v>
      </c>
      <c r="H138" s="235">
        <f t="shared" si="21"/>
        <v>0.1300200724284494</v>
      </c>
      <c r="I138" s="321">
        <v>82.7</v>
      </c>
      <c r="J138" s="321">
        <v>82.7</v>
      </c>
      <c r="K138" s="321">
        <v>14.9</v>
      </c>
      <c r="L138" s="321">
        <v>73</v>
      </c>
      <c r="O138" s="321">
        <v>82.7</v>
      </c>
      <c r="P138" s="321">
        <v>14.9</v>
      </c>
      <c r="Q138" s="324">
        <v>677</v>
      </c>
      <c r="R138" s="263">
        <f t="shared" si="17"/>
        <v>6.9729999999999563</v>
      </c>
    </row>
    <row r="139" spans="1:18" ht="15" customHeight="1" x14ac:dyDescent="0.2">
      <c r="I139" s="72"/>
    </row>
    <row r="140" spans="1:18" ht="15" customHeight="1" x14ac:dyDescent="0.2">
      <c r="I140" s="72"/>
    </row>
    <row r="141" spans="1:18" x14ac:dyDescent="0.2">
      <c r="A141" s="169" t="s">
        <v>159</v>
      </c>
      <c r="B141" s="143" t="s">
        <v>160</v>
      </c>
      <c r="I141" s="72"/>
    </row>
    <row r="142" spans="1:18" ht="15" customHeight="1" x14ac:dyDescent="0.2"/>
    <row r="143" spans="1:18" ht="15" customHeight="1" x14ac:dyDescent="0.2">
      <c r="B143" s="169" t="s">
        <v>168</v>
      </c>
      <c r="C143" s="83"/>
      <c r="I143" s="72"/>
    </row>
    <row r="144" spans="1:18" ht="15" customHeight="1" x14ac:dyDescent="0.2">
      <c r="B144" s="143" t="s">
        <v>169</v>
      </c>
      <c r="C144" s="83"/>
      <c r="D144" s="83"/>
      <c r="E144" s="83"/>
      <c r="F144" s="83"/>
      <c r="G144" s="83"/>
      <c r="H144" s="83"/>
      <c r="I144" s="83"/>
      <c r="J144" s="83"/>
      <c r="K144" s="83"/>
      <c r="L144" s="83"/>
      <c r="Q144" s="54" t="s">
        <v>245</v>
      </c>
    </row>
    <row r="145" spans="2:19" ht="15" customHeight="1" x14ac:dyDescent="0.2">
      <c r="B145" s="169" t="s">
        <v>170</v>
      </c>
      <c r="C145" s="83"/>
      <c r="D145" s="83"/>
      <c r="E145" s="83"/>
      <c r="F145" s="385" t="s">
        <v>230</v>
      </c>
      <c r="G145" s="83"/>
      <c r="H145" s="83"/>
      <c r="I145" s="54" t="s">
        <v>62</v>
      </c>
      <c r="J145" s="83"/>
      <c r="K145" s="83"/>
      <c r="Q145" s="54" t="s">
        <v>246</v>
      </c>
    </row>
    <row r="146" spans="2:19" ht="15" customHeight="1" x14ac:dyDescent="0.2">
      <c r="D146" s="118"/>
      <c r="H146" s="59" t="s">
        <v>23</v>
      </c>
      <c r="I146" s="60"/>
      <c r="J146" s="60"/>
      <c r="K146" s="61"/>
      <c r="L146" s="59" t="s">
        <v>29</v>
      </c>
      <c r="M146" s="60"/>
      <c r="N146" s="61"/>
      <c r="O146" s="163"/>
      <c r="P146" s="170" t="s">
        <v>133</v>
      </c>
      <c r="Q146" t="s">
        <v>194</v>
      </c>
    </row>
    <row r="147" spans="2:19" ht="15" customHeight="1" x14ac:dyDescent="0.2">
      <c r="C147" s="84"/>
      <c r="D147" s="119"/>
      <c r="F147" s="383" t="s">
        <v>161</v>
      </c>
      <c r="G147" s="380" t="s">
        <v>196</v>
      </c>
      <c r="H147" s="35" t="s">
        <v>24</v>
      </c>
      <c r="I147" s="238" t="s">
        <v>104</v>
      </c>
      <c r="J147" s="21"/>
      <c r="K147" s="22"/>
      <c r="L147" s="35" t="s">
        <v>30</v>
      </c>
      <c r="M147" s="238" t="s">
        <v>117</v>
      </c>
      <c r="N147" s="43"/>
      <c r="O147" s="163"/>
      <c r="P147" s="174" t="s">
        <v>117</v>
      </c>
      <c r="Q147" s="333" t="e">
        <f>P147/M147</f>
        <v>#DIV/0!</v>
      </c>
      <c r="R147" s="333" t="e">
        <f>G147*Q147</f>
        <v>#DIV/0!</v>
      </c>
      <c r="S147" s="346" t="s">
        <v>207</v>
      </c>
    </row>
    <row r="148" spans="2:19" ht="15" customHeight="1" x14ac:dyDescent="0.2">
      <c r="B148" s="335" t="s">
        <v>15</v>
      </c>
      <c r="C148" s="336"/>
      <c r="D148" s="337"/>
      <c r="E148" s="382" t="s">
        <v>39</v>
      </c>
      <c r="F148" s="384" t="s">
        <v>61</v>
      </c>
      <c r="G148" s="381" t="s">
        <v>197</v>
      </c>
      <c r="H148" s="37" t="s">
        <v>25</v>
      </c>
      <c r="I148" s="38" t="s">
        <v>27</v>
      </c>
      <c r="J148" s="1"/>
      <c r="K148" s="39"/>
      <c r="L148" s="37" t="s">
        <v>31</v>
      </c>
      <c r="M148" s="38" t="s">
        <v>33</v>
      </c>
      <c r="N148" s="25"/>
      <c r="O148" s="163" t="s">
        <v>39</v>
      </c>
      <c r="P148" s="192" t="s">
        <v>131</v>
      </c>
      <c r="Q148" s="344" t="s">
        <v>192</v>
      </c>
      <c r="R148" s="344" t="s">
        <v>193</v>
      </c>
    </row>
    <row r="149" spans="2:19" ht="15" customHeight="1" x14ac:dyDescent="0.2">
      <c r="B149" s="338" t="s">
        <v>16</v>
      </c>
      <c r="C149" s="24" t="s">
        <v>19</v>
      </c>
      <c r="D149" s="339">
        <v>2.46</v>
      </c>
      <c r="E149" s="334">
        <v>1</v>
      </c>
      <c r="F149" s="328">
        <v>1.0983570292161815</v>
      </c>
      <c r="G149" s="201">
        <v>1.1604868646382347</v>
      </c>
      <c r="H149" s="62">
        <f>(D150*2.20462*25.4*12)</f>
        <v>3359.8408799999997</v>
      </c>
      <c r="I149" s="14">
        <f t="shared" ref="I149:I158" si="23">F149*D$149*SQRT(4*D$151*H$149/32.2)/12</f>
        <v>42.410000000000004</v>
      </c>
      <c r="J149" s="1"/>
      <c r="K149" s="39"/>
      <c r="L149" s="175">
        <v>1</v>
      </c>
      <c r="M149" s="171">
        <f>L149*I149</f>
        <v>42.410000000000004</v>
      </c>
      <c r="N149" s="25"/>
      <c r="O149" s="163">
        <v>1</v>
      </c>
      <c r="P149" s="171">
        <f>C129</f>
        <v>42.41</v>
      </c>
      <c r="Q149" s="333">
        <v>0.94646226741961337</v>
      </c>
      <c r="R149" s="333">
        <v>1.0983570292161815</v>
      </c>
      <c r="S149" s="346" t="s">
        <v>215</v>
      </c>
    </row>
    <row r="150" spans="2:19" ht="15" customHeight="1" x14ac:dyDescent="0.2">
      <c r="B150" s="338" t="s">
        <v>17</v>
      </c>
      <c r="C150" s="24" t="s">
        <v>20</v>
      </c>
      <c r="D150" s="339">
        <v>5</v>
      </c>
      <c r="E150" s="334">
        <v>2</v>
      </c>
      <c r="F150" s="329">
        <v>0.84152122023865594</v>
      </c>
      <c r="G150" s="202">
        <v>0.91778073251327541</v>
      </c>
      <c r="H150" s="63"/>
      <c r="I150" s="14">
        <f t="shared" si="23"/>
        <v>32.493000000000009</v>
      </c>
      <c r="J150" s="1"/>
      <c r="K150" s="39"/>
      <c r="L150" s="176">
        <v>2</v>
      </c>
      <c r="M150" s="172">
        <f t="shared" ref="M150:M158" si="24">L150*I150</f>
        <v>64.986000000000018</v>
      </c>
      <c r="N150" s="25"/>
      <c r="O150" s="163">
        <v>2</v>
      </c>
      <c r="P150" s="172">
        <f t="shared" ref="P150:P158" si="25">C130</f>
        <v>64.986000000000018</v>
      </c>
      <c r="Q150" s="333">
        <v>0.91690878924229713</v>
      </c>
      <c r="R150" s="333">
        <v>0.84152122023865594</v>
      </c>
      <c r="S150" s="346" t="s">
        <v>216</v>
      </c>
    </row>
    <row r="151" spans="2:19" ht="15" customHeight="1" x14ac:dyDescent="0.2">
      <c r="B151" s="340" t="s">
        <v>18</v>
      </c>
      <c r="C151" s="341" t="s">
        <v>28</v>
      </c>
      <c r="D151" s="342">
        <v>85</v>
      </c>
      <c r="E151" s="334">
        <v>3</v>
      </c>
      <c r="F151" s="328">
        <v>0.72909566344008381</v>
      </c>
      <c r="G151" s="201">
        <v>0.81823807686050931</v>
      </c>
      <c r="H151" s="63"/>
      <c r="I151" s="14">
        <f t="shared" si="23"/>
        <v>28.152000000000012</v>
      </c>
      <c r="J151" s="1"/>
      <c r="K151" s="39"/>
      <c r="L151" s="177">
        <v>3</v>
      </c>
      <c r="M151" s="173">
        <f t="shared" si="24"/>
        <v>84.456000000000031</v>
      </c>
      <c r="N151" s="25"/>
      <c r="O151" s="163">
        <v>3</v>
      </c>
      <c r="P151" s="173">
        <f t="shared" si="25"/>
        <v>84.456000000000017</v>
      </c>
      <c r="Q151" s="333">
        <v>0.89105565245453344</v>
      </c>
      <c r="R151" s="333">
        <v>0.72909566344008381</v>
      </c>
    </row>
    <row r="152" spans="2:19" ht="15" customHeight="1" x14ac:dyDescent="0.2">
      <c r="E152" s="58">
        <v>4</v>
      </c>
      <c r="F152" s="328">
        <v>0.65725311689338028</v>
      </c>
      <c r="G152" s="201">
        <v>0.75688394959087935</v>
      </c>
      <c r="H152" s="63"/>
      <c r="I152" s="14">
        <f t="shared" si="23"/>
        <v>25.378</v>
      </c>
      <c r="J152" s="1"/>
      <c r="K152" s="39"/>
      <c r="L152" s="177">
        <v>4</v>
      </c>
      <c r="M152" s="173">
        <f t="shared" si="24"/>
        <v>101.512</v>
      </c>
      <c r="N152" s="25"/>
      <c r="O152" s="163">
        <v>4</v>
      </c>
      <c r="P152" s="173">
        <f t="shared" si="25"/>
        <v>101.51200000000003</v>
      </c>
      <c r="Q152" s="333">
        <v>0.86836709544263324</v>
      </c>
      <c r="R152" s="333">
        <v>0.65725311689338028</v>
      </c>
    </row>
    <row r="153" spans="2:19" ht="15" customHeight="1" x14ac:dyDescent="0.2">
      <c r="B153" s="347" t="s">
        <v>209</v>
      </c>
      <c r="E153" s="58">
        <v>5</v>
      </c>
      <c r="F153" s="329">
        <v>0.60775582959703578</v>
      </c>
      <c r="G153" s="202">
        <v>0.71105616136188121</v>
      </c>
      <c r="H153" s="63"/>
      <c r="I153" s="14">
        <f t="shared" si="23"/>
        <v>23.466799999999996</v>
      </c>
      <c r="J153" s="1"/>
      <c r="K153" s="39"/>
      <c r="L153" s="176">
        <v>5</v>
      </c>
      <c r="M153" s="172">
        <f t="shared" si="24"/>
        <v>117.33399999999997</v>
      </c>
      <c r="N153" s="25"/>
      <c r="O153" s="163">
        <v>5</v>
      </c>
      <c r="P153" s="172">
        <f t="shared" si="25"/>
        <v>117.334</v>
      </c>
      <c r="Q153" s="333">
        <v>0.85472268242919802</v>
      </c>
      <c r="R153" s="333">
        <v>0.60775582959703578</v>
      </c>
    </row>
    <row r="154" spans="2:19" ht="15" customHeight="1" x14ac:dyDescent="0.2">
      <c r="B154" s="85" t="s">
        <v>208</v>
      </c>
      <c r="E154" s="58">
        <v>10</v>
      </c>
      <c r="F154" s="328">
        <v>0.48472741102621414</v>
      </c>
      <c r="G154" s="201">
        <v>0.57043422254909637</v>
      </c>
      <c r="H154" s="63"/>
      <c r="I154" s="14">
        <f t="shared" si="23"/>
        <v>18.7164</v>
      </c>
      <c r="J154" s="1"/>
      <c r="K154" s="39"/>
      <c r="L154" s="177">
        <v>10</v>
      </c>
      <c r="M154" s="173">
        <f t="shared" si="24"/>
        <v>187.16399999999999</v>
      </c>
      <c r="N154" s="25"/>
      <c r="O154" s="163">
        <v>10</v>
      </c>
      <c r="P154" s="173">
        <f t="shared" si="25"/>
        <v>187.16399999999999</v>
      </c>
      <c r="Q154" s="333">
        <v>0.84975163106469198</v>
      </c>
      <c r="R154" s="333">
        <v>0.48472741102621414</v>
      </c>
    </row>
    <row r="155" spans="2:19" ht="15" customHeight="1" x14ac:dyDescent="0.2">
      <c r="E155" s="58">
        <v>20</v>
      </c>
      <c r="F155" s="328">
        <v>0.3985694471746476</v>
      </c>
      <c r="G155" s="201">
        <v>0.46903075536180089</v>
      </c>
      <c r="H155" s="63"/>
      <c r="I155" s="14">
        <f t="shared" si="23"/>
        <v>15.389649999999996</v>
      </c>
      <c r="J155" s="1"/>
      <c r="K155" s="39"/>
      <c r="L155" s="177">
        <v>20</v>
      </c>
      <c r="M155" s="173">
        <f t="shared" si="24"/>
        <v>307.79299999999989</v>
      </c>
      <c r="N155" s="25"/>
      <c r="O155" s="163">
        <v>20</v>
      </c>
      <c r="P155" s="173">
        <f t="shared" si="25"/>
        <v>307.79299999999995</v>
      </c>
      <c r="Q155" s="333">
        <v>0.84977252049750795</v>
      </c>
      <c r="R155" s="333">
        <v>0.3985694471746476</v>
      </c>
    </row>
    <row r="156" spans="2:19" ht="15" customHeight="1" x14ac:dyDescent="0.2">
      <c r="E156" s="58">
        <v>30</v>
      </c>
      <c r="F156" s="328">
        <v>0.35518205681635057</v>
      </c>
      <c r="G156" s="201">
        <v>0.41724131523590352</v>
      </c>
      <c r="H156" s="63"/>
      <c r="I156" s="14">
        <f t="shared" si="23"/>
        <v>13.714366666666669</v>
      </c>
      <c r="J156" s="1"/>
      <c r="K156" s="39"/>
      <c r="L156" s="177">
        <v>30</v>
      </c>
      <c r="M156" s="173">
        <f>L156*I156</f>
        <v>411.43100000000004</v>
      </c>
      <c r="N156" s="25"/>
      <c r="O156" s="163">
        <v>30</v>
      </c>
      <c r="P156" s="173">
        <f t="shared" si="25"/>
        <v>411.43100000000004</v>
      </c>
      <c r="Q156" s="333">
        <v>0.85126291152527556</v>
      </c>
      <c r="R156" s="333">
        <v>0.35518205681635057</v>
      </c>
    </row>
    <row r="157" spans="2:19" ht="15" customHeight="1" x14ac:dyDescent="0.2">
      <c r="E157" s="58">
        <v>40</v>
      </c>
      <c r="F157" s="328">
        <v>0.327830825842996</v>
      </c>
      <c r="G157" s="201">
        <v>0.38292441080101092</v>
      </c>
      <c r="H157" s="63"/>
      <c r="I157" s="14">
        <f t="shared" si="23"/>
        <v>12.658274999999998</v>
      </c>
      <c r="J157" s="1"/>
      <c r="K157" s="39"/>
      <c r="L157" s="177">
        <v>40</v>
      </c>
      <c r="M157" s="173">
        <f t="shared" si="24"/>
        <v>506.3309999999999</v>
      </c>
      <c r="N157" s="25"/>
      <c r="O157" s="163">
        <v>40</v>
      </c>
      <c r="P157" s="205">
        <f t="shared" si="25"/>
        <v>506.33100000000002</v>
      </c>
      <c r="Q157" s="333">
        <v>0.85612412422919504</v>
      </c>
      <c r="R157" s="333">
        <v>0.327830825842996</v>
      </c>
    </row>
    <row r="158" spans="2:19" ht="15" customHeight="1" x14ac:dyDescent="0.2">
      <c r="E158" s="58">
        <v>50</v>
      </c>
      <c r="F158" s="329">
        <v>0.30924253811924035</v>
      </c>
      <c r="G158" s="202">
        <v>0.35771584232645182</v>
      </c>
      <c r="H158" s="64"/>
      <c r="I158" s="41">
        <f t="shared" si="23"/>
        <v>11.940539999999999</v>
      </c>
      <c r="J158" s="42"/>
      <c r="K158" s="31"/>
      <c r="L158" s="178">
        <v>50</v>
      </c>
      <c r="M158" s="179">
        <f t="shared" si="24"/>
        <v>597.02699999999993</v>
      </c>
      <c r="N158" s="28"/>
      <c r="O158" s="186">
        <v>50</v>
      </c>
      <c r="P158" s="206">
        <f t="shared" si="25"/>
        <v>597.02700000000004</v>
      </c>
      <c r="Q158" s="333">
        <v>0.86449215139044733</v>
      </c>
      <c r="R158" s="333">
        <v>0.30924253811924035</v>
      </c>
    </row>
    <row r="159" spans="2:19" ht="15" customHeight="1" x14ac:dyDescent="0.2">
      <c r="E159" s="3"/>
      <c r="F159" s="239"/>
      <c r="G159" s="239"/>
      <c r="H159" s="83"/>
      <c r="I159" s="240"/>
      <c r="J159" s="83"/>
      <c r="K159" s="83"/>
      <c r="L159" s="241"/>
      <c r="M159" s="241"/>
      <c r="N159" s="145"/>
      <c r="O159" s="242"/>
      <c r="P159" s="241"/>
    </row>
    <row r="160" spans="2:19" ht="15" customHeight="1" x14ac:dyDescent="0.2">
      <c r="E160" s="3"/>
      <c r="F160" s="239"/>
      <c r="G160" s="239"/>
      <c r="H160" s="83"/>
      <c r="I160" s="240"/>
      <c r="J160" s="83"/>
      <c r="L160" s="241"/>
      <c r="M160" s="400"/>
      <c r="N160" s="401" t="s">
        <v>244</v>
      </c>
      <c r="P160" s="241"/>
    </row>
    <row r="161" spans="1:19" ht="15" customHeight="1" x14ac:dyDescent="0.2">
      <c r="F161" s="84"/>
      <c r="G161" s="84"/>
      <c r="H161" s="84"/>
      <c r="I161" s="84"/>
      <c r="J161" s="84"/>
      <c r="K161" s="84"/>
      <c r="L161" s="84"/>
      <c r="M161" s="84"/>
      <c r="N161" s="84"/>
      <c r="O161" s="84"/>
      <c r="P161" s="84"/>
    </row>
    <row r="162" spans="1:19" ht="15" customHeight="1" x14ac:dyDescent="0.2">
      <c r="A162" s="169" t="s">
        <v>162</v>
      </c>
      <c r="B162" s="143" t="s">
        <v>163</v>
      </c>
    </row>
    <row r="163" spans="1:19" ht="15" customHeight="1" x14ac:dyDescent="0.2">
      <c r="B163" s="169" t="s">
        <v>164</v>
      </c>
    </row>
    <row r="164" spans="1:19" ht="15" customHeight="1" x14ac:dyDescent="0.2">
      <c r="B164" s="169"/>
    </row>
    <row r="165" spans="1:19" ht="15" customHeight="1" x14ac:dyDescent="0.2">
      <c r="B165" s="169"/>
      <c r="F165" s="1"/>
    </row>
    <row r="166" spans="1:19" ht="15" customHeight="1" x14ac:dyDescent="0.2">
      <c r="B166" s="143"/>
      <c r="J166" s="143" t="s">
        <v>165</v>
      </c>
    </row>
    <row r="167" spans="1:19" ht="15" customHeight="1" thickBot="1" x14ac:dyDescent="0.25">
      <c r="B167" s="169"/>
      <c r="H167" s="330" t="s">
        <v>166</v>
      </c>
    </row>
    <row r="168" spans="1:19" ht="15" customHeight="1" x14ac:dyDescent="0.2">
      <c r="F168" s="196" t="s">
        <v>133</v>
      </c>
      <c r="L168" s="243" t="s">
        <v>167</v>
      </c>
      <c r="P168" s="220"/>
    </row>
    <row r="169" spans="1:19" ht="15" customHeight="1" x14ac:dyDescent="0.2">
      <c r="F169" s="196" t="s">
        <v>110</v>
      </c>
      <c r="H169" s="252" t="s">
        <v>110</v>
      </c>
      <c r="L169" s="144">
        <v>1</v>
      </c>
      <c r="M169" s="109" t="s">
        <v>24</v>
      </c>
      <c r="N169" s="203" t="s">
        <v>104</v>
      </c>
      <c r="O169" s="109" t="s">
        <v>110</v>
      </c>
      <c r="P169" s="221" t="s">
        <v>129</v>
      </c>
      <c r="S169" s="253" t="s">
        <v>174</v>
      </c>
    </row>
    <row r="170" spans="1:19" ht="15" customHeight="1" x14ac:dyDescent="0.2">
      <c r="B170" s="348">
        <f>D149</f>
        <v>2.46</v>
      </c>
      <c r="C170" s="157" t="s">
        <v>6</v>
      </c>
      <c r="D170" s="22"/>
      <c r="E170" s="5" t="s">
        <v>2</v>
      </c>
      <c r="F170" s="196" t="s">
        <v>149</v>
      </c>
      <c r="G170" s="55" t="s">
        <v>37</v>
      </c>
      <c r="H170" s="6" t="s">
        <v>68</v>
      </c>
      <c r="J170" s="72" t="s">
        <v>137</v>
      </c>
      <c r="K170" s="5" t="s">
        <v>2</v>
      </c>
      <c r="L170" s="6" t="s">
        <v>68</v>
      </c>
      <c r="M170" s="38" t="s">
        <v>25</v>
      </c>
      <c r="N170" s="204" t="s">
        <v>138</v>
      </c>
      <c r="O170" s="38" t="s">
        <v>33</v>
      </c>
      <c r="P170" s="221" t="s">
        <v>113</v>
      </c>
      <c r="Q170" s="244" t="s">
        <v>173</v>
      </c>
      <c r="R170" s="244" t="s">
        <v>136</v>
      </c>
      <c r="S170" s="251" t="s">
        <v>105</v>
      </c>
    </row>
    <row r="171" spans="1:19" ht="15" customHeight="1" x14ac:dyDescent="0.2">
      <c r="B171" s="349">
        <f t="shared" ref="B171:B172" si="26">D150</f>
        <v>5</v>
      </c>
      <c r="C171" s="1" t="s">
        <v>0</v>
      </c>
      <c r="D171" s="39"/>
      <c r="E171" s="150">
        <v>1</v>
      </c>
      <c r="F171" s="117">
        <f>F129</f>
        <v>22.3</v>
      </c>
      <c r="G171" s="101">
        <f>F171/E171</f>
        <v>22.3</v>
      </c>
      <c r="H171" s="142">
        <f t="shared" ref="H171:H180" si="27">SQRT(12*32.2*G171^2/(4*$B$172*($B$171*56)*$B$170^2))</f>
        <v>0.57752373913790434</v>
      </c>
      <c r="J171" s="142">
        <v>0.57752373913790434</v>
      </c>
      <c r="K171" s="150">
        <v>1</v>
      </c>
      <c r="L171" s="142">
        <f>J171*$L$169</f>
        <v>0.57752373913790434</v>
      </c>
      <c r="M171" s="14">
        <f>(B171*2.20462*25.4*12)</f>
        <v>3359.8408799999997</v>
      </c>
      <c r="N171" s="153">
        <f t="shared" ref="N171:N180" si="28">L171*B$170*SQRT(4*B$172*M$171/32.2)/12</f>
        <v>22.299471961605473</v>
      </c>
      <c r="O171" s="153">
        <f>K171*N171</f>
        <v>22.299471961605473</v>
      </c>
      <c r="P171" s="216">
        <f t="shared" ref="P171:P180" si="29">M101</f>
        <v>1.0139013452914798</v>
      </c>
      <c r="Q171" s="122">
        <f>P171*O171</f>
        <v>22.609464621161422</v>
      </c>
      <c r="R171" s="122">
        <f>Q171-O171</f>
        <v>0.30999265955594879</v>
      </c>
      <c r="S171" s="248">
        <f>R171/Q171</f>
        <v>1.3710747456877411E-2</v>
      </c>
    </row>
    <row r="172" spans="1:19" ht="15" customHeight="1" x14ac:dyDescent="0.2">
      <c r="B172" s="350">
        <f t="shared" si="26"/>
        <v>85</v>
      </c>
      <c r="C172" s="156" t="s">
        <v>1</v>
      </c>
      <c r="D172" s="31"/>
      <c r="E172" s="149">
        <v>2</v>
      </c>
      <c r="F172" s="116">
        <f t="shared" ref="F172:F180" si="30">F130</f>
        <v>44.8</v>
      </c>
      <c r="G172" s="100">
        <f t="shared" ref="G172:G180" si="31">F172/E172</f>
        <v>22.4</v>
      </c>
      <c r="H172" s="141">
        <f t="shared" si="27"/>
        <v>0.58011353169009217</v>
      </c>
      <c r="J172" s="141">
        <v>0.58011353169009217</v>
      </c>
      <c r="K172" s="149">
        <v>2</v>
      </c>
      <c r="L172" s="141">
        <f t="shared" ref="L172:L180" si="32">J172*$L$169</f>
        <v>0.58011353169009217</v>
      </c>
      <c r="N172" s="152">
        <f t="shared" si="28"/>
        <v>22.399469593720287</v>
      </c>
      <c r="O172" s="152">
        <f t="shared" ref="O172:O180" si="33">K172*N172</f>
        <v>44.798939187440574</v>
      </c>
      <c r="P172" s="216">
        <f t="shared" si="29"/>
        <v>1.0309375000000001</v>
      </c>
      <c r="Q172" s="121">
        <f t="shared" ref="Q172:Q180" si="34">P172*O172</f>
        <v>46.184906368552021</v>
      </c>
      <c r="R172" s="121">
        <f t="shared" ref="R172:R180" si="35">Q172-O172</f>
        <v>1.3859671811114467</v>
      </c>
      <c r="S172" s="249">
        <f t="shared" ref="S172:S180" si="36">R172/Q172</f>
        <v>3.0009093664746977E-2</v>
      </c>
    </row>
    <row r="173" spans="1:19" ht="15" customHeight="1" x14ac:dyDescent="0.2">
      <c r="E173" s="148">
        <v>3</v>
      </c>
      <c r="F173" s="105">
        <f t="shared" si="30"/>
        <v>62</v>
      </c>
      <c r="G173" s="99">
        <f t="shared" si="31"/>
        <v>20.666666666666668</v>
      </c>
      <c r="H173" s="140">
        <f t="shared" si="27"/>
        <v>0.53522379411883514</v>
      </c>
      <c r="J173" s="140">
        <v>0.53522379411883514</v>
      </c>
      <c r="K173" s="148">
        <v>3</v>
      </c>
      <c r="L173" s="140">
        <f t="shared" si="32"/>
        <v>0.53522379411883514</v>
      </c>
      <c r="N173" s="151">
        <f t="shared" si="28"/>
        <v>20.666177303730034</v>
      </c>
      <c r="O173" s="151">
        <f>K173*N173</f>
        <v>61.998531911190099</v>
      </c>
      <c r="P173" s="216">
        <f t="shared" si="29"/>
        <v>1.0476774193548388</v>
      </c>
      <c r="Q173" s="120">
        <f t="shared" si="34"/>
        <v>64.954461916504272</v>
      </c>
      <c r="R173" s="120">
        <f>Q173-O173</f>
        <v>2.9559300053141726</v>
      </c>
      <c r="S173" s="250">
        <f t="shared" si="36"/>
        <v>4.5507728308393558E-2</v>
      </c>
    </row>
    <row r="174" spans="1:19" ht="15" customHeight="1" x14ac:dyDescent="0.2">
      <c r="E174" s="148">
        <v>4</v>
      </c>
      <c r="F174" s="105">
        <f t="shared" si="30"/>
        <v>75.5</v>
      </c>
      <c r="G174" s="99">
        <f t="shared" si="31"/>
        <v>18.875</v>
      </c>
      <c r="H174" s="140">
        <f t="shared" si="27"/>
        <v>0.48882334422546836</v>
      </c>
      <c r="J174" s="140">
        <v>0.48882334422546836</v>
      </c>
      <c r="K174" s="148">
        <v>4</v>
      </c>
      <c r="L174" s="140">
        <f t="shared" si="32"/>
        <v>0.48882334422546836</v>
      </c>
      <c r="N174" s="151">
        <f t="shared" si="28"/>
        <v>18.874553061672795</v>
      </c>
      <c r="O174" s="151">
        <f t="shared" si="33"/>
        <v>75.498212246691182</v>
      </c>
      <c r="P174" s="216">
        <f t="shared" si="29"/>
        <v>1.0650596026490067</v>
      </c>
      <c r="Q174" s="120">
        <f t="shared" si="34"/>
        <v>80.410095936171274</v>
      </c>
      <c r="R174" s="120">
        <f t="shared" si="35"/>
        <v>4.9118836894800921</v>
      </c>
      <c r="S174" s="250">
        <f t="shared" si="36"/>
        <v>6.1085410137790362E-2</v>
      </c>
    </row>
    <row r="175" spans="1:19" ht="15" customHeight="1" x14ac:dyDescent="0.2">
      <c r="E175" s="149">
        <v>5</v>
      </c>
      <c r="F175" s="116">
        <f t="shared" si="30"/>
        <v>91.1</v>
      </c>
      <c r="G175" s="100">
        <f t="shared" si="31"/>
        <v>18.22</v>
      </c>
      <c r="H175" s="141">
        <f t="shared" si="27"/>
        <v>0.47186020300863751</v>
      </c>
      <c r="J175" s="141">
        <v>0.47186020300863751</v>
      </c>
      <c r="K175" s="149">
        <v>5</v>
      </c>
      <c r="L175" s="141">
        <f t="shared" si="32"/>
        <v>0.47186020300863751</v>
      </c>
      <c r="N175" s="152">
        <f t="shared" si="28"/>
        <v>18.219568571320703</v>
      </c>
      <c r="O175" s="152">
        <f t="shared" si="33"/>
        <v>91.097842856603521</v>
      </c>
      <c r="P175" s="216">
        <f t="shared" si="29"/>
        <v>1.0805049396267838</v>
      </c>
      <c r="Q175" s="121">
        <f t="shared" si="34"/>
        <v>98.431669195904632</v>
      </c>
      <c r="R175" s="121">
        <f t="shared" si="35"/>
        <v>7.3338263393011118</v>
      </c>
      <c r="S175" s="249">
        <f t="shared" si="36"/>
        <v>7.4506776113944476E-2</v>
      </c>
    </row>
    <row r="176" spans="1:19" ht="15" customHeight="1" x14ac:dyDescent="0.2">
      <c r="E176" s="148">
        <v>10</v>
      </c>
      <c r="F176" s="105">
        <f t="shared" si="30"/>
        <v>150.69999999999999</v>
      </c>
      <c r="G176" s="99">
        <f t="shared" si="31"/>
        <v>15.069999999999999</v>
      </c>
      <c r="H176" s="140">
        <f t="shared" si="27"/>
        <v>0.39028173761471824</v>
      </c>
      <c r="J176" s="140">
        <v>0.39028173761471824</v>
      </c>
      <c r="K176" s="154">
        <v>10</v>
      </c>
      <c r="L176" s="140">
        <f t="shared" si="32"/>
        <v>0.39028173761471824</v>
      </c>
      <c r="M176" s="84"/>
      <c r="N176" s="155">
        <f t="shared" si="28"/>
        <v>15.069643159703785</v>
      </c>
      <c r="O176" s="155">
        <f t="shared" si="33"/>
        <v>150.69643159703784</v>
      </c>
      <c r="P176" s="216">
        <f t="shared" si="29"/>
        <v>1.1205308560053084</v>
      </c>
      <c r="Q176" s="120">
        <f t="shared" si="34"/>
        <v>168.86000149437422</v>
      </c>
      <c r="R176" s="120">
        <f t="shared" si="35"/>
        <v>18.163569897336373</v>
      </c>
      <c r="S176" s="250">
        <f t="shared" si="36"/>
        <v>0.10756585180974024</v>
      </c>
    </row>
    <row r="177" spans="2:19" ht="15" customHeight="1" x14ac:dyDescent="0.2">
      <c r="E177" s="148">
        <v>20</v>
      </c>
      <c r="F177" s="105">
        <f t="shared" si="30"/>
        <v>252.2</v>
      </c>
      <c r="G177" s="99">
        <f t="shared" si="31"/>
        <v>12.61</v>
      </c>
      <c r="H177" s="140">
        <f t="shared" si="27"/>
        <v>0.32657284083089566</v>
      </c>
      <c r="J177" s="140">
        <v>0.32657284083089566</v>
      </c>
      <c r="K177" s="148">
        <v>20</v>
      </c>
      <c r="L177" s="140">
        <f t="shared" si="32"/>
        <v>0.32657284083089566</v>
      </c>
      <c r="N177" s="151">
        <f t="shared" si="28"/>
        <v>12.609701409679147</v>
      </c>
      <c r="O177" s="151">
        <f t="shared" si="33"/>
        <v>252.19402819358294</v>
      </c>
      <c r="P177" s="216">
        <f t="shared" si="29"/>
        <v>1.1494567803330689</v>
      </c>
      <c r="Q177" s="120">
        <f t="shared" si="34"/>
        <v>289.88613566662303</v>
      </c>
      <c r="R177" s="120">
        <f t="shared" si="35"/>
        <v>37.692107473040096</v>
      </c>
      <c r="S177" s="250">
        <f t="shared" si="36"/>
        <v>0.13002383638100942</v>
      </c>
    </row>
    <row r="178" spans="2:19" ht="15" customHeight="1" x14ac:dyDescent="0.2">
      <c r="E178" s="148">
        <v>30</v>
      </c>
      <c r="F178" s="105">
        <f t="shared" si="30"/>
        <v>340.1</v>
      </c>
      <c r="G178" s="99">
        <f t="shared" si="31"/>
        <v>11.336666666666668</v>
      </c>
      <c r="H178" s="140">
        <f t="shared" si="27"/>
        <v>0.29359614899970293</v>
      </c>
      <c r="J178" s="140">
        <v>0.29359614899970293</v>
      </c>
      <c r="K178" s="148">
        <v>30</v>
      </c>
      <c r="L178" s="140">
        <f t="shared" si="32"/>
        <v>0.29359614899970293</v>
      </c>
      <c r="N178" s="151">
        <f t="shared" si="28"/>
        <v>11.336398227417073</v>
      </c>
      <c r="O178" s="151">
        <f t="shared" si="33"/>
        <v>340.09194682251217</v>
      </c>
      <c r="P178" s="216">
        <f t="shared" si="29"/>
        <v>1.1494589826521611</v>
      </c>
      <c r="Q178" s="120">
        <f t="shared" si="34"/>
        <v>390.9217432027977</v>
      </c>
      <c r="R178" s="120">
        <f t="shared" si="35"/>
        <v>50.829796380285529</v>
      </c>
      <c r="S178" s="250">
        <f t="shared" si="36"/>
        <v>0.13002550322179612</v>
      </c>
    </row>
    <row r="179" spans="2:19" ht="15" customHeight="1" x14ac:dyDescent="0.2">
      <c r="E179" s="148">
        <v>40</v>
      </c>
      <c r="F179" s="105">
        <f t="shared" si="30"/>
        <v>420.4</v>
      </c>
      <c r="G179" s="99">
        <f t="shared" si="31"/>
        <v>10.51</v>
      </c>
      <c r="H179" s="140">
        <f t="shared" si="27"/>
        <v>0.2721871972349495</v>
      </c>
      <c r="J179" s="140">
        <v>0.2721871972349495</v>
      </c>
      <c r="K179" s="148">
        <v>40</v>
      </c>
      <c r="L179" s="140">
        <f t="shared" si="32"/>
        <v>0.2721871972349495</v>
      </c>
      <c r="N179" s="151">
        <f t="shared" si="28"/>
        <v>10.509751135267869</v>
      </c>
      <c r="O179" s="151">
        <f t="shared" si="33"/>
        <v>420.39004541071478</v>
      </c>
      <c r="P179" s="216">
        <f t="shared" si="29"/>
        <v>1.149455280685062</v>
      </c>
      <c r="Q179" s="120">
        <f t="shared" si="34"/>
        <v>483.21955764477912</v>
      </c>
      <c r="R179" s="120">
        <f t="shared" si="35"/>
        <v>62.829512234064339</v>
      </c>
      <c r="S179" s="250">
        <f t="shared" si="36"/>
        <v>0.13002270135814975</v>
      </c>
    </row>
    <row r="180" spans="2:19" ht="15" customHeight="1" thickBot="1" x14ac:dyDescent="0.25">
      <c r="E180" s="149">
        <v>50</v>
      </c>
      <c r="F180" s="116">
        <f t="shared" si="30"/>
        <v>498</v>
      </c>
      <c r="G180" s="100">
        <f t="shared" si="31"/>
        <v>9.9600000000000009</v>
      </c>
      <c r="H180" s="141">
        <f t="shared" si="27"/>
        <v>0.25794333819791604</v>
      </c>
      <c r="J180" s="141">
        <v>0.25794333819791604</v>
      </c>
      <c r="K180" s="149">
        <v>50</v>
      </c>
      <c r="L180" s="141">
        <f t="shared" si="32"/>
        <v>0.25794333819791604</v>
      </c>
      <c r="N180" s="152">
        <f t="shared" si="28"/>
        <v>9.9597641586363448</v>
      </c>
      <c r="O180" s="152">
        <f t="shared" si="33"/>
        <v>497.98820793181721</v>
      </c>
      <c r="P180" s="217">
        <f t="shared" si="29"/>
        <v>1.1494518072289157</v>
      </c>
      <c r="Q180" s="121">
        <f t="shared" si="34"/>
        <v>572.41344558591641</v>
      </c>
      <c r="R180" s="121">
        <f t="shared" si="35"/>
        <v>74.425237654099192</v>
      </c>
      <c r="S180" s="249">
        <f t="shared" si="36"/>
        <v>0.13002007242844951</v>
      </c>
    </row>
    <row r="181" spans="2:19" ht="15" customHeight="1" x14ac:dyDescent="0.2"/>
    <row r="182" spans="2:19" ht="15" customHeight="1" x14ac:dyDescent="0.2"/>
    <row r="183" spans="2:19" ht="15" customHeight="1" x14ac:dyDescent="0.2"/>
    <row r="184" spans="2:19" ht="15" customHeight="1" x14ac:dyDescent="0.2"/>
    <row r="185" spans="2:19" ht="15" customHeight="1" x14ac:dyDescent="0.2"/>
    <row r="186" spans="2:19" ht="15" customHeight="1" x14ac:dyDescent="0.2"/>
    <row r="187" spans="2:19" ht="15" customHeight="1" x14ac:dyDescent="0.2"/>
    <row r="188" spans="2:19" ht="15" customHeight="1" x14ac:dyDescent="0.2"/>
    <row r="189" spans="2:19" ht="15" customHeight="1" x14ac:dyDescent="0.2"/>
    <row r="190" spans="2:19" ht="15" customHeight="1" x14ac:dyDescent="0.2"/>
    <row r="191" spans="2:19" ht="15" customHeight="1" x14ac:dyDescent="0.2">
      <c r="F191" s="84"/>
      <c r="G191" s="84"/>
      <c r="H191" s="84"/>
      <c r="I191" s="84"/>
      <c r="J191" s="84"/>
      <c r="K191" s="84"/>
      <c r="L191" s="84"/>
      <c r="M191" s="84"/>
      <c r="N191" s="84"/>
      <c r="O191" s="84"/>
      <c r="P191" s="84"/>
    </row>
    <row r="192" spans="2:19" ht="15" customHeight="1" x14ac:dyDescent="0.2">
      <c r="B192" s="169"/>
    </row>
    <row r="193" spans="1:15" ht="15" customHeight="1" x14ac:dyDescent="0.2">
      <c r="A193" s="169" t="s">
        <v>172</v>
      </c>
      <c r="B193" s="143" t="s">
        <v>178</v>
      </c>
    </row>
    <row r="194" spans="1:15" ht="15" customHeight="1" x14ac:dyDescent="0.2"/>
    <row r="195" spans="1:15" ht="15" customHeight="1" x14ac:dyDescent="0.2">
      <c r="B195" s="169"/>
    </row>
    <row r="196" spans="1:15" ht="15" customHeight="1" x14ac:dyDescent="0.2">
      <c r="B196" s="143"/>
      <c r="J196" s="143" t="s">
        <v>165</v>
      </c>
    </row>
    <row r="197" spans="1:15" ht="15" customHeight="1" x14ac:dyDescent="0.2">
      <c r="B197" s="169"/>
      <c r="H197" s="330" t="s">
        <v>166</v>
      </c>
    </row>
    <row r="198" spans="1:15" ht="15" customHeight="1" x14ac:dyDescent="0.2">
      <c r="F198" s="196" t="s">
        <v>133</v>
      </c>
      <c r="L198" s="243" t="s">
        <v>167</v>
      </c>
    </row>
    <row r="199" spans="1:15" ht="15" customHeight="1" x14ac:dyDescent="0.2">
      <c r="F199" s="196" t="s">
        <v>112</v>
      </c>
      <c r="H199" s="252" t="s">
        <v>110</v>
      </c>
      <c r="L199" s="144">
        <v>1</v>
      </c>
      <c r="M199" s="109" t="s">
        <v>24</v>
      </c>
      <c r="N199" s="203" t="s">
        <v>104</v>
      </c>
      <c r="O199" s="260" t="s">
        <v>112</v>
      </c>
    </row>
    <row r="200" spans="1:15" ht="15" customHeight="1" x14ac:dyDescent="0.2">
      <c r="B200" s="348">
        <f>D149</f>
        <v>2.46</v>
      </c>
      <c r="C200" s="157" t="s">
        <v>6</v>
      </c>
      <c r="D200" s="22"/>
      <c r="E200" s="5" t="s">
        <v>2</v>
      </c>
      <c r="F200" s="196" t="s">
        <v>149</v>
      </c>
      <c r="G200" s="55" t="s">
        <v>37</v>
      </c>
      <c r="H200" s="6" t="s">
        <v>68</v>
      </c>
      <c r="J200" s="72" t="s">
        <v>137</v>
      </c>
      <c r="K200" s="5" t="s">
        <v>2</v>
      </c>
      <c r="L200" s="6" t="s">
        <v>68</v>
      </c>
      <c r="M200" s="38" t="s">
        <v>25</v>
      </c>
      <c r="N200" s="204" t="s">
        <v>138</v>
      </c>
      <c r="O200" s="38" t="s">
        <v>33</v>
      </c>
    </row>
    <row r="201" spans="1:15" ht="15" customHeight="1" x14ac:dyDescent="0.2">
      <c r="B201" s="349">
        <f>D150</f>
        <v>5</v>
      </c>
      <c r="C201" s="1" t="s">
        <v>0</v>
      </c>
      <c r="D201" s="39"/>
      <c r="E201" s="150">
        <v>1</v>
      </c>
      <c r="F201" s="245">
        <f t="shared" ref="F201:F210" si="37">G129</f>
        <v>0.31</v>
      </c>
      <c r="G201" s="104">
        <f>F201/E201</f>
        <v>0.31</v>
      </c>
      <c r="H201" s="257">
        <f>SQRT(12*32.2*G201^2/(4*$B$202*($B$201*56)*$B$200^2))</f>
        <v>8.0283569117825266E-3</v>
      </c>
      <c r="J201" s="257">
        <v>8.0283569117825266E-3</v>
      </c>
      <c r="K201" s="150">
        <v>1</v>
      </c>
      <c r="L201" s="257">
        <f>J201*$L$199</f>
        <v>8.0283569117825266E-3</v>
      </c>
      <c r="M201" s="14">
        <f>(B201*2.20462*25.4*12)</f>
        <v>3359.8408799999997</v>
      </c>
      <c r="N201" s="153">
        <f>L201*B$200*SQRT(4*B$202*M$201/32.2)/12</f>
        <v>0.30999265955595051</v>
      </c>
      <c r="O201" s="297">
        <f>K201*N201</f>
        <v>0.30999265955595051</v>
      </c>
    </row>
    <row r="202" spans="1:15" ht="15" customHeight="1" x14ac:dyDescent="0.2">
      <c r="B202" s="350">
        <f>D151</f>
        <v>85</v>
      </c>
      <c r="C202" s="156" t="s">
        <v>1</v>
      </c>
      <c r="D202" s="31"/>
      <c r="E202" s="149">
        <v>2</v>
      </c>
      <c r="F202" s="246">
        <f t="shared" si="37"/>
        <v>1.3859999999999999</v>
      </c>
      <c r="G202" s="103">
        <f t="shared" ref="G202:G210" si="38">F202/E202</f>
        <v>0.69299999999999995</v>
      </c>
      <c r="H202" s="258">
        <f t="shared" ref="H202:H210" si="39">SQRT(12*32.2*G202^2/(4*$B$202*($B$201*56)*$B$200^2))</f>
        <v>1.7947262386662229E-2</v>
      </c>
      <c r="J202" s="258">
        <v>1.7947262386662229E-2</v>
      </c>
      <c r="K202" s="149">
        <v>2</v>
      </c>
      <c r="L202" s="258">
        <f t="shared" ref="L202:L210" si="40">J202*$L$199</f>
        <v>1.7947262386662229E-2</v>
      </c>
      <c r="N202" s="152">
        <f t="shared" ref="N202:N210" si="41">L202*B$200*SQRT(4*B$202*M$201/32.2)/12</f>
        <v>0.69298359055572156</v>
      </c>
      <c r="O202" s="298">
        <f t="shared" ref="O202" si="42">K202*N202</f>
        <v>1.3859671811114431</v>
      </c>
    </row>
    <row r="203" spans="1:15" ht="15" customHeight="1" x14ac:dyDescent="0.2">
      <c r="E203" s="148">
        <v>3</v>
      </c>
      <c r="F203" s="247">
        <f t="shared" si="37"/>
        <v>2.956</v>
      </c>
      <c r="G203" s="102">
        <f t="shared" si="38"/>
        <v>0.98533333333333328</v>
      </c>
      <c r="H203" s="259">
        <f t="shared" si="39"/>
        <v>2.5518089280891557E-2</v>
      </c>
      <c r="J203" s="259">
        <v>2.5518089280891557E-2</v>
      </c>
      <c r="K203" s="148">
        <v>3</v>
      </c>
      <c r="L203" s="259">
        <f t="shared" si="40"/>
        <v>2.5518089280891557E-2</v>
      </c>
      <c r="N203" s="151">
        <f t="shared" si="41"/>
        <v>0.98531000177138672</v>
      </c>
      <c r="O203" s="299">
        <f>K203*N203</f>
        <v>2.9559300053141602</v>
      </c>
    </row>
    <row r="204" spans="1:15" ht="15" customHeight="1" x14ac:dyDescent="0.2">
      <c r="E204" s="148">
        <v>4</v>
      </c>
      <c r="F204" s="247">
        <f t="shared" si="37"/>
        <v>4.9119999999999999</v>
      </c>
      <c r="G204" s="102">
        <f t="shared" si="38"/>
        <v>1.228</v>
      </c>
      <c r="H204" s="259">
        <f t="shared" si="39"/>
        <v>3.1802652540867553E-2</v>
      </c>
      <c r="J204" s="259">
        <v>3.1802652540867553E-2</v>
      </c>
      <c r="K204" s="148">
        <v>4</v>
      </c>
      <c r="L204" s="259">
        <f t="shared" si="40"/>
        <v>3.1802652540867553E-2</v>
      </c>
      <c r="N204" s="151">
        <f t="shared" si="41"/>
        <v>1.227970922370023</v>
      </c>
      <c r="O204" s="299">
        <f t="shared" ref="O204:O210" si="43">K204*N204</f>
        <v>4.9118836894800921</v>
      </c>
    </row>
    <row r="205" spans="1:15" ht="15" customHeight="1" x14ac:dyDescent="0.2">
      <c r="E205" s="149">
        <v>5</v>
      </c>
      <c r="F205" s="246">
        <f t="shared" si="37"/>
        <v>7.3339999999999996</v>
      </c>
      <c r="G205" s="103">
        <f t="shared" si="38"/>
        <v>1.4667999999999999</v>
      </c>
      <c r="H205" s="258">
        <f t="shared" si="39"/>
        <v>3.7987077155492287E-2</v>
      </c>
      <c r="J205" s="258">
        <v>3.7987077155492287E-2</v>
      </c>
      <c r="K205" s="149">
        <v>5</v>
      </c>
      <c r="L205" s="258">
        <f t="shared" si="40"/>
        <v>3.7987077155492287E-2</v>
      </c>
      <c r="N205" s="152">
        <f t="shared" si="41"/>
        <v>1.4667652678602199</v>
      </c>
      <c r="O205" s="298">
        <f t="shared" si="43"/>
        <v>7.3338263393010994</v>
      </c>
    </row>
    <row r="206" spans="1:15" ht="15" customHeight="1" x14ac:dyDescent="0.2">
      <c r="E206" s="148">
        <v>10</v>
      </c>
      <c r="F206" s="247">
        <f t="shared" si="37"/>
        <v>18.164000000000001</v>
      </c>
      <c r="G206" s="102">
        <f t="shared" si="38"/>
        <v>1.8164000000000002</v>
      </c>
      <c r="H206" s="259">
        <f t="shared" si="39"/>
        <v>4.7040991917941234E-2</v>
      </c>
      <c r="J206" s="259">
        <v>4.7040991917941234E-2</v>
      </c>
      <c r="K206" s="154">
        <v>10</v>
      </c>
      <c r="L206" s="259">
        <f t="shared" si="40"/>
        <v>4.7040991917941234E-2</v>
      </c>
      <c r="M206" s="84"/>
      <c r="N206" s="155">
        <f t="shared" si="41"/>
        <v>1.8163569897336407</v>
      </c>
      <c r="O206" s="300">
        <f t="shared" si="43"/>
        <v>18.163569897336409</v>
      </c>
    </row>
    <row r="207" spans="1:15" ht="15" customHeight="1" x14ac:dyDescent="0.2">
      <c r="E207" s="148">
        <v>20</v>
      </c>
      <c r="F207" s="247">
        <f t="shared" si="37"/>
        <v>37.692999999999998</v>
      </c>
      <c r="G207" s="102">
        <f t="shared" si="38"/>
        <v>1.8846499999999999</v>
      </c>
      <c r="H207" s="259">
        <f t="shared" si="39"/>
        <v>4.8808525334809477E-2</v>
      </c>
      <c r="J207" s="259">
        <v>4.8808525334809477E-2</v>
      </c>
      <c r="K207" s="148">
        <v>20</v>
      </c>
      <c r="L207" s="259">
        <f t="shared" si="40"/>
        <v>4.8808525334809477E-2</v>
      </c>
      <c r="N207" s="151">
        <f t="shared" si="41"/>
        <v>1.8846053736520068</v>
      </c>
      <c r="O207" s="299">
        <f t="shared" si="43"/>
        <v>37.692107473040139</v>
      </c>
    </row>
    <row r="208" spans="1:15" ht="15" customHeight="1" x14ac:dyDescent="0.2">
      <c r="E208" s="148">
        <v>30</v>
      </c>
      <c r="F208" s="247">
        <f t="shared" si="37"/>
        <v>50.831000000000003</v>
      </c>
      <c r="G208" s="102">
        <f t="shared" si="38"/>
        <v>1.6943666666666668</v>
      </c>
      <c r="H208" s="259">
        <f t="shared" si="39"/>
        <v>4.3880581740087923E-2</v>
      </c>
      <c r="J208" s="259">
        <v>4.3880581740087923E-2</v>
      </c>
      <c r="K208" s="148">
        <v>30</v>
      </c>
      <c r="L208" s="259">
        <f t="shared" si="40"/>
        <v>4.3880581740087923E-2</v>
      </c>
      <c r="N208" s="151">
        <f t="shared" si="41"/>
        <v>1.6943265460095187</v>
      </c>
      <c r="O208" s="299">
        <f t="shared" si="43"/>
        <v>50.829796380285558</v>
      </c>
    </row>
    <row r="209" spans="1:16" ht="15" customHeight="1" x14ac:dyDescent="0.2">
      <c r="E209" s="148">
        <v>40</v>
      </c>
      <c r="F209" s="247">
        <f t="shared" si="37"/>
        <v>62.831000000000003</v>
      </c>
      <c r="G209" s="102">
        <f t="shared" si="38"/>
        <v>1.570775</v>
      </c>
      <c r="H209" s="259">
        <f t="shared" si="39"/>
        <v>4.0679813961629674E-2</v>
      </c>
      <c r="J209" s="259">
        <v>4.0679813961629674E-2</v>
      </c>
      <c r="K209" s="148">
        <v>40</v>
      </c>
      <c r="L209" s="259">
        <f t="shared" si="40"/>
        <v>4.0679813961629674E-2</v>
      </c>
      <c r="N209" s="151">
        <f t="shared" si="41"/>
        <v>1.570737805851607</v>
      </c>
      <c r="O209" s="299">
        <f t="shared" si="43"/>
        <v>62.829512234064282</v>
      </c>
    </row>
    <row r="210" spans="1:16" ht="15" customHeight="1" x14ac:dyDescent="0.2">
      <c r="E210" s="149">
        <v>50</v>
      </c>
      <c r="F210" s="246">
        <f t="shared" si="37"/>
        <v>74.427000000000007</v>
      </c>
      <c r="G210" s="103">
        <f t="shared" si="38"/>
        <v>1.4885400000000002</v>
      </c>
      <c r="H210" s="258">
        <f t="shared" si="39"/>
        <v>3.8550098056337946E-2</v>
      </c>
      <c r="J210" s="258">
        <v>3.8550098056337946E-2</v>
      </c>
      <c r="K210" s="149">
        <v>50</v>
      </c>
      <c r="L210" s="258">
        <f t="shared" si="40"/>
        <v>3.8550098056337946E-2</v>
      </c>
      <c r="N210" s="152">
        <f t="shared" si="41"/>
        <v>1.4885047530819826</v>
      </c>
      <c r="O210" s="298">
        <f t="shared" si="43"/>
        <v>74.425237654099135</v>
      </c>
    </row>
    <row r="211" spans="1:16" ht="15" customHeight="1" x14ac:dyDescent="0.2"/>
    <row r="212" spans="1:16" ht="15" customHeight="1" x14ac:dyDescent="0.2">
      <c r="O212" s="70"/>
    </row>
    <row r="213" spans="1:16" ht="15" customHeight="1" x14ac:dyDescent="0.2">
      <c r="O213" s="70"/>
    </row>
    <row r="214" spans="1:16" ht="15" customHeight="1" x14ac:dyDescent="0.2">
      <c r="O214" s="70"/>
    </row>
    <row r="215" spans="1:16" ht="15" customHeight="1" x14ac:dyDescent="0.2">
      <c r="O215" s="70"/>
    </row>
    <row r="216" spans="1:16" ht="15" customHeight="1" x14ac:dyDescent="0.2">
      <c r="O216" s="70"/>
    </row>
    <row r="217" spans="1:16" ht="15" customHeight="1" x14ac:dyDescent="0.2">
      <c r="A217" s="108"/>
      <c r="B217" s="21"/>
      <c r="C217" s="21"/>
      <c r="D217" s="21"/>
      <c r="E217" s="21"/>
      <c r="F217" s="21"/>
      <c r="G217" s="21"/>
      <c r="H217" s="21"/>
      <c r="I217" s="21"/>
      <c r="J217" s="21"/>
      <c r="K217" s="21"/>
      <c r="L217" s="21"/>
      <c r="M217" s="21"/>
      <c r="N217" s="21"/>
      <c r="O217" s="351"/>
      <c r="P217" s="22"/>
    </row>
    <row r="218" spans="1:16" ht="15" customHeight="1" x14ac:dyDescent="0.2">
      <c r="A218" s="63"/>
      <c r="B218" s="1"/>
      <c r="C218" s="1"/>
      <c r="D218" s="1"/>
      <c r="E218" s="1"/>
      <c r="F218" s="1"/>
      <c r="G218" s="1"/>
      <c r="H218" s="1"/>
      <c r="I218" s="1"/>
      <c r="J218" s="1"/>
      <c r="K218" s="1"/>
      <c r="L218" s="1"/>
      <c r="M218" s="1"/>
      <c r="N218" s="1"/>
      <c r="O218" s="377" t="s">
        <v>227</v>
      </c>
      <c r="P218" s="378">
        <v>1</v>
      </c>
    </row>
    <row r="219" spans="1:16" ht="15" customHeight="1" x14ac:dyDescent="0.2">
      <c r="A219" s="63"/>
      <c r="B219" s="1"/>
      <c r="C219" s="1"/>
      <c r="D219" s="1"/>
      <c r="E219" s="1"/>
      <c r="F219" s="1"/>
      <c r="G219" s="1"/>
      <c r="H219" s="1"/>
      <c r="I219" s="1"/>
      <c r="J219" s="1"/>
      <c r="K219" s="1"/>
      <c r="L219" s="1"/>
      <c r="M219" s="1"/>
      <c r="N219" s="1"/>
      <c r="O219" s="352"/>
      <c r="P219" s="39"/>
    </row>
    <row r="220" spans="1:16" ht="15" customHeight="1" x14ac:dyDescent="0.2">
      <c r="A220" s="353" t="s">
        <v>175</v>
      </c>
      <c r="B220" s="354" t="s">
        <v>176</v>
      </c>
      <c r="C220" s="1"/>
      <c r="D220" s="1"/>
      <c r="E220" s="1"/>
      <c r="F220" s="1"/>
      <c r="G220" s="1"/>
      <c r="H220" s="1"/>
      <c r="I220" s="1"/>
      <c r="J220" s="1"/>
      <c r="K220" s="355" t="s">
        <v>198</v>
      </c>
      <c r="L220" s="1"/>
      <c r="M220" s="1"/>
      <c r="N220" s="1"/>
      <c r="O220" s="352" t="s">
        <v>199</v>
      </c>
      <c r="P220" s="39"/>
    </row>
    <row r="221" spans="1:16" ht="15" customHeight="1" x14ac:dyDescent="0.2">
      <c r="A221" s="63"/>
      <c r="B221" s="354" t="s">
        <v>126</v>
      </c>
      <c r="C221" s="1"/>
      <c r="D221" s="1"/>
      <c r="E221" s="1"/>
      <c r="F221" s="1"/>
      <c r="G221" s="1"/>
      <c r="H221" s="1"/>
      <c r="I221" s="1"/>
      <c r="J221" s="1"/>
      <c r="K221" s="1"/>
      <c r="L221" s="1"/>
      <c r="M221" s="1"/>
      <c r="N221" s="1"/>
      <c r="O221" s="352"/>
      <c r="P221" s="39"/>
    </row>
    <row r="222" spans="1:16" ht="15" customHeight="1" x14ac:dyDescent="0.2">
      <c r="A222" s="63"/>
      <c r="B222" s="356" t="s">
        <v>225</v>
      </c>
      <c r="C222" s="1"/>
      <c r="D222" s="1"/>
      <c r="E222" s="1"/>
      <c r="F222" s="1"/>
      <c r="G222" s="1"/>
      <c r="H222" s="1"/>
      <c r="I222" s="1"/>
      <c r="J222" s="1"/>
      <c r="K222" s="1"/>
      <c r="L222" s="1"/>
      <c r="M222" s="1"/>
      <c r="N222" s="1"/>
      <c r="O222" s="1"/>
      <c r="P222" s="39"/>
    </row>
    <row r="223" spans="1:16" ht="15" customHeight="1" x14ac:dyDescent="0.2">
      <c r="A223" s="23"/>
      <c r="B223" s="358" t="s">
        <v>201</v>
      </c>
      <c r="C223" s="354" t="s">
        <v>200</v>
      </c>
      <c r="D223" s="1"/>
      <c r="E223" s="1"/>
      <c r="F223" s="1"/>
      <c r="G223" s="1"/>
      <c r="H223" s="1"/>
      <c r="I223" s="1"/>
      <c r="J223" s="1"/>
      <c r="K223" s="1"/>
      <c r="L223" s="1"/>
      <c r="M223" s="1"/>
      <c r="N223" s="1"/>
      <c r="O223" s="1"/>
      <c r="P223" s="39"/>
    </row>
    <row r="224" spans="1:16" ht="15" customHeight="1" x14ac:dyDescent="0.2">
      <c r="A224" s="23"/>
      <c r="B224" s="358"/>
      <c r="C224" s="354"/>
      <c r="D224" s="1"/>
      <c r="E224" s="1"/>
      <c r="F224" s="1"/>
      <c r="G224" s="1"/>
      <c r="H224" s="1"/>
      <c r="I224" s="1"/>
      <c r="J224" s="1"/>
      <c r="K224" s="1"/>
      <c r="L224" s="1"/>
      <c r="M224" s="1"/>
      <c r="N224" s="1"/>
      <c r="O224" s="1"/>
      <c r="P224" s="39"/>
    </row>
    <row r="225" spans="1:16" ht="15" customHeight="1" x14ac:dyDescent="0.2">
      <c r="A225" s="23"/>
      <c r="B225" s="358"/>
      <c r="C225" s="354"/>
      <c r="D225" s="1"/>
      <c r="E225" s="1"/>
      <c r="F225" s="1"/>
      <c r="G225" s="1"/>
      <c r="H225" s="1"/>
      <c r="I225" s="1"/>
      <c r="J225" s="1"/>
      <c r="K225" s="1"/>
      <c r="L225" s="1"/>
      <c r="M225" s="1"/>
      <c r="N225" s="1"/>
      <c r="O225" s="1"/>
      <c r="P225" s="39"/>
    </row>
    <row r="226" spans="1:16" ht="15" customHeight="1" x14ac:dyDescent="0.2">
      <c r="A226" s="23"/>
      <c r="B226" s="358"/>
      <c r="C226" s="354"/>
      <c r="D226" s="1"/>
      <c r="E226" s="1"/>
      <c r="F226" s="1"/>
      <c r="G226" s="1"/>
      <c r="H226" s="1"/>
      <c r="I226" s="1"/>
      <c r="J226" s="1"/>
      <c r="K226" s="1"/>
      <c r="L226" s="1"/>
      <c r="M226" s="1"/>
      <c r="N226" s="1"/>
      <c r="O226" s="1"/>
      <c r="P226" s="39"/>
    </row>
    <row r="227" spans="1:16" ht="15" customHeight="1" x14ac:dyDescent="0.2">
      <c r="A227" s="23"/>
      <c r="B227" s="358"/>
      <c r="C227" s="354"/>
      <c r="D227" s="1"/>
      <c r="E227" s="1"/>
      <c r="F227" s="1"/>
      <c r="G227" s="1"/>
      <c r="H227" s="1"/>
      <c r="I227" s="1"/>
      <c r="J227" s="1"/>
      <c r="K227" s="1"/>
      <c r="L227" s="1"/>
      <c r="M227" s="1"/>
      <c r="N227" s="1"/>
      <c r="O227" s="1"/>
      <c r="P227" s="39"/>
    </row>
    <row r="228" spans="1:16" ht="15" customHeight="1" x14ac:dyDescent="0.2">
      <c r="A228" s="63"/>
      <c r="B228" s="1"/>
      <c r="C228" s="1"/>
      <c r="D228" s="1"/>
      <c r="E228" s="1"/>
      <c r="F228" s="1"/>
      <c r="G228" s="1"/>
      <c r="H228" s="180" t="str">
        <f>J99</f>
        <v xml:space="preserve"> average</v>
      </c>
      <c r="I228" s="1"/>
      <c r="J228" s="1"/>
      <c r="K228" s="1"/>
      <c r="L228" s="1"/>
      <c r="M228" s="1"/>
      <c r="N228" s="1"/>
      <c r="O228" s="1"/>
      <c r="P228" s="39"/>
    </row>
    <row r="229" spans="1:16" ht="15" customHeight="1" x14ac:dyDescent="0.2">
      <c r="A229" s="379" t="s">
        <v>228</v>
      </c>
      <c r="B229" s="446">
        <f>D150</f>
        <v>5</v>
      </c>
      <c r="C229" s="180" t="s">
        <v>133</v>
      </c>
      <c r="D229" s="168" t="s">
        <v>133</v>
      </c>
      <c r="E229" s="170" t="s">
        <v>133</v>
      </c>
      <c r="F229" s="272" t="s">
        <v>110</v>
      </c>
      <c r="G229" s="278" t="s">
        <v>133</v>
      </c>
      <c r="H229" s="180" t="s">
        <v>124</v>
      </c>
      <c r="I229" s="180" t="s">
        <v>50</v>
      </c>
      <c r="J229" s="180" t="s">
        <v>50</v>
      </c>
      <c r="K229" s="279" t="s">
        <v>124</v>
      </c>
      <c r="L229" s="182" t="s">
        <v>117</v>
      </c>
      <c r="M229" s="182" t="s">
        <v>110</v>
      </c>
      <c r="N229" s="182" t="s">
        <v>112</v>
      </c>
      <c r="O229" s="1"/>
      <c r="P229" s="182" t="s">
        <v>117</v>
      </c>
    </row>
    <row r="230" spans="1:16" ht="15" customHeight="1" x14ac:dyDescent="0.2">
      <c r="A230" s="63"/>
      <c r="B230" s="186"/>
      <c r="C230" s="266" t="s">
        <v>117</v>
      </c>
      <c r="D230" s="264" t="s">
        <v>118</v>
      </c>
      <c r="E230" s="196" t="s">
        <v>109</v>
      </c>
      <c r="F230" s="273" t="s">
        <v>127</v>
      </c>
      <c r="G230" s="183" t="s">
        <v>110</v>
      </c>
      <c r="H230" s="181" t="s">
        <v>112</v>
      </c>
      <c r="I230" s="181" t="s">
        <v>114</v>
      </c>
      <c r="J230" s="181" t="s">
        <v>115</v>
      </c>
      <c r="K230" s="280" t="s">
        <v>105</v>
      </c>
      <c r="L230" s="183" t="s">
        <v>116</v>
      </c>
      <c r="M230" s="183" t="s">
        <v>116</v>
      </c>
      <c r="N230" s="183" t="s">
        <v>116</v>
      </c>
      <c r="O230" s="1"/>
      <c r="P230" s="183" t="s">
        <v>116</v>
      </c>
    </row>
    <row r="231" spans="1:16" ht="15" customHeight="1" x14ac:dyDescent="0.2">
      <c r="A231" s="63"/>
      <c r="B231" s="186" t="s">
        <v>39</v>
      </c>
      <c r="C231" s="267" t="s">
        <v>130</v>
      </c>
      <c r="D231" s="265" t="s">
        <v>130</v>
      </c>
      <c r="E231" s="192" t="s">
        <v>130</v>
      </c>
      <c r="F231" s="274" t="s">
        <v>131</v>
      </c>
      <c r="G231" s="267" t="s">
        <v>130</v>
      </c>
      <c r="H231" s="267" t="s">
        <v>130</v>
      </c>
      <c r="I231" s="267" t="s">
        <v>130</v>
      </c>
      <c r="J231" s="267" t="s">
        <v>130</v>
      </c>
      <c r="K231" s="281" t="s">
        <v>195</v>
      </c>
      <c r="L231" s="267" t="s">
        <v>130</v>
      </c>
      <c r="M231" s="267" t="s">
        <v>130</v>
      </c>
      <c r="N231" s="267" t="s">
        <v>130</v>
      </c>
      <c r="O231" s="1"/>
      <c r="P231" s="183" t="s">
        <v>128</v>
      </c>
    </row>
    <row r="232" spans="1:16" ht="15" customHeight="1" x14ac:dyDescent="0.2">
      <c r="A232" s="63"/>
      <c r="B232" s="186">
        <v>1</v>
      </c>
      <c r="C232" s="268">
        <f t="shared" ref="C232:C241" si="44">C129</f>
        <v>42.41</v>
      </c>
      <c r="D232" s="301">
        <f t="shared" ref="D232:E232" si="45">D129</f>
        <v>115.41</v>
      </c>
      <c r="E232" s="275">
        <f t="shared" si="45"/>
        <v>22.61</v>
      </c>
      <c r="F232" s="275">
        <f>G232+J232</f>
        <v>34.299999999999997</v>
      </c>
      <c r="G232" s="268">
        <f t="shared" ref="G232:H241" si="46">F129</f>
        <v>22.3</v>
      </c>
      <c r="H232" s="304">
        <f t="shared" si="46"/>
        <v>0.31</v>
      </c>
      <c r="I232" s="308">
        <f t="shared" ref="I232:J241" si="47">J129</f>
        <v>80.8</v>
      </c>
      <c r="J232" s="308">
        <f t="shared" si="47"/>
        <v>12</v>
      </c>
      <c r="K232" s="373">
        <f>H232/E232</f>
        <v>1.3710747456877488E-2</v>
      </c>
      <c r="L232" s="312">
        <f t="shared" ref="L232:L241" si="48">F149</f>
        <v>1.0983570292161815</v>
      </c>
      <c r="M232" s="312">
        <f t="shared" ref="M232:M241" si="49">H171</f>
        <v>0.57752373913790434</v>
      </c>
      <c r="N232" s="312">
        <f t="shared" ref="N232:N241" si="50">H201</f>
        <v>8.0283569117825266E-3</v>
      </c>
      <c r="O232" s="1"/>
      <c r="P232" s="316">
        <f>L232</f>
        <v>1.0983570292161815</v>
      </c>
    </row>
    <row r="233" spans="1:16" ht="15" customHeight="1" x14ac:dyDescent="0.2">
      <c r="A233" s="63"/>
      <c r="B233" s="186">
        <v>2</v>
      </c>
      <c r="C233" s="269">
        <f t="shared" si="44"/>
        <v>64.986000000000018</v>
      </c>
      <c r="D233" s="302">
        <f t="shared" ref="D233:E241" si="51">D130</f>
        <v>137.98600000000002</v>
      </c>
      <c r="E233" s="276">
        <f t="shared" si="51"/>
        <v>46.186</v>
      </c>
      <c r="F233" s="276">
        <f t="shared" ref="F233:F241" si="52">G233+J233</f>
        <v>56.099999999999994</v>
      </c>
      <c r="G233" s="269">
        <f t="shared" si="46"/>
        <v>44.8</v>
      </c>
      <c r="H233" s="305">
        <f t="shared" si="46"/>
        <v>1.3859999999999999</v>
      </c>
      <c r="I233" s="309">
        <f t="shared" si="47"/>
        <v>80.5</v>
      </c>
      <c r="J233" s="309">
        <f t="shared" si="47"/>
        <v>11.3</v>
      </c>
      <c r="K233" s="374">
        <f t="shared" ref="K233:K241" si="53">H233/E233</f>
        <v>3.000909366474689E-2</v>
      </c>
      <c r="L233" s="313">
        <f t="shared" si="48"/>
        <v>0.84152122023865594</v>
      </c>
      <c r="M233" s="313">
        <f t="shared" si="49"/>
        <v>0.58011353169009217</v>
      </c>
      <c r="N233" s="313">
        <f t="shared" si="50"/>
        <v>1.7947262386662229E-2</v>
      </c>
      <c r="O233" s="1"/>
      <c r="P233" s="317">
        <f t="shared" ref="P233:P241" si="54">L233</f>
        <v>0.84152122023865594</v>
      </c>
    </row>
    <row r="234" spans="1:16" ht="15" customHeight="1" x14ac:dyDescent="0.2">
      <c r="A234" s="63"/>
      <c r="B234" s="186">
        <v>3</v>
      </c>
      <c r="C234" s="270">
        <f t="shared" si="44"/>
        <v>84.456000000000017</v>
      </c>
      <c r="D234" s="303">
        <f t="shared" si="51"/>
        <v>157.45600000000002</v>
      </c>
      <c r="E234" s="277">
        <f t="shared" si="51"/>
        <v>64.956000000000003</v>
      </c>
      <c r="F234" s="277">
        <f t="shared" si="52"/>
        <v>74.5</v>
      </c>
      <c r="G234" s="270">
        <f t="shared" si="46"/>
        <v>62</v>
      </c>
      <c r="H234" s="306">
        <f t="shared" si="46"/>
        <v>2.956</v>
      </c>
      <c r="I234" s="310">
        <f t="shared" si="47"/>
        <v>80</v>
      </c>
      <c r="J234" s="310">
        <f t="shared" si="47"/>
        <v>12.5</v>
      </c>
      <c r="K234" s="375">
        <f t="shared" si="53"/>
        <v>4.5507728308393371E-2</v>
      </c>
      <c r="L234" s="314">
        <f t="shared" si="48"/>
        <v>0.72909566344008381</v>
      </c>
      <c r="M234" s="314">
        <f t="shared" si="49"/>
        <v>0.53522379411883514</v>
      </c>
      <c r="N234" s="314">
        <f t="shared" si="50"/>
        <v>2.5518089280891557E-2</v>
      </c>
      <c r="O234" s="1"/>
      <c r="P234" s="318">
        <f t="shared" si="54"/>
        <v>0.72909566344008381</v>
      </c>
    </row>
    <row r="235" spans="1:16" ht="15" customHeight="1" x14ac:dyDescent="0.2">
      <c r="A235" s="63"/>
      <c r="B235" s="186">
        <v>4</v>
      </c>
      <c r="C235" s="270">
        <f t="shared" si="44"/>
        <v>101.51200000000003</v>
      </c>
      <c r="D235" s="303">
        <f t="shared" si="51"/>
        <v>174.51200000000003</v>
      </c>
      <c r="E235" s="277">
        <f t="shared" si="51"/>
        <v>80.412000000000006</v>
      </c>
      <c r="F235" s="277">
        <f t="shared" si="52"/>
        <v>89.9</v>
      </c>
      <c r="G235" s="270">
        <f t="shared" si="46"/>
        <v>75.5</v>
      </c>
      <c r="H235" s="306">
        <f t="shared" si="46"/>
        <v>4.9119999999999999</v>
      </c>
      <c r="I235" s="310">
        <f t="shared" si="47"/>
        <v>79.7</v>
      </c>
      <c r="J235" s="310">
        <f t="shared" si="47"/>
        <v>14.4</v>
      </c>
      <c r="K235" s="375">
        <f t="shared" si="53"/>
        <v>6.1085410137790376E-2</v>
      </c>
      <c r="L235" s="314">
        <f t="shared" si="48"/>
        <v>0.65725311689338028</v>
      </c>
      <c r="M235" s="314">
        <f t="shared" si="49"/>
        <v>0.48882334422546836</v>
      </c>
      <c r="N235" s="314">
        <f t="shared" si="50"/>
        <v>3.1802652540867553E-2</v>
      </c>
      <c r="O235" s="1"/>
      <c r="P235" s="318">
        <f t="shared" si="54"/>
        <v>0.65725311689338028</v>
      </c>
    </row>
    <row r="236" spans="1:16" ht="15" customHeight="1" x14ac:dyDescent="0.2">
      <c r="A236" s="63"/>
      <c r="B236" s="186">
        <v>5</v>
      </c>
      <c r="C236" s="269">
        <f t="shared" si="44"/>
        <v>117.334</v>
      </c>
      <c r="D236" s="302">
        <f t="shared" si="51"/>
        <v>190.334</v>
      </c>
      <c r="E236" s="276">
        <f t="shared" si="51"/>
        <v>98.433999999999997</v>
      </c>
      <c r="F236" s="276">
        <f t="shared" si="52"/>
        <v>103.39999999999999</v>
      </c>
      <c r="G236" s="269">
        <f t="shared" si="46"/>
        <v>91.1</v>
      </c>
      <c r="H236" s="305">
        <f t="shared" si="46"/>
        <v>7.3339999999999996</v>
      </c>
      <c r="I236" s="309">
        <f t="shared" si="47"/>
        <v>79.599999999999994</v>
      </c>
      <c r="J236" s="309">
        <f t="shared" si="47"/>
        <v>12.3</v>
      </c>
      <c r="K236" s="374">
        <f t="shared" si="53"/>
        <v>7.4506776113944365E-2</v>
      </c>
      <c r="L236" s="313">
        <f t="shared" si="48"/>
        <v>0.60775582959703578</v>
      </c>
      <c r="M236" s="313">
        <f t="shared" si="49"/>
        <v>0.47186020300863751</v>
      </c>
      <c r="N236" s="313">
        <f t="shared" si="50"/>
        <v>3.7987077155492287E-2</v>
      </c>
      <c r="O236" s="1"/>
      <c r="P236" s="317">
        <f t="shared" si="54"/>
        <v>0.60775582959703578</v>
      </c>
    </row>
    <row r="237" spans="1:16" ht="15" customHeight="1" x14ac:dyDescent="0.2">
      <c r="A237" s="63"/>
      <c r="B237" s="186">
        <v>10</v>
      </c>
      <c r="C237" s="270">
        <f t="shared" si="44"/>
        <v>187.16399999999999</v>
      </c>
      <c r="D237" s="303">
        <f t="shared" si="51"/>
        <v>260.16399999999999</v>
      </c>
      <c r="E237" s="277">
        <f t="shared" si="51"/>
        <v>168.86399999999998</v>
      </c>
      <c r="F237" s="277">
        <f t="shared" si="52"/>
        <v>162.29999999999998</v>
      </c>
      <c r="G237" s="270">
        <f t="shared" si="46"/>
        <v>150.69999999999999</v>
      </c>
      <c r="H237" s="306">
        <f t="shared" si="46"/>
        <v>18.164000000000001</v>
      </c>
      <c r="I237" s="310">
        <f t="shared" si="47"/>
        <v>79.7</v>
      </c>
      <c r="J237" s="310">
        <f t="shared" si="47"/>
        <v>11.6</v>
      </c>
      <c r="K237" s="375">
        <f t="shared" si="53"/>
        <v>0.1075658518097404</v>
      </c>
      <c r="L237" s="314">
        <f t="shared" si="48"/>
        <v>0.48472741102621414</v>
      </c>
      <c r="M237" s="314">
        <f t="shared" si="49"/>
        <v>0.39028173761471824</v>
      </c>
      <c r="N237" s="314">
        <f t="shared" si="50"/>
        <v>4.7040991917941234E-2</v>
      </c>
      <c r="O237" s="1"/>
      <c r="P237" s="318">
        <f t="shared" si="54"/>
        <v>0.48472741102621414</v>
      </c>
    </row>
    <row r="238" spans="1:16" ht="15" customHeight="1" x14ac:dyDescent="0.2">
      <c r="A238" s="63"/>
      <c r="B238" s="186">
        <v>20</v>
      </c>
      <c r="C238" s="270">
        <f t="shared" si="44"/>
        <v>307.79299999999995</v>
      </c>
      <c r="D238" s="303">
        <f t="shared" si="51"/>
        <v>380.79299999999995</v>
      </c>
      <c r="E238" s="277">
        <f t="shared" si="51"/>
        <v>289.89299999999997</v>
      </c>
      <c r="F238" s="277">
        <f t="shared" si="52"/>
        <v>263.5</v>
      </c>
      <c r="G238" s="270">
        <f t="shared" si="46"/>
        <v>252.2</v>
      </c>
      <c r="H238" s="306">
        <f t="shared" si="46"/>
        <v>37.692999999999998</v>
      </c>
      <c r="I238" s="310">
        <f t="shared" si="47"/>
        <v>79.599999999999994</v>
      </c>
      <c r="J238" s="310">
        <f t="shared" si="47"/>
        <v>11.3</v>
      </c>
      <c r="K238" s="375">
        <f t="shared" si="53"/>
        <v>0.13002383638100956</v>
      </c>
      <c r="L238" s="314">
        <f t="shared" si="48"/>
        <v>0.3985694471746476</v>
      </c>
      <c r="M238" s="314">
        <f t="shared" si="49"/>
        <v>0.32657284083089566</v>
      </c>
      <c r="N238" s="314">
        <f t="shared" si="50"/>
        <v>4.8808525334809477E-2</v>
      </c>
      <c r="O238" s="1"/>
      <c r="P238" s="318">
        <f t="shared" si="54"/>
        <v>0.3985694471746476</v>
      </c>
    </row>
    <row r="239" spans="1:16" ht="15" customHeight="1" x14ac:dyDescent="0.2">
      <c r="A239" s="63"/>
      <c r="B239" s="186">
        <v>30</v>
      </c>
      <c r="C239" s="270">
        <f t="shared" si="44"/>
        <v>411.43100000000004</v>
      </c>
      <c r="D239" s="303">
        <f t="shared" si="51"/>
        <v>484.43100000000004</v>
      </c>
      <c r="E239" s="277">
        <f t="shared" si="51"/>
        <v>390.93100000000004</v>
      </c>
      <c r="F239" s="277">
        <f t="shared" si="52"/>
        <v>353.6</v>
      </c>
      <c r="G239" s="270">
        <f t="shared" si="46"/>
        <v>340.1</v>
      </c>
      <c r="H239" s="306">
        <f t="shared" si="46"/>
        <v>50.831000000000003</v>
      </c>
      <c r="I239" s="310">
        <f t="shared" si="47"/>
        <v>80</v>
      </c>
      <c r="J239" s="310">
        <f t="shared" si="47"/>
        <v>13.5</v>
      </c>
      <c r="K239" s="375">
        <f t="shared" si="53"/>
        <v>0.13002550322179618</v>
      </c>
      <c r="L239" s="314">
        <f t="shared" si="48"/>
        <v>0.35518205681635057</v>
      </c>
      <c r="M239" s="314">
        <f t="shared" si="49"/>
        <v>0.29359614899970293</v>
      </c>
      <c r="N239" s="314">
        <f t="shared" si="50"/>
        <v>4.3880581740087923E-2</v>
      </c>
      <c r="O239" s="1"/>
      <c r="P239" s="318">
        <f t="shared" si="54"/>
        <v>0.35518205681635057</v>
      </c>
    </row>
    <row r="240" spans="1:16" ht="15" customHeight="1" x14ac:dyDescent="0.2">
      <c r="A240" s="63"/>
      <c r="B240" s="186">
        <v>40</v>
      </c>
      <c r="C240" s="270">
        <f t="shared" si="44"/>
        <v>506.33100000000002</v>
      </c>
      <c r="D240" s="303">
        <f t="shared" si="51"/>
        <v>579.33100000000002</v>
      </c>
      <c r="E240" s="277">
        <f t="shared" si="51"/>
        <v>483.23099999999999</v>
      </c>
      <c r="F240" s="277">
        <f t="shared" si="52"/>
        <v>435.4</v>
      </c>
      <c r="G240" s="270">
        <f t="shared" si="46"/>
        <v>420.4</v>
      </c>
      <c r="H240" s="306">
        <f t="shared" si="46"/>
        <v>62.831000000000003</v>
      </c>
      <c r="I240" s="310">
        <f t="shared" si="47"/>
        <v>81.099999999999994</v>
      </c>
      <c r="J240" s="310">
        <f t="shared" si="47"/>
        <v>15</v>
      </c>
      <c r="K240" s="375">
        <f t="shared" si="53"/>
        <v>0.13002270135814964</v>
      </c>
      <c r="L240" s="314">
        <f t="shared" si="48"/>
        <v>0.327830825842996</v>
      </c>
      <c r="M240" s="314">
        <f t="shared" si="49"/>
        <v>0.2721871972349495</v>
      </c>
      <c r="N240" s="314">
        <f t="shared" si="50"/>
        <v>4.0679813961629674E-2</v>
      </c>
      <c r="O240" s="1"/>
      <c r="P240" s="318">
        <f t="shared" si="54"/>
        <v>0.327830825842996</v>
      </c>
    </row>
    <row r="241" spans="1:16" ht="15" customHeight="1" x14ac:dyDescent="0.2">
      <c r="A241" s="63"/>
      <c r="B241" s="186">
        <v>50</v>
      </c>
      <c r="C241" s="271">
        <f t="shared" si="44"/>
        <v>597.02700000000004</v>
      </c>
      <c r="D241" s="302">
        <f t="shared" si="51"/>
        <v>670.02700000000004</v>
      </c>
      <c r="E241" s="276">
        <f t="shared" si="51"/>
        <v>572.42700000000002</v>
      </c>
      <c r="F241" s="276">
        <f t="shared" si="52"/>
        <v>512.9</v>
      </c>
      <c r="G241" s="271">
        <f t="shared" si="46"/>
        <v>498</v>
      </c>
      <c r="H241" s="307">
        <f t="shared" si="46"/>
        <v>74.427000000000007</v>
      </c>
      <c r="I241" s="311">
        <f t="shared" si="47"/>
        <v>82.7</v>
      </c>
      <c r="J241" s="311">
        <f t="shared" si="47"/>
        <v>14.9</v>
      </c>
      <c r="K241" s="376">
        <f t="shared" si="53"/>
        <v>0.1300200724284494</v>
      </c>
      <c r="L241" s="315">
        <f t="shared" si="48"/>
        <v>0.30924253811924035</v>
      </c>
      <c r="M241" s="315">
        <f t="shared" si="49"/>
        <v>0.25794333819791604</v>
      </c>
      <c r="N241" s="315">
        <f t="shared" si="50"/>
        <v>3.8550098056337946E-2</v>
      </c>
      <c r="O241" s="1"/>
      <c r="P241" s="319">
        <f t="shared" si="54"/>
        <v>0.30924253811924035</v>
      </c>
    </row>
    <row r="242" spans="1:16" ht="15" customHeight="1" x14ac:dyDescent="0.2">
      <c r="A242" s="63"/>
      <c r="B242" s="1"/>
      <c r="C242" s="1"/>
      <c r="D242" s="1"/>
      <c r="E242" s="1"/>
      <c r="F242" s="1"/>
      <c r="G242" s="1"/>
      <c r="H242" s="1"/>
      <c r="I242" s="1"/>
      <c r="J242" s="1"/>
      <c r="K242" s="1"/>
      <c r="L242" s="1"/>
      <c r="M242" s="1"/>
      <c r="N242" s="1"/>
      <c r="O242" s="1"/>
      <c r="P242" s="39"/>
    </row>
    <row r="243" spans="1:16" ht="15" customHeight="1" x14ac:dyDescent="0.2">
      <c r="A243" s="63"/>
      <c r="B243" s="1"/>
      <c r="C243" s="1"/>
      <c r="D243" s="1"/>
      <c r="E243" s="1"/>
      <c r="F243" s="1"/>
      <c r="G243" s="1"/>
      <c r="H243" s="1"/>
      <c r="I243" s="1"/>
      <c r="J243" s="1"/>
      <c r="K243" s="1"/>
      <c r="L243" s="357" t="s">
        <v>210</v>
      </c>
      <c r="M243" s="360" t="s">
        <v>226</v>
      </c>
      <c r="N243" s="1"/>
      <c r="O243" s="1"/>
      <c r="P243" s="39"/>
    </row>
    <row r="244" spans="1:16" ht="15" customHeight="1" x14ac:dyDescent="0.2">
      <c r="A244" s="63"/>
      <c r="B244" s="1"/>
      <c r="C244" s="1"/>
      <c r="D244" s="1"/>
      <c r="E244" s="1"/>
      <c r="F244" s="1"/>
      <c r="G244" s="1"/>
      <c r="H244" s="1"/>
      <c r="I244" s="1"/>
      <c r="J244" s="1"/>
      <c r="K244" s="1"/>
      <c r="L244" s="1"/>
      <c r="M244" s="1"/>
      <c r="N244" s="1"/>
      <c r="O244" s="1"/>
      <c r="P244" s="39"/>
    </row>
    <row r="245" spans="1:16" ht="15" customHeight="1" x14ac:dyDescent="0.2">
      <c r="A245" s="63"/>
      <c r="B245" s="1"/>
      <c r="C245" s="1"/>
      <c r="D245" s="1"/>
      <c r="E245" s="1"/>
      <c r="F245" s="1"/>
      <c r="G245" s="1"/>
      <c r="H245" s="1"/>
      <c r="I245" s="1"/>
      <c r="J245" s="1"/>
      <c r="K245" s="1"/>
      <c r="L245" s="1"/>
      <c r="M245" s="359"/>
      <c r="N245" s="1"/>
      <c r="O245" s="1"/>
      <c r="P245" s="39"/>
    </row>
    <row r="246" spans="1:16" ht="15" customHeight="1" x14ac:dyDescent="0.2">
      <c r="A246" s="64"/>
      <c r="B246" s="42"/>
      <c r="C246" s="42"/>
      <c r="D246" s="42"/>
      <c r="E246" s="42"/>
      <c r="F246" s="42"/>
      <c r="G246" s="42"/>
      <c r="H246" s="42"/>
      <c r="I246" s="42"/>
      <c r="J246" s="42"/>
      <c r="K246" s="42"/>
      <c r="L246" s="42"/>
      <c r="M246" s="42"/>
      <c r="N246" s="42"/>
      <c r="O246" s="42"/>
      <c r="P246" s="31"/>
    </row>
    <row r="247" spans="1:16" ht="15" customHeight="1" x14ac:dyDescent="0.2"/>
    <row r="248" spans="1:16" ht="15" customHeight="1" x14ac:dyDescent="0.2"/>
    <row r="249" spans="1:16" ht="15" customHeight="1" x14ac:dyDescent="0.2"/>
    <row r="250" spans="1:16" ht="15" customHeight="1" x14ac:dyDescent="0.2"/>
    <row r="251" spans="1:16" ht="15" customHeight="1" x14ac:dyDescent="0.2"/>
    <row r="252" spans="1:16" ht="15" customHeight="1" x14ac:dyDescent="0.2"/>
    <row r="253" spans="1:16" ht="15" customHeight="1" x14ac:dyDescent="0.2"/>
    <row r="254" spans="1:16" ht="15" customHeight="1" x14ac:dyDescent="0.2"/>
    <row r="255" spans="1:16" ht="15" customHeight="1" x14ac:dyDescent="0.2"/>
    <row r="256" spans="1:16" ht="15" customHeight="1" x14ac:dyDescent="0.2"/>
    <row r="257" spans="1:21" ht="15" customHeight="1" x14ac:dyDescent="0.2"/>
    <row r="258" spans="1:21" ht="15" customHeight="1" x14ac:dyDescent="0.2"/>
    <row r="259" spans="1:21" ht="15" customHeight="1" x14ac:dyDescent="0.2"/>
    <row r="260" spans="1:21" ht="15" customHeight="1" x14ac:dyDescent="0.2"/>
    <row r="261" spans="1:21" ht="15" customHeight="1" x14ac:dyDescent="0.2"/>
    <row r="262" spans="1:21" ht="15" customHeight="1" x14ac:dyDescent="0.2"/>
    <row r="263" spans="1:21" ht="15" customHeight="1" x14ac:dyDescent="0.2"/>
    <row r="264" spans="1:21" ht="15" customHeight="1" x14ac:dyDescent="0.2"/>
    <row r="265" spans="1:21" ht="15" customHeight="1" x14ac:dyDescent="0.2"/>
    <row r="266" spans="1:21" ht="15" customHeight="1" x14ac:dyDescent="0.2">
      <c r="A266" s="42"/>
      <c r="B266" s="42"/>
      <c r="C266" s="42"/>
      <c r="D266" s="42"/>
      <c r="E266" s="42"/>
      <c r="F266" s="42"/>
      <c r="G266" s="42"/>
      <c r="H266" s="42"/>
      <c r="I266" s="42"/>
      <c r="J266" s="42"/>
      <c r="K266" s="42"/>
      <c r="L266" s="42"/>
      <c r="M266" s="42"/>
      <c r="N266" s="42"/>
      <c r="O266" s="42"/>
      <c r="P266" s="42"/>
      <c r="Q266" s="42"/>
      <c r="R266" s="42"/>
      <c r="S266" s="42"/>
      <c r="T266" s="42"/>
      <c r="U266" s="42"/>
    </row>
    <row r="267" spans="1:21" ht="15" customHeight="1" x14ac:dyDescent="0.2"/>
    <row r="268" spans="1:21" ht="15" customHeight="1" x14ac:dyDescent="0.2"/>
    <row r="269" spans="1:21" ht="15" customHeight="1" x14ac:dyDescent="0.2"/>
    <row r="270" spans="1:21" ht="15" customHeight="1" x14ac:dyDescent="0.2"/>
    <row r="271" spans="1:21" ht="15" customHeight="1" x14ac:dyDescent="0.2"/>
    <row r="272" spans="1:21"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sheetData>
  <pageMargins left="0.5" right="0.5" top="0.5" bottom="0.5" header="0.3" footer="0.3"/>
  <pageSetup scale="7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7">
    <tabColor theme="6" tint="0.59999389629810485"/>
    <pageSetUpPr fitToPage="1"/>
  </sheetPr>
  <dimension ref="A1:V340"/>
  <sheetViews>
    <sheetView showGridLines="0" zoomScale="86" zoomScaleNormal="86" workbookViewId="0"/>
  </sheetViews>
  <sheetFormatPr defaultRowHeight="12.75" x14ac:dyDescent="0.2"/>
  <cols>
    <col min="2" max="2" width="11.42578125" customWidth="1"/>
    <col min="3" max="4" width="10.5703125" customWidth="1"/>
    <col min="5" max="5" width="10.7109375" customWidth="1"/>
    <col min="6" max="6" width="10.5703125" customWidth="1"/>
    <col min="7" max="7" width="10.7109375" customWidth="1"/>
    <col min="8" max="10" width="10.5703125" customWidth="1"/>
    <col min="11" max="12" width="10.7109375" customWidth="1"/>
    <col min="13" max="13" width="10.5703125" customWidth="1"/>
    <col min="14" max="16" width="10.7109375" customWidth="1"/>
    <col min="17" max="17" width="11.7109375" customWidth="1"/>
    <col min="18" max="18" width="11.5703125" customWidth="1"/>
    <col min="20" max="20" width="9.140625" customWidth="1"/>
    <col min="29" max="29" width="9.140625" customWidth="1"/>
  </cols>
  <sheetData>
    <row r="1" spans="1:22" ht="15" customHeight="1" x14ac:dyDescent="0.2">
      <c r="K1" t="s">
        <v>73</v>
      </c>
    </row>
    <row r="2" spans="1:22" ht="15" customHeight="1" x14ac:dyDescent="0.2">
      <c r="A2" s="411" t="s">
        <v>266</v>
      </c>
      <c r="B2" s="410" t="s">
        <v>267</v>
      </c>
      <c r="C2" s="411"/>
      <c r="D2" s="411"/>
      <c r="E2" s="411"/>
      <c r="F2" s="411"/>
    </row>
    <row r="3" spans="1:22" ht="15" customHeight="1" x14ac:dyDescent="0.2">
      <c r="A3" s="411"/>
      <c r="B3" s="427" t="s">
        <v>376</v>
      </c>
      <c r="C3" s="411"/>
      <c r="D3" s="411"/>
      <c r="E3" s="411"/>
      <c r="F3" s="411"/>
    </row>
    <row r="4" spans="1:22" ht="15" customHeight="1" x14ac:dyDescent="0.2">
      <c r="A4" s="411"/>
      <c r="B4" s="427" t="s">
        <v>377</v>
      </c>
      <c r="C4" s="411"/>
      <c r="D4" s="411"/>
      <c r="E4" s="411"/>
      <c r="F4" s="411"/>
      <c r="G4" s="411"/>
    </row>
    <row r="5" spans="1:22" ht="15" customHeight="1" x14ac:dyDescent="0.2">
      <c r="A5" s="411"/>
      <c r="B5" s="412" t="s">
        <v>268</v>
      </c>
      <c r="C5" s="411"/>
      <c r="D5" s="411"/>
      <c r="E5" s="411"/>
      <c r="F5" s="411"/>
      <c r="G5" s="411"/>
    </row>
    <row r="6" spans="1:22" ht="15" customHeight="1" x14ac:dyDescent="0.2">
      <c r="A6" s="411"/>
      <c r="B6" s="412" t="s">
        <v>278</v>
      </c>
      <c r="C6" s="411"/>
      <c r="D6" s="411"/>
      <c r="E6" s="411"/>
      <c r="F6" s="411"/>
    </row>
    <row r="7" spans="1:22" ht="15" customHeight="1" x14ac:dyDescent="0.2">
      <c r="P7" s="289" t="s">
        <v>183</v>
      </c>
      <c r="Q7" s="289" t="s">
        <v>184</v>
      </c>
    </row>
    <row r="8" spans="1:22" ht="15" customHeight="1" x14ac:dyDescent="0.2">
      <c r="B8" s="17" t="s">
        <v>14</v>
      </c>
      <c r="C8" s="18"/>
      <c r="D8" s="18"/>
      <c r="E8" s="18"/>
      <c r="F8" s="18"/>
      <c r="G8" s="18"/>
      <c r="H8" s="18"/>
      <c r="I8" s="18"/>
      <c r="J8" s="18"/>
      <c r="K8" s="18"/>
      <c r="L8" s="19"/>
      <c r="O8" s="291" t="s">
        <v>185</v>
      </c>
      <c r="P8">
        <v>77</v>
      </c>
      <c r="Q8">
        <v>73</v>
      </c>
    </row>
    <row r="9" spans="1:22" ht="15" customHeight="1" x14ac:dyDescent="0.2">
      <c r="B9" s="287" t="s">
        <v>182</v>
      </c>
      <c r="C9" s="237"/>
      <c r="D9" s="237"/>
      <c r="E9" s="237"/>
      <c r="F9" s="237"/>
      <c r="G9" s="237"/>
      <c r="H9" s="237"/>
      <c r="I9" s="237"/>
      <c r="J9" s="237"/>
      <c r="K9" s="237"/>
      <c r="L9" s="237"/>
      <c r="O9" s="291" t="s">
        <v>187</v>
      </c>
      <c r="P9" s="292">
        <v>73</v>
      </c>
      <c r="Q9" s="292">
        <v>69</v>
      </c>
    </row>
    <row r="10" spans="1:22" ht="15" customHeight="1" x14ac:dyDescent="0.2">
      <c r="B10" s="261" t="s">
        <v>179</v>
      </c>
      <c r="C10" s="237"/>
      <c r="D10" s="237"/>
      <c r="E10" s="237"/>
      <c r="F10" s="237"/>
      <c r="G10" s="237"/>
      <c r="H10" s="237"/>
      <c r="I10" s="237"/>
      <c r="J10" s="237"/>
      <c r="K10" s="237"/>
      <c r="L10" s="237"/>
      <c r="O10" s="290" t="s">
        <v>186</v>
      </c>
      <c r="P10">
        <f>P8-P9</f>
        <v>4</v>
      </c>
      <c r="Q10">
        <f>Q8-Q9</f>
        <v>4</v>
      </c>
    </row>
    <row r="11" spans="1:22" ht="15" customHeight="1" x14ac:dyDescent="0.2">
      <c r="B11" s="261"/>
      <c r="C11" s="237"/>
      <c r="D11" s="237"/>
      <c r="E11" s="237"/>
      <c r="F11" s="237"/>
      <c r="G11" s="237"/>
      <c r="H11" s="237"/>
      <c r="I11" s="237"/>
      <c r="J11" s="237"/>
      <c r="K11" s="237"/>
      <c r="L11" s="237"/>
    </row>
    <row r="12" spans="1:22" ht="15" customHeight="1" x14ac:dyDescent="0.2">
      <c r="A12" s="84"/>
      <c r="B12" s="287"/>
      <c r="C12" s="287"/>
      <c r="D12" s="399"/>
      <c r="E12" s="237"/>
      <c r="F12" s="237"/>
      <c r="G12" s="237"/>
      <c r="H12" s="237"/>
      <c r="I12" s="237"/>
      <c r="J12" s="237"/>
      <c r="K12" s="237"/>
      <c r="L12" s="237"/>
      <c r="M12" s="84"/>
    </row>
    <row r="13" spans="1:22" ht="15" customHeight="1" x14ac:dyDescent="0.2">
      <c r="A13" s="84"/>
      <c r="B13" s="287" t="s">
        <v>262</v>
      </c>
      <c r="C13" s="287" t="s">
        <v>314</v>
      </c>
      <c r="D13" s="426" t="s">
        <v>313</v>
      </c>
      <c r="E13" s="237" t="s">
        <v>358</v>
      </c>
      <c r="F13" s="237"/>
      <c r="G13" s="237"/>
      <c r="H13" s="237"/>
      <c r="I13" s="237"/>
      <c r="J13" s="237"/>
      <c r="K13" s="237"/>
      <c r="L13" s="237"/>
      <c r="M13" s="84"/>
    </row>
    <row r="14" spans="1:22" ht="15" customHeight="1" x14ac:dyDescent="0.2">
      <c r="A14" s="84"/>
      <c r="B14" s="408" t="s">
        <v>361</v>
      </c>
      <c r="C14" s="83"/>
      <c r="D14" s="83"/>
      <c r="E14" s="83"/>
      <c r="F14" s="83"/>
      <c r="G14" s="83"/>
      <c r="H14" s="83"/>
      <c r="I14" s="83"/>
      <c r="J14" s="83"/>
      <c r="K14" s="83"/>
      <c r="L14" s="83"/>
      <c r="M14" s="84"/>
    </row>
    <row r="15" spans="1:22" ht="15" customHeight="1" x14ac:dyDescent="0.25">
      <c r="A15" s="84"/>
      <c r="B15" s="361"/>
      <c r="C15" s="83"/>
      <c r="D15" s="83"/>
      <c r="E15" s="83"/>
      <c r="F15" s="83"/>
      <c r="G15" s="83"/>
      <c r="H15" s="83"/>
      <c r="I15" s="83"/>
      <c r="J15" s="83"/>
      <c r="K15" s="83"/>
      <c r="L15" s="83"/>
      <c r="M15" s="84"/>
      <c r="U15" s="143" t="s">
        <v>298</v>
      </c>
      <c r="V15" t="s">
        <v>286</v>
      </c>
    </row>
    <row r="16" spans="1:22" ht="15" customHeight="1" x14ac:dyDescent="0.25">
      <c r="A16" s="84"/>
      <c r="B16" s="361"/>
      <c r="C16" s="83"/>
      <c r="D16" s="83"/>
      <c r="E16" s="83"/>
      <c r="F16" s="83"/>
      <c r="G16" s="83"/>
      <c r="H16" s="83"/>
      <c r="I16" s="83"/>
      <c r="J16" s="83"/>
      <c r="K16" s="83"/>
      <c r="L16" s="83"/>
      <c r="M16" s="84"/>
      <c r="U16" s="72" t="s">
        <v>121</v>
      </c>
      <c r="V16" t="s">
        <v>287</v>
      </c>
    </row>
    <row r="17" spans="1:22" ht="15" customHeight="1" x14ac:dyDescent="0.2">
      <c r="A17" s="84"/>
      <c r="C17" s="83"/>
      <c r="D17" s="83"/>
      <c r="E17" s="83"/>
      <c r="F17" s="83"/>
      <c r="G17" s="83"/>
      <c r="H17" s="83"/>
      <c r="I17" s="83"/>
      <c r="J17" s="83"/>
      <c r="K17" s="83"/>
      <c r="L17" s="83"/>
      <c r="M17" s="84"/>
      <c r="U17" s="72" t="s">
        <v>122</v>
      </c>
      <c r="V17" s="346" t="s">
        <v>305</v>
      </c>
    </row>
    <row r="18" spans="1:22" ht="15" customHeight="1" x14ac:dyDescent="0.2">
      <c r="A18" s="84"/>
      <c r="B18" s="437" t="s">
        <v>315</v>
      </c>
      <c r="D18" s="83"/>
      <c r="E18" s="83"/>
      <c r="F18" s="83"/>
      <c r="G18" s="83"/>
      <c r="H18" s="83"/>
      <c r="I18" s="83"/>
      <c r="J18" s="83"/>
      <c r="K18" s="83"/>
      <c r="L18" s="83"/>
      <c r="M18" s="84"/>
      <c r="U18" s="72" t="s">
        <v>125</v>
      </c>
      <c r="V18" s="346" t="s">
        <v>299</v>
      </c>
    </row>
    <row r="19" spans="1:22" ht="15" customHeight="1" x14ac:dyDescent="0.2">
      <c r="A19" s="84"/>
      <c r="B19" s="415" t="s">
        <v>279</v>
      </c>
      <c r="C19" s="416"/>
      <c r="D19" s="21"/>
      <c r="E19" s="511">
        <v>4</v>
      </c>
      <c r="F19" s="416"/>
      <c r="G19" s="420"/>
      <c r="H19" s="83"/>
      <c r="I19" s="83"/>
      <c r="J19" s="83"/>
      <c r="K19" s="83"/>
      <c r="L19" s="83"/>
      <c r="M19" s="84"/>
      <c r="U19" s="72" t="s">
        <v>152</v>
      </c>
      <c r="V19" s="54" t="s">
        <v>296</v>
      </c>
    </row>
    <row r="20" spans="1:22" ht="15" customHeight="1" x14ac:dyDescent="0.2">
      <c r="A20" s="84"/>
      <c r="B20" s="417"/>
      <c r="C20" s="414" t="str">
        <f>L243</f>
        <v>C-ZETA CURVE</v>
      </c>
      <c r="D20" s="83" t="str">
        <f>M243</f>
        <v xml:space="preserve"> 93_58_30</v>
      </c>
      <c r="E20" s="83"/>
      <c r="F20" s="83"/>
      <c r="G20" s="418"/>
      <c r="H20" s="83"/>
      <c r="I20" s="83"/>
      <c r="J20" s="83"/>
      <c r="K20" s="83"/>
      <c r="L20" s="83"/>
      <c r="M20" s="84"/>
      <c r="U20" s="72" t="s">
        <v>157</v>
      </c>
      <c r="V20" s="346" t="s">
        <v>300</v>
      </c>
    </row>
    <row r="21" spans="1:22" ht="15" customHeight="1" x14ac:dyDescent="0.2">
      <c r="B21" s="419" t="s">
        <v>390</v>
      </c>
      <c r="C21" s="42"/>
      <c r="D21" s="42"/>
      <c r="E21" s="42"/>
      <c r="F21" s="42"/>
      <c r="G21" s="31"/>
      <c r="U21" s="72"/>
      <c r="V21" s="54" t="s">
        <v>301</v>
      </c>
    </row>
    <row r="22" spans="1:22" ht="15" customHeight="1" x14ac:dyDescent="0.2">
      <c r="A22" s="169" t="s">
        <v>121</v>
      </c>
      <c r="B22" s="143" t="s">
        <v>139</v>
      </c>
      <c r="U22" s="72"/>
      <c r="V22" t="s">
        <v>290</v>
      </c>
    </row>
    <row r="23" spans="1:22" ht="15" customHeight="1" x14ac:dyDescent="0.2">
      <c r="U23" s="72" t="s">
        <v>159</v>
      </c>
      <c r="V23" t="s">
        <v>291</v>
      </c>
    </row>
    <row r="24" spans="1:22" ht="15" customHeight="1" x14ac:dyDescent="0.2">
      <c r="U24" s="72" t="s">
        <v>162</v>
      </c>
      <c r="V24" t="s">
        <v>292</v>
      </c>
    </row>
    <row r="25" spans="1:22" ht="15" customHeight="1" x14ac:dyDescent="0.2">
      <c r="B25" s="54" t="s">
        <v>140</v>
      </c>
      <c r="U25" s="72" t="s">
        <v>172</v>
      </c>
      <c r="V25" s="54" t="s">
        <v>293</v>
      </c>
    </row>
    <row r="26" spans="1:22" ht="15" customHeight="1" thickBot="1" x14ac:dyDescent="0.25">
      <c r="U26" s="72" t="s">
        <v>175</v>
      </c>
      <c r="V26" s="54" t="s">
        <v>294</v>
      </c>
    </row>
    <row r="27" spans="1:22" ht="15" customHeight="1" x14ac:dyDescent="0.2">
      <c r="B27" s="146"/>
      <c r="C27" s="147" t="s">
        <v>105</v>
      </c>
      <c r="D27" s="147" t="s">
        <v>105</v>
      </c>
      <c r="E27" s="208" t="s">
        <v>105</v>
      </c>
      <c r="U27" s="72"/>
    </row>
    <row r="28" spans="1:22" ht="15" customHeight="1" x14ac:dyDescent="0.2">
      <c r="B28" s="146"/>
      <c r="C28" s="147" t="s">
        <v>342</v>
      </c>
      <c r="D28" s="147" t="s">
        <v>343</v>
      </c>
      <c r="E28" s="209" t="s">
        <v>108</v>
      </c>
      <c r="V28" s="346" t="s">
        <v>309</v>
      </c>
    </row>
    <row r="29" spans="1:22" ht="15" customHeight="1" x14ac:dyDescent="0.2">
      <c r="B29" s="147" t="s">
        <v>39</v>
      </c>
      <c r="C29" s="147" t="s">
        <v>106</v>
      </c>
      <c r="D29" s="147" t="s">
        <v>107</v>
      </c>
      <c r="E29" s="209" t="s">
        <v>151</v>
      </c>
    </row>
    <row r="30" spans="1:22" ht="15" customHeight="1" x14ac:dyDescent="0.2">
      <c r="B30" s="147">
        <v>1</v>
      </c>
      <c r="C30" s="144">
        <v>2</v>
      </c>
      <c r="D30" s="144">
        <v>0.75</v>
      </c>
      <c r="E30" s="210">
        <f>SUM(C30:D30)/2</f>
        <v>1.375</v>
      </c>
    </row>
    <row r="31" spans="1:22" ht="15" customHeight="1" x14ac:dyDescent="0.2">
      <c r="B31" s="147">
        <v>2</v>
      </c>
      <c r="C31" s="144">
        <v>4</v>
      </c>
      <c r="D31" s="144">
        <v>2</v>
      </c>
      <c r="E31" s="210">
        <f t="shared" ref="E31:E39" si="0">SUM(C31:D31)/2</f>
        <v>3</v>
      </c>
    </row>
    <row r="32" spans="1:22" ht="15" customHeight="1" x14ac:dyDescent="0.2">
      <c r="B32" s="147">
        <v>3</v>
      </c>
      <c r="C32" s="144">
        <v>5.8</v>
      </c>
      <c r="D32" s="144">
        <v>3.3</v>
      </c>
      <c r="E32" s="210">
        <f t="shared" si="0"/>
        <v>4.55</v>
      </c>
    </row>
    <row r="33" spans="1:5" ht="15" customHeight="1" x14ac:dyDescent="0.2">
      <c r="B33" s="147">
        <v>4</v>
      </c>
      <c r="C33" s="144">
        <v>7.51</v>
      </c>
      <c r="D33" s="144">
        <v>4.7</v>
      </c>
      <c r="E33" s="210">
        <f t="shared" si="0"/>
        <v>6.1050000000000004</v>
      </c>
    </row>
    <row r="34" spans="1:5" ht="15" customHeight="1" x14ac:dyDescent="0.2">
      <c r="B34" s="147">
        <v>5</v>
      </c>
      <c r="C34" s="144">
        <v>9</v>
      </c>
      <c r="D34" s="144">
        <v>5.9</v>
      </c>
      <c r="E34" s="210">
        <f t="shared" si="0"/>
        <v>7.45</v>
      </c>
    </row>
    <row r="35" spans="1:5" ht="15" customHeight="1" x14ac:dyDescent="0.2">
      <c r="B35" s="147">
        <v>10</v>
      </c>
      <c r="C35" s="144">
        <v>11.51</v>
      </c>
      <c r="D35" s="144">
        <v>10</v>
      </c>
      <c r="E35" s="210">
        <f t="shared" si="0"/>
        <v>10.754999999999999</v>
      </c>
    </row>
    <row r="36" spans="1:5" ht="15" customHeight="1" x14ac:dyDescent="0.2">
      <c r="B36" s="147">
        <v>20</v>
      </c>
      <c r="C36" s="144">
        <v>13</v>
      </c>
      <c r="D36" s="144">
        <v>13</v>
      </c>
      <c r="E36" s="210">
        <f t="shared" si="0"/>
        <v>13</v>
      </c>
    </row>
    <row r="37" spans="1:5" ht="15" customHeight="1" x14ac:dyDescent="0.2">
      <c r="B37" s="147">
        <v>30</v>
      </c>
      <c r="C37" s="144">
        <v>13</v>
      </c>
      <c r="D37" s="144">
        <v>13</v>
      </c>
      <c r="E37" s="210">
        <f t="shared" si="0"/>
        <v>13</v>
      </c>
    </row>
    <row r="38" spans="1:5" ht="15" customHeight="1" x14ac:dyDescent="0.2">
      <c r="B38" s="147">
        <v>40</v>
      </c>
      <c r="C38" s="144">
        <v>13</v>
      </c>
      <c r="D38" s="144">
        <v>13</v>
      </c>
      <c r="E38" s="210">
        <f t="shared" si="0"/>
        <v>13</v>
      </c>
    </row>
    <row r="39" spans="1:5" ht="15" customHeight="1" thickBot="1" x14ac:dyDescent="0.25">
      <c r="B39" s="147">
        <v>50</v>
      </c>
      <c r="C39" s="144">
        <v>13</v>
      </c>
      <c r="D39" s="144">
        <v>13</v>
      </c>
      <c r="E39" s="211">
        <f t="shared" si="0"/>
        <v>13</v>
      </c>
    </row>
    <row r="40" spans="1:5" ht="15" customHeight="1" x14ac:dyDescent="0.2"/>
    <row r="41" spans="1:5" ht="15" customHeight="1" x14ac:dyDescent="0.2"/>
    <row r="42" spans="1:5" ht="15" customHeight="1" x14ac:dyDescent="0.2"/>
    <row r="43" spans="1:5" ht="15" customHeight="1" x14ac:dyDescent="0.2"/>
    <row r="44" spans="1:5" ht="15" customHeight="1" x14ac:dyDescent="0.2">
      <c r="A44" s="143" t="s">
        <v>122</v>
      </c>
      <c r="B44" s="143" t="s">
        <v>141</v>
      </c>
    </row>
    <row r="45" spans="1:5" ht="15" customHeight="1" x14ac:dyDescent="0.2">
      <c r="B45" s="169" t="s">
        <v>142</v>
      </c>
    </row>
    <row r="46" spans="1:5" ht="15" customHeight="1" x14ac:dyDescent="0.2">
      <c r="B46" s="169" t="s">
        <v>144</v>
      </c>
    </row>
    <row r="47" spans="1:5" ht="15" customHeight="1" x14ac:dyDescent="0.2"/>
    <row r="48" spans="1:5" ht="15" customHeight="1" x14ac:dyDescent="0.2">
      <c r="B48" s="196" t="s">
        <v>202</v>
      </c>
      <c r="C48" s="196"/>
      <c r="D48" s="196"/>
    </row>
    <row r="49" spans="2:4" ht="15" customHeight="1" x14ac:dyDescent="0.2">
      <c r="B49" s="196" t="s">
        <v>143</v>
      </c>
      <c r="C49" s="195"/>
      <c r="D49" s="196" t="s">
        <v>111</v>
      </c>
    </row>
    <row r="50" spans="2:4" ht="15" customHeight="1" x14ac:dyDescent="0.2">
      <c r="B50" s="196" t="s">
        <v>119</v>
      </c>
      <c r="C50" s="195"/>
      <c r="D50" s="196" t="s">
        <v>119</v>
      </c>
    </row>
    <row r="51" spans="2:4" ht="15" customHeight="1" x14ac:dyDescent="0.2">
      <c r="B51" s="196" t="s">
        <v>120</v>
      </c>
      <c r="C51" s="195" t="s">
        <v>39</v>
      </c>
      <c r="D51" s="196" t="s">
        <v>120</v>
      </c>
    </row>
    <row r="52" spans="2:4" ht="15" customHeight="1" x14ac:dyDescent="0.2">
      <c r="B52" s="188">
        <v>22.3</v>
      </c>
      <c r="C52" s="185">
        <v>1</v>
      </c>
      <c r="D52" s="188">
        <v>22.3</v>
      </c>
    </row>
    <row r="53" spans="2:4" ht="15" customHeight="1" x14ac:dyDescent="0.2">
      <c r="B53" s="189">
        <v>44.8</v>
      </c>
      <c r="C53" s="185">
        <v>2</v>
      </c>
      <c r="D53" s="189">
        <v>44.8</v>
      </c>
    </row>
    <row r="54" spans="2:4" ht="15" customHeight="1" x14ac:dyDescent="0.2">
      <c r="B54" s="184">
        <v>62</v>
      </c>
      <c r="C54" s="185">
        <v>3</v>
      </c>
      <c r="D54" s="207">
        <v>61.5</v>
      </c>
    </row>
    <row r="55" spans="2:4" ht="15" customHeight="1" x14ac:dyDescent="0.2">
      <c r="B55" s="184">
        <v>75.5</v>
      </c>
      <c r="C55" s="185">
        <v>4</v>
      </c>
      <c r="D55" s="207">
        <v>77.5</v>
      </c>
    </row>
    <row r="56" spans="2:4" ht="15" customHeight="1" x14ac:dyDescent="0.2">
      <c r="B56" s="189">
        <v>91.1</v>
      </c>
      <c r="C56" s="185">
        <v>5</v>
      </c>
      <c r="D56" s="189">
        <v>91.1</v>
      </c>
    </row>
    <row r="57" spans="2:4" ht="15" customHeight="1" x14ac:dyDescent="0.2">
      <c r="B57" s="184">
        <v>150.69999999999999</v>
      </c>
      <c r="C57" s="185">
        <v>10</v>
      </c>
      <c r="D57" s="184">
        <v>150.69999999999999</v>
      </c>
    </row>
    <row r="58" spans="2:4" ht="15" customHeight="1" x14ac:dyDescent="0.2">
      <c r="B58" s="184">
        <v>252.2</v>
      </c>
      <c r="C58" s="185">
        <v>20</v>
      </c>
      <c r="D58" s="184">
        <v>252.2</v>
      </c>
    </row>
    <row r="59" spans="2:4" ht="15" customHeight="1" x14ac:dyDescent="0.2">
      <c r="B59" s="184">
        <v>340.1</v>
      </c>
      <c r="C59" s="185">
        <v>30</v>
      </c>
      <c r="D59" s="184">
        <v>340.1</v>
      </c>
    </row>
    <row r="60" spans="2:4" ht="15" customHeight="1" x14ac:dyDescent="0.2">
      <c r="B60" s="184">
        <v>420.4</v>
      </c>
      <c r="C60" s="185">
        <v>40</v>
      </c>
      <c r="D60" s="184">
        <v>420.4</v>
      </c>
    </row>
    <row r="61" spans="2:4" ht="15" customHeight="1" x14ac:dyDescent="0.2">
      <c r="B61" s="189">
        <v>498</v>
      </c>
      <c r="C61" s="185">
        <v>50</v>
      </c>
      <c r="D61" s="189">
        <v>498</v>
      </c>
    </row>
    <row r="62" spans="2:4" ht="15" customHeight="1" x14ac:dyDescent="0.2"/>
    <row r="63" spans="2:4" ht="15" customHeight="1" x14ac:dyDescent="0.2"/>
    <row r="64" spans="2:4" ht="15" customHeight="1" x14ac:dyDescent="0.2"/>
    <row r="65" spans="1:11" ht="15" customHeight="1" x14ac:dyDescent="0.2"/>
    <row r="66" spans="1:11" ht="15" customHeight="1" x14ac:dyDescent="0.2">
      <c r="A66" s="143" t="s">
        <v>125</v>
      </c>
      <c r="B66" s="143" t="s">
        <v>145</v>
      </c>
    </row>
    <row r="67" spans="1:11" ht="15" customHeight="1" x14ac:dyDescent="0.2">
      <c r="B67" s="169" t="s">
        <v>147</v>
      </c>
    </row>
    <row r="68" spans="1:11" ht="15" customHeight="1" x14ac:dyDescent="0.2">
      <c r="B68" s="169"/>
    </row>
    <row r="69" spans="1:11" ht="15" customHeight="1" x14ac:dyDescent="0.2"/>
    <row r="70" spans="1:11" ht="15" customHeight="1" x14ac:dyDescent="0.2">
      <c r="E70" s="504">
        <f>INDEX(LINEST(D$78:D$83,($C$78:$C$83)^{1,2,3}),1)</f>
        <v>0.11100018943729149</v>
      </c>
      <c r="F70" s="503">
        <f>INDEX(LINEST(D$83:D$87,($C$83:$C$87)^{1,2,3}),1)</f>
        <v>9.0833333333334172E-4</v>
      </c>
      <c r="H70" t="s">
        <v>387</v>
      </c>
    </row>
    <row r="71" spans="1:11" ht="15" customHeight="1" x14ac:dyDescent="0.2">
      <c r="E71" s="504">
        <f>INDEX(LINEST(D$78:D$83,($C$78:$C$83)^{1,2,3}),2)</f>
        <v>-2.3465301402625163</v>
      </c>
      <c r="F71" s="503">
        <f>INDEX(LINEST(D$83:D$87,($C$83:$C$87)^{1,2,3}),2)</f>
        <v>-0.12132142857142943</v>
      </c>
      <c r="H71" t="s">
        <v>388</v>
      </c>
    </row>
    <row r="72" spans="1:11" ht="15" customHeight="1" x14ac:dyDescent="0.2">
      <c r="E72" s="504">
        <f>INDEX(LINEST(D$78:D$83,($C$78:$C$83)^{1,2,3}),3)</f>
        <v>27.729332983400511</v>
      </c>
      <c r="F72" s="503">
        <f>INDEX(LINEST(D$83:D$87,($C$83:$C$87)^{1,2,3}),3)</f>
        <v>13.145952380952403</v>
      </c>
    </row>
    <row r="73" spans="1:11" ht="15" customHeight="1" x14ac:dyDescent="0.2">
      <c r="E73" s="504">
        <f>INDEX(LINEST(D$78:D$83,($C$78:$C$83)^{1,2,3}),4)</f>
        <v>-2.9327308175008291</v>
      </c>
      <c r="F73" s="503">
        <f>INDEX(LINEST(D$83:D$87,($C$83:$C$87)^{1,2,3}),4)</f>
        <v>30.479999999999897</v>
      </c>
    </row>
    <row r="74" spans="1:11" ht="15" customHeight="1" x14ac:dyDescent="0.2">
      <c r="E74" s="1"/>
      <c r="F74" s="1"/>
    </row>
    <row r="75" spans="1:11" ht="15" customHeight="1" x14ac:dyDescent="0.2">
      <c r="C75" s="195"/>
      <c r="D75" s="196" t="s">
        <v>146</v>
      </c>
      <c r="E75" s="196"/>
      <c r="F75" s="1"/>
      <c r="H75" s="212"/>
      <c r="I75" s="471" t="s">
        <v>133</v>
      </c>
      <c r="J75" s="212"/>
      <c r="K75" s="212"/>
    </row>
    <row r="76" spans="1:11" ht="15" customHeight="1" x14ac:dyDescent="0.2">
      <c r="C76" s="195"/>
      <c r="D76" s="196" t="s">
        <v>119</v>
      </c>
      <c r="E76" s="196"/>
      <c r="F76" s="1"/>
      <c r="H76" s="212"/>
      <c r="I76" s="472" t="s">
        <v>110</v>
      </c>
      <c r="J76" s="212" t="s">
        <v>111</v>
      </c>
      <c r="K76" s="508" t="s">
        <v>385</v>
      </c>
    </row>
    <row r="77" spans="1:11" ht="15" customHeight="1" x14ac:dyDescent="0.2">
      <c r="C77" s="195" t="s">
        <v>39</v>
      </c>
      <c r="D77" s="196" t="s">
        <v>120</v>
      </c>
      <c r="E77" s="196"/>
      <c r="F77" s="1"/>
      <c r="H77" s="212" t="s">
        <v>39</v>
      </c>
      <c r="I77" s="472" t="s">
        <v>149</v>
      </c>
      <c r="J77" s="212" t="s">
        <v>346</v>
      </c>
      <c r="K77" s="509" t="s">
        <v>386</v>
      </c>
    </row>
    <row r="78" spans="1:11" ht="15" customHeight="1" x14ac:dyDescent="0.2">
      <c r="C78" s="185">
        <v>1</v>
      </c>
      <c r="D78" s="188">
        <f>D52</f>
        <v>22.3</v>
      </c>
      <c r="E78" s="193">
        <f>(E$70*($C78)^3)+(E$71*($C78)^2)+(E$72*($C78)^1)+(E$73)</f>
        <v>22.561072215074457</v>
      </c>
      <c r="F78" s="3"/>
      <c r="H78" s="185">
        <v>1</v>
      </c>
      <c r="I78" s="473">
        <f>E78</f>
        <v>22.561072215074457</v>
      </c>
      <c r="J78" s="188">
        <f>B52</f>
        <v>22.3</v>
      </c>
      <c r="K78" s="505">
        <f>I78-J78</f>
        <v>0.26107221507445644</v>
      </c>
    </row>
    <row r="79" spans="1:11" ht="15" customHeight="1" x14ac:dyDescent="0.2">
      <c r="C79" s="185">
        <v>2</v>
      </c>
      <c r="D79" s="189">
        <f t="shared" ref="D79:D87" si="1">D53</f>
        <v>44.8</v>
      </c>
      <c r="E79" s="193">
        <f t="shared" ref="E79:E83" si="2">(E$70*($C79)^3)+(E$71*($C79)^2)+(E$72*($C79)^1)+(E$73)</f>
        <v>44.027816103748464</v>
      </c>
      <c r="F79" s="3"/>
      <c r="H79" s="185">
        <v>2</v>
      </c>
      <c r="I79" s="473">
        <f>E79</f>
        <v>44.027816103748464</v>
      </c>
      <c r="J79" s="189">
        <f t="shared" ref="J79:J87" si="3">B53</f>
        <v>44.8</v>
      </c>
      <c r="K79" s="506">
        <f t="shared" ref="K79:K87" si="4">I79-J79</f>
        <v>-0.7721838962515335</v>
      </c>
    </row>
    <row r="80" spans="1:11" ht="15" customHeight="1" x14ac:dyDescent="0.2">
      <c r="B80" t="s">
        <v>383</v>
      </c>
      <c r="C80" s="185">
        <v>3</v>
      </c>
      <c r="D80" s="184">
        <f t="shared" si="1"/>
        <v>61.5</v>
      </c>
      <c r="E80" s="193">
        <f t="shared" si="2"/>
        <v>62.133501985144932</v>
      </c>
      <c r="F80" s="3"/>
      <c r="H80" s="185">
        <v>3</v>
      </c>
      <c r="I80" s="473">
        <f>E80</f>
        <v>62.133501985144932</v>
      </c>
      <c r="J80" s="184">
        <f t="shared" si="3"/>
        <v>62</v>
      </c>
      <c r="K80" s="507">
        <f t="shared" si="4"/>
        <v>0.13350198514493172</v>
      </c>
    </row>
    <row r="81" spans="1:11" ht="15" customHeight="1" x14ac:dyDescent="0.2">
      <c r="C81" s="185">
        <v>4</v>
      </c>
      <c r="D81" s="184">
        <f t="shared" si="1"/>
        <v>77.5</v>
      </c>
      <c r="E81" s="193">
        <f t="shared" si="2"/>
        <v>77.544130995887613</v>
      </c>
      <c r="F81" s="3"/>
      <c r="H81" s="185">
        <v>4</v>
      </c>
      <c r="I81" s="473">
        <f>E81</f>
        <v>77.544130995887613</v>
      </c>
      <c r="J81" s="184">
        <f t="shared" si="3"/>
        <v>75.5</v>
      </c>
      <c r="K81" s="507">
        <f t="shared" si="4"/>
        <v>2.0441309958876133</v>
      </c>
    </row>
    <row r="82" spans="1:11" ht="15" customHeight="1" x14ac:dyDescent="0.2">
      <c r="C82" s="185">
        <v>5</v>
      </c>
      <c r="D82" s="189">
        <f t="shared" si="1"/>
        <v>91.1</v>
      </c>
      <c r="E82" s="193">
        <f t="shared" si="2"/>
        <v>90.925704272600271</v>
      </c>
      <c r="F82" s="3"/>
      <c r="H82" s="185">
        <v>5</v>
      </c>
      <c r="I82" s="473">
        <f>E82</f>
        <v>90.925704272600271</v>
      </c>
      <c r="J82" s="189">
        <f t="shared" si="3"/>
        <v>91.1</v>
      </c>
      <c r="K82" s="506">
        <f t="shared" si="4"/>
        <v>-0.17429572739972343</v>
      </c>
    </row>
    <row r="83" spans="1:11" ht="15" customHeight="1" x14ac:dyDescent="0.2">
      <c r="C83" s="185">
        <v>10</v>
      </c>
      <c r="D83" s="184">
        <f t="shared" si="1"/>
        <v>150.69999999999999</v>
      </c>
      <c r="E83" s="193">
        <f t="shared" si="2"/>
        <v>150.70777442754417</v>
      </c>
      <c r="F83" s="194">
        <f>(F$70*($C83)^3)+(F$71*($C83)^2)+(F$72*($C83)^1)+(F$73)</f>
        <v>150.71571428571431</v>
      </c>
      <c r="H83" s="185">
        <v>10</v>
      </c>
      <c r="I83" s="473">
        <f>(E83+F83)/2</f>
        <v>150.71174435662925</v>
      </c>
      <c r="J83" s="184">
        <f t="shared" si="3"/>
        <v>150.69999999999999</v>
      </c>
      <c r="K83" s="507">
        <f t="shared" si="4"/>
        <v>1.1744356629264985E-2</v>
      </c>
    </row>
    <row r="84" spans="1:11" ht="15" customHeight="1" x14ac:dyDescent="0.2">
      <c r="C84" s="185">
        <v>20</v>
      </c>
      <c r="D84" s="184">
        <f t="shared" si="1"/>
        <v>252.2</v>
      </c>
      <c r="E84" s="3"/>
      <c r="F84" s="194">
        <f t="shared" ref="F84:F87" si="5">(F$70*($C84)^3)+(F$71*($C84)^2)+(F$72*($C84)^1)+(F$73)</f>
        <v>252.13714285714292</v>
      </c>
      <c r="H84" s="185">
        <v>20</v>
      </c>
      <c r="I84" s="473">
        <f>F84</f>
        <v>252.13714285714292</v>
      </c>
      <c r="J84" s="184">
        <f t="shared" si="3"/>
        <v>252.2</v>
      </c>
      <c r="K84" s="507">
        <f t="shared" si="4"/>
        <v>-6.2857142857069448E-2</v>
      </c>
    </row>
    <row r="85" spans="1:11" ht="15" customHeight="1" x14ac:dyDescent="0.2">
      <c r="B85" s="54" t="s">
        <v>384</v>
      </c>
      <c r="C85" s="185">
        <v>30</v>
      </c>
      <c r="D85" s="184">
        <f t="shared" si="1"/>
        <v>340.1</v>
      </c>
      <c r="E85" s="3"/>
      <c r="F85" s="194">
        <f t="shared" si="5"/>
        <v>340.1942857142858</v>
      </c>
      <c r="H85" s="185">
        <v>30</v>
      </c>
      <c r="I85" s="473">
        <f>F85</f>
        <v>340.1942857142858</v>
      </c>
      <c r="J85" s="184">
        <f t="shared" si="3"/>
        <v>340.1</v>
      </c>
      <c r="K85" s="507">
        <f t="shared" si="4"/>
        <v>9.4285714285774702E-2</v>
      </c>
    </row>
    <row r="86" spans="1:11" ht="15" customHeight="1" x14ac:dyDescent="0.2">
      <c r="C86" s="185">
        <v>40</v>
      </c>
      <c r="D86" s="184">
        <f t="shared" si="1"/>
        <v>420.4</v>
      </c>
      <c r="E86" s="3"/>
      <c r="F86" s="194">
        <f t="shared" si="5"/>
        <v>420.33714285714279</v>
      </c>
      <c r="H86" s="185">
        <v>40</v>
      </c>
      <c r="I86" s="473">
        <f>F86</f>
        <v>420.33714285714279</v>
      </c>
      <c r="J86" s="184">
        <f t="shared" si="3"/>
        <v>420.4</v>
      </c>
      <c r="K86" s="507">
        <f t="shared" si="4"/>
        <v>-6.2857142857183135E-2</v>
      </c>
    </row>
    <row r="87" spans="1:11" ht="15" customHeight="1" x14ac:dyDescent="0.2">
      <c r="C87" s="185">
        <v>50</v>
      </c>
      <c r="D87" s="189">
        <f t="shared" si="1"/>
        <v>498</v>
      </c>
      <c r="E87" s="3"/>
      <c r="F87" s="194">
        <f t="shared" si="5"/>
        <v>498.01571428571424</v>
      </c>
      <c r="H87" s="185">
        <v>50</v>
      </c>
      <c r="I87" s="474">
        <f>F87</f>
        <v>498.01571428571424</v>
      </c>
      <c r="J87" s="189">
        <f t="shared" si="3"/>
        <v>498</v>
      </c>
      <c r="K87" s="506">
        <f t="shared" si="4"/>
        <v>1.571428571423894E-2</v>
      </c>
    </row>
    <row r="88" spans="1:11" ht="15" customHeight="1" x14ac:dyDescent="0.2">
      <c r="I88" s="72"/>
    </row>
    <row r="89" spans="1:11" ht="15" customHeight="1" x14ac:dyDescent="0.2"/>
    <row r="90" spans="1:11" ht="15" customHeight="1" x14ac:dyDescent="0.2"/>
    <row r="91" spans="1:11" ht="15" customHeight="1" x14ac:dyDescent="0.2">
      <c r="I91" s="72"/>
    </row>
    <row r="92" spans="1:11" ht="15" customHeight="1" x14ac:dyDescent="0.2">
      <c r="A92" s="143" t="s">
        <v>152</v>
      </c>
      <c r="B92" s="143" t="s">
        <v>150</v>
      </c>
    </row>
    <row r="93" spans="1:11" ht="15" customHeight="1" x14ac:dyDescent="0.2">
      <c r="A93" s="143"/>
      <c r="B93" s="143"/>
    </row>
    <row r="94" spans="1:11" ht="15" customHeight="1" x14ac:dyDescent="0.2">
      <c r="A94" s="143"/>
      <c r="B94" s="143" t="s">
        <v>153</v>
      </c>
    </row>
    <row r="95" spans="1:11" ht="15" customHeight="1" x14ac:dyDescent="0.2">
      <c r="A95" s="143"/>
      <c r="B95" s="143"/>
      <c r="K95" s="169" t="s">
        <v>155</v>
      </c>
    </row>
    <row r="96" spans="1:11" ht="15" customHeight="1" x14ac:dyDescent="0.2">
      <c r="I96" s="72"/>
    </row>
    <row r="97" spans="2:18" ht="15" customHeight="1" thickBot="1" x14ac:dyDescent="0.25">
      <c r="I97" s="72"/>
      <c r="M97" t="s">
        <v>171</v>
      </c>
    </row>
    <row r="98" spans="2:18" ht="15" customHeight="1" x14ac:dyDescent="0.2">
      <c r="B98" s="195"/>
      <c r="C98" s="190"/>
      <c r="D98" s="190"/>
      <c r="E98" s="190"/>
      <c r="F98" s="213" t="s">
        <v>133</v>
      </c>
      <c r="G98" s="213" t="s">
        <v>133</v>
      </c>
      <c r="H98" s="191" t="s">
        <v>304</v>
      </c>
      <c r="J98" s="208" t="s">
        <v>105</v>
      </c>
      <c r="K98" s="226"/>
      <c r="M98" s="220"/>
      <c r="N98" s="218" t="s">
        <v>156</v>
      </c>
    </row>
    <row r="99" spans="2:18" ht="15" customHeight="1" x14ac:dyDescent="0.2">
      <c r="B99" s="195"/>
      <c r="C99" s="187"/>
      <c r="D99" s="187"/>
      <c r="E99" s="187" t="s">
        <v>109</v>
      </c>
      <c r="F99" s="214" t="s">
        <v>110</v>
      </c>
      <c r="G99" s="214" t="s">
        <v>112</v>
      </c>
      <c r="H99" s="191" t="s">
        <v>105</v>
      </c>
      <c r="J99" s="421" t="s">
        <v>108</v>
      </c>
      <c r="K99" s="227" t="s">
        <v>154</v>
      </c>
      <c r="M99" s="221" t="s">
        <v>129</v>
      </c>
      <c r="N99" s="219" t="s">
        <v>119</v>
      </c>
    </row>
    <row r="100" spans="2:18" ht="15" customHeight="1" thickBot="1" x14ac:dyDescent="0.25">
      <c r="B100" s="195" t="s">
        <v>39</v>
      </c>
      <c r="C100" s="190"/>
      <c r="D100" s="190"/>
      <c r="E100" s="190"/>
      <c r="F100" s="215" t="s">
        <v>149</v>
      </c>
      <c r="G100" s="215" t="s">
        <v>149</v>
      </c>
      <c r="H100" s="191"/>
      <c r="J100" s="423" t="s">
        <v>151</v>
      </c>
      <c r="K100" s="228" t="s">
        <v>132</v>
      </c>
      <c r="M100" s="221" t="s">
        <v>113</v>
      </c>
      <c r="N100" s="219"/>
      <c r="O100" s="344" t="s">
        <v>205</v>
      </c>
      <c r="P100" s="72" t="s">
        <v>213</v>
      </c>
      <c r="Q100" s="293" t="s">
        <v>214</v>
      </c>
    </row>
    <row r="101" spans="2:18" ht="15" customHeight="1" x14ac:dyDescent="0.2">
      <c r="B101" s="185">
        <v>1</v>
      </c>
      <c r="C101" s="198"/>
      <c r="D101" s="198"/>
      <c r="E101" s="198">
        <f>F101+G101</f>
        <v>22.876072215074458</v>
      </c>
      <c r="F101" s="198">
        <f>I78</f>
        <v>22.561072215074457</v>
      </c>
      <c r="G101" s="197">
        <v>0.315</v>
      </c>
      <c r="H101" s="231">
        <f>G101/E101</f>
        <v>1.3769846372159424E-2</v>
      </c>
      <c r="J101" s="216">
        <f t="shared" ref="J101:J110" si="6">E30/100</f>
        <v>1.375E-2</v>
      </c>
      <c r="K101" s="229">
        <f t="shared" ref="K101:K110" si="7">J101-H101</f>
        <v>-1.9846372159423517E-5</v>
      </c>
      <c r="M101" s="216">
        <f t="shared" ref="M101:M110" si="8">E101/F101</f>
        <v>1.0139621023769221</v>
      </c>
      <c r="N101" s="222">
        <f t="shared" ref="N101:N110" si="9">F101*M101</f>
        <v>22.876072215074458</v>
      </c>
      <c r="O101" s="366">
        <f>N101-E101</f>
        <v>0</v>
      </c>
      <c r="P101" s="367">
        <f>J101/H101</f>
        <v>0.99855870780086919</v>
      </c>
      <c r="Q101" s="368">
        <f>P101*G101</f>
        <v>0.31454599295727381</v>
      </c>
      <c r="R101" s="346" t="s">
        <v>217</v>
      </c>
    </row>
    <row r="102" spans="2:18" ht="15" customHeight="1" x14ac:dyDescent="0.2">
      <c r="B102" s="185">
        <v>2</v>
      </c>
      <c r="C102" s="199"/>
      <c r="D102" s="199"/>
      <c r="E102" s="199">
        <f t="shared" ref="E102:E110" si="10">F102+G102</f>
        <v>45.387816103748463</v>
      </c>
      <c r="F102" s="199">
        <f t="shared" ref="F102:F110" si="11">I79</f>
        <v>44.027816103748464</v>
      </c>
      <c r="G102" s="197">
        <v>1.36</v>
      </c>
      <c r="H102" s="232">
        <f t="shared" ref="H102:H110" si="12">G102/E102</f>
        <v>2.9963988505005007E-2</v>
      </c>
      <c r="J102" s="216">
        <f t="shared" si="6"/>
        <v>0.03</v>
      </c>
      <c r="K102" s="229">
        <f t="shared" si="7"/>
        <v>3.6011494994991899E-5</v>
      </c>
      <c r="M102" s="216">
        <f t="shared" si="8"/>
        <v>1.0308895630161454</v>
      </c>
      <c r="N102" s="223">
        <f t="shared" si="9"/>
        <v>45.387816103748463</v>
      </c>
      <c r="O102" s="366">
        <f t="shared" ref="O102:O110" si="13">N102-E102</f>
        <v>0</v>
      </c>
      <c r="P102" s="367">
        <f t="shared" ref="P102:P110" si="14">J102/H102</f>
        <v>1.0012018258179807</v>
      </c>
      <c r="Q102" s="369">
        <f t="shared" ref="Q102:Q110" si="15">P102*G102</f>
        <v>1.3616344831124538</v>
      </c>
      <c r="R102" s="346" t="s">
        <v>218</v>
      </c>
    </row>
    <row r="103" spans="2:18" ht="15" customHeight="1" x14ac:dyDescent="0.2">
      <c r="B103" s="185">
        <v>3</v>
      </c>
      <c r="C103" s="200"/>
      <c r="D103" s="200"/>
      <c r="E103" s="200">
        <f t="shared" si="10"/>
        <v>65.093501985144925</v>
      </c>
      <c r="F103" s="200">
        <f t="shared" si="11"/>
        <v>62.133501985144932</v>
      </c>
      <c r="G103" s="197">
        <v>2.96</v>
      </c>
      <c r="H103" s="233">
        <f t="shared" si="12"/>
        <v>4.547304891777839E-2</v>
      </c>
      <c r="J103" s="216">
        <f t="shared" si="6"/>
        <v>4.5499999999999999E-2</v>
      </c>
      <c r="K103" s="229">
        <f t="shared" si="7"/>
        <v>2.6951082221608746E-5</v>
      </c>
      <c r="M103" s="216">
        <f t="shared" si="8"/>
        <v>1.0476393556685035</v>
      </c>
      <c r="N103" s="224">
        <f t="shared" si="9"/>
        <v>65.093501985144925</v>
      </c>
      <c r="O103" s="366">
        <f t="shared" si="13"/>
        <v>0</v>
      </c>
      <c r="P103" s="367">
        <f t="shared" si="14"/>
        <v>1.0005926825419236</v>
      </c>
      <c r="Q103" s="367">
        <f t="shared" si="15"/>
        <v>2.9617543403240938</v>
      </c>
      <c r="R103" s="346" t="s">
        <v>220</v>
      </c>
    </row>
    <row r="104" spans="2:18" ht="15" customHeight="1" x14ac:dyDescent="0.2">
      <c r="B104" s="185">
        <v>4</v>
      </c>
      <c r="C104" s="200"/>
      <c r="D104" s="200"/>
      <c r="E104" s="200">
        <f t="shared" si="10"/>
        <v>82.58413099588762</v>
      </c>
      <c r="F104" s="200">
        <f t="shared" si="11"/>
        <v>77.544130995887613</v>
      </c>
      <c r="G104" s="197">
        <v>5.04</v>
      </c>
      <c r="H104" s="233">
        <f t="shared" si="12"/>
        <v>6.102867390166003E-2</v>
      </c>
      <c r="J104" s="216">
        <f t="shared" si="6"/>
        <v>6.1050000000000007E-2</v>
      </c>
      <c r="K104" s="229">
        <f t="shared" si="7"/>
        <v>2.1326098339977118E-5</v>
      </c>
      <c r="M104" s="216">
        <f t="shared" si="8"/>
        <v>1.0649952476773168</v>
      </c>
      <c r="N104" s="224">
        <f t="shared" si="9"/>
        <v>82.584130995887634</v>
      </c>
      <c r="O104" s="366">
        <f t="shared" si="13"/>
        <v>0</v>
      </c>
      <c r="P104" s="367">
        <f t="shared" si="14"/>
        <v>1.0003494439085199</v>
      </c>
      <c r="Q104" s="367">
        <f t="shared" si="15"/>
        <v>5.04176119729894</v>
      </c>
      <c r="R104" s="167" t="s">
        <v>219</v>
      </c>
    </row>
    <row r="105" spans="2:18" ht="15" customHeight="1" x14ac:dyDescent="0.2">
      <c r="B105" s="185">
        <v>5</v>
      </c>
      <c r="C105" s="199"/>
      <c r="D105" s="199"/>
      <c r="E105" s="199">
        <f t="shared" si="10"/>
        <v>98.245704272600278</v>
      </c>
      <c r="F105" s="199">
        <f t="shared" si="11"/>
        <v>90.925704272600271</v>
      </c>
      <c r="G105" s="197">
        <v>7.32</v>
      </c>
      <c r="H105" s="232">
        <f t="shared" si="12"/>
        <v>7.4507074423217023E-2</v>
      </c>
      <c r="J105" s="216">
        <f t="shared" si="6"/>
        <v>7.4499999999999997E-2</v>
      </c>
      <c r="K105" s="229">
        <f t="shared" si="7"/>
        <v>-7.0744232170266708E-6</v>
      </c>
      <c r="M105" s="216">
        <f t="shared" si="8"/>
        <v>1.0805052879002646</v>
      </c>
      <c r="N105" s="223">
        <f t="shared" si="9"/>
        <v>98.245704272600278</v>
      </c>
      <c r="O105" s="366">
        <f t="shared" si="13"/>
        <v>0</v>
      </c>
      <c r="P105" s="367">
        <f t="shared" si="14"/>
        <v>0.999905050315399</v>
      </c>
      <c r="Q105" s="369">
        <f t="shared" si="15"/>
        <v>7.319304968308721</v>
      </c>
    </row>
    <row r="106" spans="2:18" ht="15" customHeight="1" x14ac:dyDescent="0.2">
      <c r="B106" s="185">
        <v>10</v>
      </c>
      <c r="C106" s="200"/>
      <c r="D106" s="200"/>
      <c r="E106" s="200">
        <f t="shared" si="10"/>
        <v>168.84174435662925</v>
      </c>
      <c r="F106" s="200">
        <f t="shared" si="11"/>
        <v>150.71174435662925</v>
      </c>
      <c r="G106" s="197">
        <v>18.13</v>
      </c>
      <c r="H106" s="233">
        <f t="shared" si="12"/>
        <v>0.10737865845371526</v>
      </c>
      <c r="J106" s="216">
        <f t="shared" si="6"/>
        <v>0.10754999999999999</v>
      </c>
      <c r="K106" s="229">
        <f t="shared" si="7"/>
        <v>1.7134154628473119E-4</v>
      </c>
      <c r="M106" s="216">
        <f t="shared" si="8"/>
        <v>1.1202958673021459</v>
      </c>
      <c r="N106" s="224">
        <f t="shared" si="9"/>
        <v>168.84174435662928</v>
      </c>
      <c r="O106" s="366">
        <f t="shared" si="13"/>
        <v>0</v>
      </c>
      <c r="P106" s="367">
        <f t="shared" si="14"/>
        <v>1.0015956759821001</v>
      </c>
      <c r="Q106" s="367">
        <f t="shared" si="15"/>
        <v>18.158929605555475</v>
      </c>
    </row>
    <row r="107" spans="2:18" ht="15" customHeight="1" x14ac:dyDescent="0.2">
      <c r="B107" s="185">
        <v>20</v>
      </c>
      <c r="C107" s="200"/>
      <c r="D107" s="200"/>
      <c r="E107" s="200">
        <f t="shared" si="10"/>
        <v>289.86514285714293</v>
      </c>
      <c r="F107" s="200">
        <f t="shared" si="11"/>
        <v>252.13714285714292</v>
      </c>
      <c r="G107" s="197">
        <v>37.728000000000002</v>
      </c>
      <c r="H107" s="233">
        <f t="shared" si="12"/>
        <v>0.13015707797123388</v>
      </c>
      <c r="J107" s="216">
        <f t="shared" si="6"/>
        <v>0.13</v>
      </c>
      <c r="K107" s="229">
        <f t="shared" si="7"/>
        <v>-1.5707797123387657E-4</v>
      </c>
      <c r="M107" s="216">
        <f t="shared" si="8"/>
        <v>1.1496328528691868</v>
      </c>
      <c r="N107" s="224">
        <f t="shared" si="9"/>
        <v>289.86514285714293</v>
      </c>
      <c r="O107" s="366">
        <f t="shared" si="13"/>
        <v>0</v>
      </c>
      <c r="P107" s="367">
        <f t="shared" si="14"/>
        <v>0.99879316612141067</v>
      </c>
      <c r="Q107" s="367">
        <f t="shared" si="15"/>
        <v>37.682468571428586</v>
      </c>
    </row>
    <row r="108" spans="2:18" ht="15" customHeight="1" x14ac:dyDescent="0.2">
      <c r="B108" s="185">
        <v>30</v>
      </c>
      <c r="C108" s="200"/>
      <c r="D108" s="200"/>
      <c r="E108" s="200">
        <f>F108+G108</f>
        <v>391.06028571428578</v>
      </c>
      <c r="F108" s="200">
        <f t="shared" si="11"/>
        <v>340.1942857142858</v>
      </c>
      <c r="G108" s="197">
        <v>50.866</v>
      </c>
      <c r="H108" s="233">
        <f t="shared" si="12"/>
        <v>0.13007201666385379</v>
      </c>
      <c r="J108" s="216">
        <f t="shared" si="6"/>
        <v>0.13</v>
      </c>
      <c r="K108" s="229">
        <f t="shared" si="7"/>
        <v>-7.2016663853785579E-5</v>
      </c>
      <c r="M108" s="216">
        <f t="shared" si="8"/>
        <v>1.1495204421003125</v>
      </c>
      <c r="N108" s="224">
        <f t="shared" si="9"/>
        <v>391.06028571428584</v>
      </c>
      <c r="O108" s="366">
        <f t="shared" si="13"/>
        <v>0</v>
      </c>
      <c r="P108" s="367">
        <f t="shared" si="14"/>
        <v>0.99944633238031588</v>
      </c>
      <c r="Q108" s="367">
        <f t="shared" si="15"/>
        <v>50.837837142857147</v>
      </c>
    </row>
    <row r="109" spans="2:18" ht="15" customHeight="1" x14ac:dyDescent="0.2">
      <c r="B109" s="185">
        <v>40</v>
      </c>
      <c r="C109" s="200"/>
      <c r="D109" s="200"/>
      <c r="E109" s="200">
        <f t="shared" si="10"/>
        <v>483.09514285714278</v>
      </c>
      <c r="F109" s="200">
        <f t="shared" si="11"/>
        <v>420.33714285714279</v>
      </c>
      <c r="G109" s="197">
        <v>62.758000000000003</v>
      </c>
      <c r="H109" s="233">
        <f t="shared" si="12"/>
        <v>0.12990815769505329</v>
      </c>
      <c r="J109" s="216">
        <f t="shared" si="6"/>
        <v>0.13</v>
      </c>
      <c r="K109" s="229">
        <f t="shared" si="7"/>
        <v>9.1842304946715414E-5</v>
      </c>
      <c r="M109" s="216">
        <f t="shared" si="8"/>
        <v>1.1493039600864612</v>
      </c>
      <c r="N109" s="224">
        <f t="shared" si="9"/>
        <v>483.09514285714278</v>
      </c>
      <c r="O109" s="366">
        <f t="shared" si="13"/>
        <v>0</v>
      </c>
      <c r="P109" s="367">
        <f t="shared" si="14"/>
        <v>1.0007069787346403</v>
      </c>
      <c r="Q109" s="367">
        <f t="shared" si="15"/>
        <v>62.802368571428559</v>
      </c>
    </row>
    <row r="110" spans="2:18" ht="15" customHeight="1" thickBot="1" x14ac:dyDescent="0.25">
      <c r="B110" s="185">
        <v>50</v>
      </c>
      <c r="C110" s="199"/>
      <c r="D110" s="199"/>
      <c r="E110" s="199">
        <f t="shared" si="10"/>
        <v>572.4067142857142</v>
      </c>
      <c r="F110" s="199">
        <f t="shared" si="11"/>
        <v>498.01571428571424</v>
      </c>
      <c r="G110" s="197">
        <v>74.391000000000005</v>
      </c>
      <c r="H110" s="232">
        <f t="shared" si="12"/>
        <v>0.12996178790954585</v>
      </c>
      <c r="J110" s="217">
        <f t="shared" si="6"/>
        <v>0.13</v>
      </c>
      <c r="K110" s="230">
        <f t="shared" si="7"/>
        <v>3.8212090454153858E-5</v>
      </c>
      <c r="M110" s="217">
        <f t="shared" si="8"/>
        <v>1.149374804581611</v>
      </c>
      <c r="N110" s="225">
        <f t="shared" si="9"/>
        <v>572.4067142857142</v>
      </c>
      <c r="O110" s="366">
        <f t="shared" si="13"/>
        <v>0</v>
      </c>
      <c r="P110" s="367">
        <f t="shared" si="14"/>
        <v>1.0002940255829718</v>
      </c>
      <c r="Q110" s="369">
        <f t="shared" si="15"/>
        <v>74.412872857142858</v>
      </c>
    </row>
    <row r="111" spans="2:18" ht="15" customHeight="1" x14ac:dyDescent="0.2">
      <c r="K111" s="72"/>
    </row>
    <row r="112" spans="2:18" ht="15" customHeight="1" x14ac:dyDescent="0.2">
      <c r="K112" s="72"/>
    </row>
    <row r="113" spans="1:17" ht="15" customHeight="1" x14ac:dyDescent="0.25">
      <c r="A113" s="169" t="s">
        <v>157</v>
      </c>
      <c r="B113" s="143" t="s">
        <v>158</v>
      </c>
      <c r="I113" s="72"/>
      <c r="K113" s="398"/>
    </row>
    <row r="114" spans="1:17" ht="15" customHeight="1" x14ac:dyDescent="0.2">
      <c r="I114" s="72"/>
    </row>
    <row r="115" spans="1:17" ht="15" customHeight="1" x14ac:dyDescent="0.2">
      <c r="I115" s="72"/>
    </row>
    <row r="116" spans="1:17" ht="15" customHeight="1" x14ac:dyDescent="0.2">
      <c r="I116" s="72"/>
    </row>
    <row r="117" spans="1:17" ht="15" customHeight="1" x14ac:dyDescent="0.2">
      <c r="I117" s="72"/>
    </row>
    <row r="118" spans="1:17" ht="15" customHeight="1" x14ac:dyDescent="0.2">
      <c r="I118" s="72"/>
    </row>
    <row r="119" spans="1:17" ht="15" customHeight="1" x14ac:dyDescent="0.2">
      <c r="I119" s="72"/>
    </row>
    <row r="120" spans="1:17" ht="15" customHeight="1" x14ac:dyDescent="0.2">
      <c r="A120" s="169"/>
      <c r="B120" s="143"/>
      <c r="I120" s="72"/>
    </row>
    <row r="121" spans="1:17" ht="15" customHeight="1" x14ac:dyDescent="0.2">
      <c r="I121" s="72"/>
    </row>
    <row r="122" spans="1:17" ht="15" customHeight="1" x14ac:dyDescent="0.2">
      <c r="I122" s="72"/>
      <c r="P122" s="387" t="s">
        <v>231</v>
      </c>
    </row>
    <row r="123" spans="1:17" ht="15" customHeight="1" x14ac:dyDescent="0.2">
      <c r="I123" s="72"/>
      <c r="M123" s="386" t="s">
        <v>229</v>
      </c>
    </row>
    <row r="124" spans="1:17" ht="15" customHeight="1" x14ac:dyDescent="0.2">
      <c r="D124" s="72" t="s">
        <v>188</v>
      </c>
      <c r="I124" s="72"/>
    </row>
    <row r="125" spans="1:17" ht="15" customHeight="1" x14ac:dyDescent="0.2">
      <c r="F125" s="72"/>
      <c r="G125" s="72"/>
      <c r="H125" s="72"/>
      <c r="I125" s="72"/>
      <c r="J125" s="439" t="s">
        <v>351</v>
      </c>
      <c r="K125" s="293"/>
      <c r="L125" s="293"/>
      <c r="O125" s="72"/>
      <c r="P125" s="72"/>
      <c r="Q125" s="72"/>
    </row>
    <row r="126" spans="1:17" ht="15" customHeight="1" x14ac:dyDescent="0.2">
      <c r="B126" s="195"/>
      <c r="C126" s="170" t="s">
        <v>133</v>
      </c>
      <c r="D126" s="170" t="s">
        <v>133</v>
      </c>
      <c r="E126" s="284" t="s">
        <v>133</v>
      </c>
      <c r="F126" s="278" t="s">
        <v>133</v>
      </c>
      <c r="G126" s="278" t="s">
        <v>133</v>
      </c>
      <c r="H126" s="286"/>
      <c r="I126" s="196" t="s">
        <v>111</v>
      </c>
      <c r="J126" s="196" t="s">
        <v>50</v>
      </c>
      <c r="K126" s="388" t="s">
        <v>181</v>
      </c>
      <c r="L126" s="196" t="s">
        <v>50</v>
      </c>
      <c r="O126" s="170" t="s">
        <v>111</v>
      </c>
      <c r="P126" s="170" t="s">
        <v>111</v>
      </c>
      <c r="Q126" s="170" t="s">
        <v>111</v>
      </c>
    </row>
    <row r="127" spans="1:17" ht="15" customHeight="1" x14ac:dyDescent="0.2">
      <c r="B127" s="195"/>
      <c r="C127" s="174" t="s">
        <v>117</v>
      </c>
      <c r="D127" s="163" t="s">
        <v>118</v>
      </c>
      <c r="E127" s="196" t="s">
        <v>109</v>
      </c>
      <c r="F127" s="183" t="s">
        <v>110</v>
      </c>
      <c r="G127" s="183" t="s">
        <v>112</v>
      </c>
      <c r="H127" s="332" t="s">
        <v>105</v>
      </c>
      <c r="I127" s="388" t="s">
        <v>232</v>
      </c>
      <c r="J127" s="388" t="s">
        <v>232</v>
      </c>
      <c r="K127" s="388" t="s">
        <v>239</v>
      </c>
      <c r="L127" s="196" t="s">
        <v>115</v>
      </c>
      <c r="O127" s="174" t="s">
        <v>232</v>
      </c>
      <c r="P127" s="174" t="s">
        <v>233</v>
      </c>
      <c r="Q127" s="174" t="s">
        <v>118</v>
      </c>
    </row>
    <row r="128" spans="1:17" ht="15" customHeight="1" x14ac:dyDescent="0.2">
      <c r="A128" s="72" t="s">
        <v>236</v>
      </c>
      <c r="B128" s="195" t="s">
        <v>39</v>
      </c>
      <c r="C128" s="192" t="s">
        <v>235</v>
      </c>
      <c r="D128" s="192" t="s">
        <v>235</v>
      </c>
      <c r="E128" s="192" t="s">
        <v>235</v>
      </c>
      <c r="F128" s="331" t="s">
        <v>130</v>
      </c>
      <c r="G128" s="331" t="s">
        <v>130</v>
      </c>
      <c r="H128" s="391" t="s">
        <v>235</v>
      </c>
      <c r="I128" s="192" t="s">
        <v>234</v>
      </c>
      <c r="J128" s="192" t="s">
        <v>238</v>
      </c>
      <c r="K128" s="192" t="s">
        <v>235</v>
      </c>
      <c r="L128" s="192" t="s">
        <v>238</v>
      </c>
      <c r="O128" s="192" t="s">
        <v>234</v>
      </c>
      <c r="P128" s="192" t="s">
        <v>234</v>
      </c>
      <c r="Q128" s="192" t="s">
        <v>234</v>
      </c>
    </row>
    <row r="129" spans="1:18" ht="15" customHeight="1" x14ac:dyDescent="0.2">
      <c r="B129" s="185">
        <v>1</v>
      </c>
      <c r="C129" s="198">
        <f>(D129-J129)</f>
        <v>35.876072215074458</v>
      </c>
      <c r="D129" s="198">
        <f>(F129+G129+J129+L129)</f>
        <v>112.87607221507446</v>
      </c>
      <c r="E129" s="198">
        <f>F129+G129</f>
        <v>22.876072215074458</v>
      </c>
      <c r="F129" s="198">
        <f t="shared" ref="F129:G138" si="16">F101</f>
        <v>22.561072215074457</v>
      </c>
      <c r="G129" s="254">
        <f t="shared" si="16"/>
        <v>0.315</v>
      </c>
      <c r="H129" s="234">
        <f>G129/E129</f>
        <v>1.3769846372159424E-2</v>
      </c>
      <c r="I129" s="198">
        <f>O129</f>
        <v>80.8</v>
      </c>
      <c r="J129" s="320">
        <v>77</v>
      </c>
      <c r="K129" s="395">
        <f>I129-J129</f>
        <v>3.7999999999999972</v>
      </c>
      <c r="L129" s="320">
        <v>13</v>
      </c>
      <c r="O129" s="164">
        <v>80.8</v>
      </c>
      <c r="P129" s="164">
        <v>12</v>
      </c>
      <c r="Q129" s="294">
        <v>115</v>
      </c>
      <c r="R129" s="263">
        <f t="shared" ref="R129:R138" si="17">Q129-D129</f>
        <v>2.1239277849255416</v>
      </c>
    </row>
    <row r="130" spans="1:18" ht="15" customHeight="1" x14ac:dyDescent="0.2">
      <c r="B130" s="185">
        <v>2</v>
      </c>
      <c r="C130" s="199">
        <f t="shared" ref="C130:C138" si="18">(D130-J130)</f>
        <v>58.387816103748463</v>
      </c>
      <c r="D130" s="199">
        <f t="shared" ref="D130:D138" si="19">(F130+G130+J130+L130)</f>
        <v>135.38781610374846</v>
      </c>
      <c r="E130" s="199">
        <f t="shared" ref="E130:E135" si="20">F130+G130</f>
        <v>45.387816103748463</v>
      </c>
      <c r="F130" s="199">
        <f t="shared" si="16"/>
        <v>44.027816103748464</v>
      </c>
      <c r="G130" s="255">
        <f t="shared" si="16"/>
        <v>1.36</v>
      </c>
      <c r="H130" s="235">
        <f t="shared" ref="H130:H138" si="21">G130/E130</f>
        <v>2.9963988505005007E-2</v>
      </c>
      <c r="I130" s="199">
        <f t="shared" ref="I130:I138" si="22">O130</f>
        <v>80.5</v>
      </c>
      <c r="J130" s="321">
        <v>77</v>
      </c>
      <c r="K130" s="396">
        <f t="shared" ref="K130:K138" si="23">I130-J130</f>
        <v>3.5</v>
      </c>
      <c r="L130" s="321">
        <v>13</v>
      </c>
      <c r="O130" s="166">
        <v>80.5</v>
      </c>
      <c r="P130" s="166">
        <v>11.3</v>
      </c>
      <c r="Q130" s="295">
        <v>137</v>
      </c>
      <c r="R130" s="263">
        <f t="shared" si="17"/>
        <v>1.6121838962515369</v>
      </c>
    </row>
    <row r="131" spans="1:18" ht="15" customHeight="1" x14ac:dyDescent="0.2">
      <c r="B131" s="185">
        <v>3</v>
      </c>
      <c r="C131" s="200">
        <f t="shared" si="18"/>
        <v>78.09350198514494</v>
      </c>
      <c r="D131" s="200">
        <f t="shared" si="19"/>
        <v>155.09350198514494</v>
      </c>
      <c r="E131" s="200">
        <f t="shared" si="20"/>
        <v>65.093501985144925</v>
      </c>
      <c r="F131" s="200">
        <f t="shared" si="16"/>
        <v>62.133501985144932</v>
      </c>
      <c r="G131" s="256">
        <f t="shared" si="16"/>
        <v>2.96</v>
      </c>
      <c r="H131" s="236">
        <f t="shared" si="21"/>
        <v>4.547304891777839E-2</v>
      </c>
      <c r="I131" s="200">
        <f t="shared" si="22"/>
        <v>80</v>
      </c>
      <c r="J131" s="322">
        <v>77</v>
      </c>
      <c r="K131" s="397">
        <f t="shared" si="23"/>
        <v>3</v>
      </c>
      <c r="L131" s="322">
        <v>13</v>
      </c>
      <c r="O131" s="165">
        <v>80</v>
      </c>
      <c r="P131" s="165">
        <v>12.5</v>
      </c>
      <c r="Q131" s="296">
        <v>156</v>
      </c>
      <c r="R131" s="263">
        <f t="shared" si="17"/>
        <v>0.90649801485506032</v>
      </c>
    </row>
    <row r="132" spans="1:18" ht="15" customHeight="1" x14ac:dyDescent="0.2">
      <c r="B132" s="185">
        <v>4</v>
      </c>
      <c r="C132" s="200">
        <f t="shared" si="18"/>
        <v>95.58413099588762</v>
      </c>
      <c r="D132" s="200">
        <f t="shared" si="19"/>
        <v>172.58413099588762</v>
      </c>
      <c r="E132" s="200">
        <f t="shared" si="20"/>
        <v>82.58413099588762</v>
      </c>
      <c r="F132" s="200">
        <f t="shared" si="16"/>
        <v>77.544130995887613</v>
      </c>
      <c r="G132" s="256">
        <f t="shared" si="16"/>
        <v>5.04</v>
      </c>
      <c r="H132" s="236">
        <f t="shared" si="21"/>
        <v>6.102867390166003E-2</v>
      </c>
      <c r="I132" s="200">
        <f t="shared" si="22"/>
        <v>79.7</v>
      </c>
      <c r="J132" s="322">
        <v>77</v>
      </c>
      <c r="K132" s="397">
        <f t="shared" si="23"/>
        <v>2.7000000000000028</v>
      </c>
      <c r="L132" s="322">
        <v>13</v>
      </c>
      <c r="O132" s="165">
        <v>79.7</v>
      </c>
      <c r="P132" s="165">
        <v>14.4</v>
      </c>
      <c r="Q132" s="296">
        <v>172</v>
      </c>
      <c r="R132" s="263">
        <f t="shared" si="17"/>
        <v>-0.58413099588761952</v>
      </c>
    </row>
    <row r="133" spans="1:18" ht="15" customHeight="1" x14ac:dyDescent="0.2">
      <c r="B133" s="185">
        <v>5</v>
      </c>
      <c r="C133" s="199">
        <f t="shared" si="18"/>
        <v>111.24570427260028</v>
      </c>
      <c r="D133" s="199">
        <f t="shared" si="19"/>
        <v>188.24570427260028</v>
      </c>
      <c r="E133" s="199">
        <f t="shared" si="20"/>
        <v>98.245704272600278</v>
      </c>
      <c r="F133" s="199">
        <f t="shared" si="16"/>
        <v>90.925704272600271</v>
      </c>
      <c r="G133" s="255">
        <f t="shared" si="16"/>
        <v>7.32</v>
      </c>
      <c r="H133" s="235">
        <f t="shared" si="21"/>
        <v>7.4507074423217023E-2</v>
      </c>
      <c r="I133" s="199">
        <f t="shared" si="22"/>
        <v>79.599999999999994</v>
      </c>
      <c r="J133" s="321">
        <v>77</v>
      </c>
      <c r="K133" s="396">
        <f t="shared" si="23"/>
        <v>2.5999999999999943</v>
      </c>
      <c r="L133" s="321">
        <v>13</v>
      </c>
      <c r="O133" s="166">
        <v>79.599999999999994</v>
      </c>
      <c r="P133" s="166">
        <v>12.3</v>
      </c>
      <c r="Q133" s="295">
        <v>187</v>
      </c>
      <c r="R133" s="263">
        <f t="shared" si="17"/>
        <v>-1.2457042726002783</v>
      </c>
    </row>
    <row r="134" spans="1:18" ht="15" customHeight="1" x14ac:dyDescent="0.2">
      <c r="B134" s="185">
        <v>10</v>
      </c>
      <c r="C134" s="200">
        <f t="shared" si="18"/>
        <v>181.84174435662925</v>
      </c>
      <c r="D134" s="200">
        <f t="shared" si="19"/>
        <v>258.84174435662925</v>
      </c>
      <c r="E134" s="200">
        <f t="shared" si="20"/>
        <v>168.84174435662925</v>
      </c>
      <c r="F134" s="200">
        <f t="shared" si="16"/>
        <v>150.71174435662925</v>
      </c>
      <c r="G134" s="256">
        <f t="shared" si="16"/>
        <v>18.13</v>
      </c>
      <c r="H134" s="236">
        <f t="shared" si="21"/>
        <v>0.10737865845371526</v>
      </c>
      <c r="I134" s="200">
        <f t="shared" si="22"/>
        <v>79.7</v>
      </c>
      <c r="J134" s="322">
        <v>77</v>
      </c>
      <c r="K134" s="397">
        <f t="shared" si="23"/>
        <v>2.7000000000000028</v>
      </c>
      <c r="L134" s="322">
        <v>13</v>
      </c>
      <c r="O134" s="165">
        <v>79.7</v>
      </c>
      <c r="P134" s="165">
        <v>11.6</v>
      </c>
      <c r="Q134" s="296">
        <v>257</v>
      </c>
      <c r="R134" s="263">
        <f t="shared" si="17"/>
        <v>-1.8417443566292491</v>
      </c>
    </row>
    <row r="135" spans="1:18" ht="15" customHeight="1" x14ac:dyDescent="0.2">
      <c r="B135" s="185">
        <v>20</v>
      </c>
      <c r="C135" s="200">
        <f t="shared" si="18"/>
        <v>302.86514285714293</v>
      </c>
      <c r="D135" s="200">
        <f t="shared" si="19"/>
        <v>379.86514285714293</v>
      </c>
      <c r="E135" s="200">
        <f t="shared" si="20"/>
        <v>289.86514285714293</v>
      </c>
      <c r="F135" s="200">
        <f t="shared" si="16"/>
        <v>252.13714285714292</v>
      </c>
      <c r="G135" s="256">
        <f t="shared" si="16"/>
        <v>37.728000000000002</v>
      </c>
      <c r="H135" s="236">
        <f t="shared" si="21"/>
        <v>0.13015707797123388</v>
      </c>
      <c r="I135" s="200">
        <f t="shared" si="22"/>
        <v>79.599999999999994</v>
      </c>
      <c r="J135" s="322">
        <v>77</v>
      </c>
      <c r="K135" s="397">
        <f t="shared" si="23"/>
        <v>2.5999999999999943</v>
      </c>
      <c r="L135" s="322">
        <v>13</v>
      </c>
      <c r="O135" s="165">
        <v>79.599999999999994</v>
      </c>
      <c r="P135" s="165">
        <v>11.3</v>
      </c>
      <c r="Q135" s="296">
        <v>385</v>
      </c>
      <c r="R135" s="263">
        <f t="shared" si="17"/>
        <v>5.1348571428570722</v>
      </c>
    </row>
    <row r="136" spans="1:18" ht="15" customHeight="1" x14ac:dyDescent="0.2">
      <c r="B136" s="185">
        <v>30</v>
      </c>
      <c r="C136" s="200">
        <f t="shared" si="18"/>
        <v>404.06028571428578</v>
      </c>
      <c r="D136" s="200">
        <f t="shared" si="19"/>
        <v>481.06028571428578</v>
      </c>
      <c r="E136" s="200">
        <f>F136+G136</f>
        <v>391.06028571428578</v>
      </c>
      <c r="F136" s="200">
        <f t="shared" si="16"/>
        <v>340.1942857142858</v>
      </c>
      <c r="G136" s="256">
        <f t="shared" si="16"/>
        <v>50.866</v>
      </c>
      <c r="H136" s="236">
        <f t="shared" si="21"/>
        <v>0.13007201666385379</v>
      </c>
      <c r="I136" s="200">
        <f t="shared" si="22"/>
        <v>80</v>
      </c>
      <c r="J136" s="322">
        <v>77</v>
      </c>
      <c r="K136" s="397">
        <f t="shared" si="23"/>
        <v>3</v>
      </c>
      <c r="L136" s="322">
        <v>13</v>
      </c>
      <c r="O136" s="165">
        <v>80</v>
      </c>
      <c r="P136" s="165">
        <v>13.5</v>
      </c>
      <c r="Q136" s="296">
        <v>491</v>
      </c>
      <c r="R136" s="263">
        <f t="shared" si="17"/>
        <v>9.9397142857142171</v>
      </c>
    </row>
    <row r="137" spans="1:18" ht="15" customHeight="1" x14ac:dyDescent="0.2">
      <c r="B137" s="185">
        <v>40</v>
      </c>
      <c r="C137" s="200">
        <f t="shared" si="18"/>
        <v>496.09514285714272</v>
      </c>
      <c r="D137" s="200">
        <f t="shared" si="19"/>
        <v>574.09514285714272</v>
      </c>
      <c r="E137" s="200">
        <f t="shared" ref="E137:E138" si="24">F137+G137</f>
        <v>483.09514285714278</v>
      </c>
      <c r="F137" s="200">
        <f t="shared" si="16"/>
        <v>420.33714285714279</v>
      </c>
      <c r="G137" s="256">
        <f t="shared" si="16"/>
        <v>62.758000000000003</v>
      </c>
      <c r="H137" s="236">
        <f t="shared" si="21"/>
        <v>0.12990815769505329</v>
      </c>
      <c r="I137" s="200">
        <f t="shared" si="22"/>
        <v>81</v>
      </c>
      <c r="J137" s="322">
        <v>78</v>
      </c>
      <c r="K137" s="397">
        <f t="shared" si="23"/>
        <v>3</v>
      </c>
      <c r="L137" s="322">
        <v>13</v>
      </c>
      <c r="O137" s="165">
        <v>81</v>
      </c>
      <c r="P137" s="165">
        <v>15</v>
      </c>
      <c r="Q137" s="296">
        <v>586</v>
      </c>
      <c r="R137" s="263">
        <f t="shared" si="17"/>
        <v>11.904857142857281</v>
      </c>
    </row>
    <row r="138" spans="1:18" ht="15" customHeight="1" x14ac:dyDescent="0.2">
      <c r="B138" s="185">
        <v>50</v>
      </c>
      <c r="C138" s="199">
        <f t="shared" si="18"/>
        <v>585.4067142857142</v>
      </c>
      <c r="D138" s="199">
        <f t="shared" si="19"/>
        <v>664.4067142857142</v>
      </c>
      <c r="E138" s="199">
        <f t="shared" si="24"/>
        <v>572.4067142857142</v>
      </c>
      <c r="F138" s="199">
        <f t="shared" si="16"/>
        <v>498.01571428571424</v>
      </c>
      <c r="G138" s="255">
        <f t="shared" si="16"/>
        <v>74.391000000000005</v>
      </c>
      <c r="H138" s="235">
        <f t="shared" si="21"/>
        <v>0.12996178790954585</v>
      </c>
      <c r="I138" s="199">
        <f t="shared" si="22"/>
        <v>82.7</v>
      </c>
      <c r="J138" s="321">
        <v>79</v>
      </c>
      <c r="K138" s="396">
        <f t="shared" si="23"/>
        <v>3.7000000000000028</v>
      </c>
      <c r="L138" s="321">
        <v>13</v>
      </c>
      <c r="O138" s="166">
        <v>82.7</v>
      </c>
      <c r="P138" s="166">
        <v>14.9</v>
      </c>
      <c r="Q138" s="295">
        <v>677</v>
      </c>
      <c r="R138" s="263">
        <f t="shared" si="17"/>
        <v>12.593285714285798</v>
      </c>
    </row>
    <row r="139" spans="1:18" ht="15" customHeight="1" x14ac:dyDescent="0.2">
      <c r="I139" s="72"/>
    </row>
    <row r="140" spans="1:18" ht="15" customHeight="1" x14ac:dyDescent="0.2">
      <c r="I140" s="72"/>
    </row>
    <row r="141" spans="1:18" x14ac:dyDescent="0.2">
      <c r="A141" s="169" t="s">
        <v>159</v>
      </c>
      <c r="B141" s="143" t="s">
        <v>160</v>
      </c>
    </row>
    <row r="142" spans="1:18" ht="15" customHeight="1" x14ac:dyDescent="0.2">
      <c r="I142" s="72"/>
    </row>
    <row r="143" spans="1:18" ht="15" customHeight="1" x14ac:dyDescent="0.2">
      <c r="B143" s="169" t="s">
        <v>168</v>
      </c>
      <c r="C143" s="83"/>
      <c r="I143" s="72"/>
    </row>
    <row r="144" spans="1:18" ht="15" customHeight="1" x14ac:dyDescent="0.2">
      <c r="B144" s="143" t="s">
        <v>169</v>
      </c>
      <c r="C144" s="83"/>
      <c r="D144" s="83"/>
      <c r="E144" s="83"/>
      <c r="F144" s="83"/>
      <c r="G144" s="83"/>
      <c r="H144" s="83"/>
      <c r="I144" s="83"/>
      <c r="J144" s="83"/>
      <c r="K144" s="83"/>
      <c r="L144" s="83"/>
    </row>
    <row r="145" spans="2:16" ht="15" customHeight="1" x14ac:dyDescent="0.2">
      <c r="B145" s="169" t="s">
        <v>170</v>
      </c>
      <c r="C145" s="83"/>
      <c r="D145" s="83"/>
      <c r="E145" s="83"/>
      <c r="F145" s="385" t="s">
        <v>230</v>
      </c>
      <c r="G145" s="83"/>
      <c r="H145" s="83"/>
      <c r="I145" s="54" t="s">
        <v>62</v>
      </c>
      <c r="J145" s="83"/>
      <c r="K145" s="83"/>
    </row>
    <row r="146" spans="2:16" ht="15" customHeight="1" x14ac:dyDescent="0.2">
      <c r="D146" s="118"/>
      <c r="H146" s="59" t="s">
        <v>23</v>
      </c>
      <c r="I146" s="60"/>
      <c r="J146" s="60"/>
      <c r="K146" s="61"/>
      <c r="L146" s="59" t="s">
        <v>29</v>
      </c>
      <c r="M146" s="60"/>
      <c r="N146" s="61"/>
      <c r="O146" s="163"/>
      <c r="P146" s="170" t="s">
        <v>133</v>
      </c>
    </row>
    <row r="147" spans="2:16" ht="15" customHeight="1" x14ac:dyDescent="0.2">
      <c r="C147" s="84"/>
      <c r="D147" s="119"/>
      <c r="F147" s="383" t="s">
        <v>161</v>
      </c>
      <c r="G147" s="380" t="s">
        <v>196</v>
      </c>
      <c r="H147" s="35" t="s">
        <v>24</v>
      </c>
      <c r="I147" s="238" t="s">
        <v>104</v>
      </c>
      <c r="J147" s="21"/>
      <c r="K147" s="22"/>
      <c r="L147" s="35" t="s">
        <v>30</v>
      </c>
      <c r="M147" s="36" t="s">
        <v>191</v>
      </c>
      <c r="N147" s="43"/>
      <c r="O147" s="163"/>
      <c r="P147" s="174" t="s">
        <v>117</v>
      </c>
    </row>
    <row r="148" spans="2:16" ht="15" customHeight="1" x14ac:dyDescent="0.2">
      <c r="B148" s="335" t="s">
        <v>15</v>
      </c>
      <c r="C148" s="336"/>
      <c r="D148" s="337"/>
      <c r="E148" s="382" t="s">
        <v>39</v>
      </c>
      <c r="F148" s="384" t="s">
        <v>61</v>
      </c>
      <c r="G148" s="381" t="s">
        <v>197</v>
      </c>
      <c r="H148" s="37" t="s">
        <v>25</v>
      </c>
      <c r="I148" s="38" t="s">
        <v>27</v>
      </c>
      <c r="J148" s="1"/>
      <c r="K148" s="39"/>
      <c r="L148" s="37" t="s">
        <v>31</v>
      </c>
      <c r="M148" s="38" t="s">
        <v>33</v>
      </c>
      <c r="N148" s="25"/>
      <c r="O148" s="163" t="s">
        <v>39</v>
      </c>
      <c r="P148" s="192" t="s">
        <v>131</v>
      </c>
    </row>
    <row r="149" spans="2:16" ht="15" customHeight="1" x14ac:dyDescent="0.2">
      <c r="B149" s="23" t="s">
        <v>16</v>
      </c>
      <c r="C149" s="24" t="s">
        <v>19</v>
      </c>
      <c r="D149" s="161">
        <v>2.46</v>
      </c>
      <c r="E149" s="58">
        <v>1</v>
      </c>
      <c r="F149" s="201">
        <v>0.92880188574588163</v>
      </c>
      <c r="G149" s="201">
        <v>1.0880000000000001</v>
      </c>
      <c r="H149" s="62">
        <f>(D150*2.20462*25.4*12)</f>
        <v>3359.8408799999997</v>
      </c>
      <c r="I149" s="14">
        <f t="shared" ref="I149:I158" si="25">F149*D$149*SQRT(4*D$151*H$149/32.2)/12</f>
        <v>35.863100000000003</v>
      </c>
      <c r="J149" s="1"/>
      <c r="K149" s="39"/>
      <c r="L149" s="175">
        <v>1</v>
      </c>
      <c r="M149" s="171">
        <f>L149*I149</f>
        <v>35.863100000000003</v>
      </c>
      <c r="N149" s="25"/>
      <c r="O149" s="163">
        <v>1</v>
      </c>
      <c r="P149" s="171">
        <f>C129</f>
        <v>35.876072215074458</v>
      </c>
    </row>
    <row r="150" spans="2:16" ht="15" customHeight="1" x14ac:dyDescent="0.2">
      <c r="B150" s="23" t="s">
        <v>17</v>
      </c>
      <c r="C150" s="24" t="s">
        <v>20</v>
      </c>
      <c r="D150" s="161">
        <v>5</v>
      </c>
      <c r="E150" s="58">
        <v>2</v>
      </c>
      <c r="F150" s="202">
        <v>0.75675400791901359</v>
      </c>
      <c r="G150" s="202">
        <v>0.82899999999999996</v>
      </c>
      <c r="H150" s="63"/>
      <c r="I150" s="14">
        <f t="shared" si="25"/>
        <v>29.219950000000001</v>
      </c>
      <c r="J150" s="1"/>
      <c r="K150" s="39"/>
      <c r="L150" s="176">
        <v>2</v>
      </c>
      <c r="M150" s="172">
        <f t="shared" ref="M150:M158" si="26">L150*I150</f>
        <v>58.439900000000002</v>
      </c>
      <c r="N150" s="25"/>
      <c r="O150" s="163">
        <v>2</v>
      </c>
      <c r="P150" s="172">
        <f t="shared" ref="P150:P158" si="27">C130</f>
        <v>58.387816103748463</v>
      </c>
    </row>
    <row r="151" spans="2:16" ht="15" customHeight="1" x14ac:dyDescent="0.2">
      <c r="B151" s="26" t="s">
        <v>18</v>
      </c>
      <c r="C151" s="27" t="s">
        <v>28</v>
      </c>
      <c r="D151" s="162">
        <v>85</v>
      </c>
      <c r="E151" s="58">
        <v>3</v>
      </c>
      <c r="F151" s="201">
        <v>0.6744</v>
      </c>
      <c r="G151" s="201">
        <v>0.71699999999999997</v>
      </c>
      <c r="H151" s="63"/>
      <c r="I151" s="14">
        <f t="shared" si="25"/>
        <v>26.040079172080045</v>
      </c>
      <c r="J151" s="1"/>
      <c r="K151" s="39"/>
      <c r="L151" s="177">
        <v>3</v>
      </c>
      <c r="M151" s="173">
        <f t="shared" si="26"/>
        <v>78.120237516240138</v>
      </c>
      <c r="N151" s="25"/>
      <c r="O151" s="163">
        <v>3</v>
      </c>
      <c r="P151" s="173">
        <f t="shared" si="27"/>
        <v>78.09350198514494</v>
      </c>
    </row>
    <row r="152" spans="2:16" ht="15" customHeight="1" x14ac:dyDescent="0.2">
      <c r="E152" s="58">
        <v>4</v>
      </c>
      <c r="F152" s="201">
        <v>0.61899999999999999</v>
      </c>
      <c r="G152" s="201">
        <v>0.64100000000000001</v>
      </c>
      <c r="H152" s="63"/>
      <c r="I152" s="14">
        <f t="shared" si="25"/>
        <v>23.900962348039069</v>
      </c>
      <c r="J152" s="1"/>
      <c r="K152" s="39"/>
      <c r="L152" s="177">
        <v>4</v>
      </c>
      <c r="M152" s="173">
        <f t="shared" si="26"/>
        <v>95.603849392156278</v>
      </c>
      <c r="N152" s="25"/>
      <c r="O152" s="163">
        <v>4</v>
      </c>
      <c r="P152" s="173">
        <f t="shared" si="27"/>
        <v>95.58413099588762</v>
      </c>
    </row>
    <row r="153" spans="2:16" ht="15" customHeight="1" x14ac:dyDescent="0.2">
      <c r="B153" s="347" t="s">
        <v>209</v>
      </c>
      <c r="E153" s="58">
        <v>5</v>
      </c>
      <c r="F153" s="202">
        <v>0.57599999999999996</v>
      </c>
      <c r="G153" s="202">
        <v>0.59</v>
      </c>
      <c r="H153" s="63"/>
      <c r="I153" s="14">
        <f t="shared" si="25"/>
        <v>22.240637015299679</v>
      </c>
      <c r="J153" s="1"/>
      <c r="K153" s="39"/>
      <c r="L153" s="176">
        <v>5</v>
      </c>
      <c r="M153" s="172">
        <f t="shared" si="26"/>
        <v>111.2031850764984</v>
      </c>
      <c r="N153" s="25"/>
      <c r="O153" s="163">
        <v>5</v>
      </c>
      <c r="P153" s="172">
        <f t="shared" si="27"/>
        <v>111.24570427260028</v>
      </c>
    </row>
    <row r="154" spans="2:16" ht="15" customHeight="1" x14ac:dyDescent="0.2">
      <c r="B154" s="85" t="s">
        <v>208</v>
      </c>
      <c r="E154" s="58">
        <v>10</v>
      </c>
      <c r="F154" s="201">
        <v>0.47</v>
      </c>
      <c r="G154" s="201">
        <v>0.47699999999999998</v>
      </c>
      <c r="H154" s="63"/>
      <c r="I154" s="14">
        <f t="shared" si="25"/>
        <v>18.147742009011889</v>
      </c>
      <c r="J154" s="1"/>
      <c r="K154" s="39"/>
      <c r="L154" s="177">
        <v>10</v>
      </c>
      <c r="M154" s="173">
        <f t="shared" si="26"/>
        <v>181.4774200901189</v>
      </c>
      <c r="N154" s="25"/>
      <c r="O154" s="163">
        <v>10</v>
      </c>
      <c r="P154" s="173">
        <f t="shared" si="27"/>
        <v>181.84174435662925</v>
      </c>
    </row>
    <row r="155" spans="2:16" ht="15" customHeight="1" x14ac:dyDescent="0.2">
      <c r="E155" s="58">
        <v>20</v>
      </c>
      <c r="F155" s="201">
        <v>0.3926</v>
      </c>
      <c r="G155" s="201">
        <v>0.40400000000000003</v>
      </c>
      <c r="H155" s="63"/>
      <c r="I155" s="14">
        <f t="shared" si="25"/>
        <v>15.159156410080998</v>
      </c>
      <c r="J155" s="1"/>
      <c r="K155" s="39"/>
      <c r="L155" s="177">
        <v>20</v>
      </c>
      <c r="M155" s="173">
        <f t="shared" si="26"/>
        <v>303.18312820161998</v>
      </c>
      <c r="N155" s="25"/>
      <c r="O155" s="163">
        <v>20</v>
      </c>
      <c r="P155" s="173">
        <f t="shared" si="27"/>
        <v>302.86514285714293</v>
      </c>
    </row>
    <row r="156" spans="2:16" ht="15" customHeight="1" x14ac:dyDescent="0.2">
      <c r="E156" s="58">
        <v>30</v>
      </c>
      <c r="F156" s="201">
        <v>0.34889999999999999</v>
      </c>
      <c r="G156" s="201">
        <v>0.36099999999999999</v>
      </c>
      <c r="H156" s="63"/>
      <c r="I156" s="14">
        <f t="shared" si="25"/>
        <v>13.471802525413295</v>
      </c>
      <c r="J156" s="1"/>
      <c r="K156" s="39"/>
      <c r="L156" s="177">
        <v>30</v>
      </c>
      <c r="M156" s="173">
        <f>L156*I156</f>
        <v>404.15407576239886</v>
      </c>
      <c r="N156" s="25"/>
      <c r="O156" s="163">
        <v>30</v>
      </c>
      <c r="P156" s="173">
        <f t="shared" si="27"/>
        <v>404.06028571428578</v>
      </c>
    </row>
    <row r="157" spans="2:16" ht="15" customHeight="1" x14ac:dyDescent="0.2">
      <c r="E157" s="58">
        <v>40</v>
      </c>
      <c r="F157" s="201">
        <v>0.32095000000000001</v>
      </c>
      <c r="G157" s="201">
        <v>0.33200000000000002</v>
      </c>
      <c r="H157" s="63"/>
      <c r="I157" s="14">
        <f t="shared" si="25"/>
        <v>12.392591059132696</v>
      </c>
      <c r="J157" s="1"/>
      <c r="K157" s="39"/>
      <c r="L157" s="177">
        <v>40</v>
      </c>
      <c r="M157" s="173">
        <f t="shared" si="26"/>
        <v>495.70364236530787</v>
      </c>
      <c r="N157" s="25"/>
      <c r="O157" s="163">
        <v>40</v>
      </c>
      <c r="P157" s="205">
        <f t="shared" si="27"/>
        <v>496.09514285714272</v>
      </c>
    </row>
    <row r="158" spans="2:16" ht="15" customHeight="1" x14ac:dyDescent="0.2">
      <c r="E158" s="58">
        <v>50</v>
      </c>
      <c r="F158" s="202">
        <v>0.30314999999999998</v>
      </c>
      <c r="G158" s="202">
        <v>0.313</v>
      </c>
      <c r="H158" s="64"/>
      <c r="I158" s="41">
        <f t="shared" si="25"/>
        <v>11.70529359581267</v>
      </c>
      <c r="J158" s="42"/>
      <c r="K158" s="31"/>
      <c r="L158" s="178">
        <v>50</v>
      </c>
      <c r="M158" s="179">
        <f t="shared" si="26"/>
        <v>585.26467979063352</v>
      </c>
      <c r="N158" s="28"/>
      <c r="O158" s="186">
        <v>50</v>
      </c>
      <c r="P158" s="206">
        <f t="shared" si="27"/>
        <v>585.4067142857142</v>
      </c>
    </row>
    <row r="159" spans="2:16" ht="15" customHeight="1" x14ac:dyDescent="0.2">
      <c r="E159" s="3"/>
      <c r="F159" s="239"/>
      <c r="G159" s="239"/>
      <c r="H159" s="83"/>
      <c r="I159" s="240"/>
      <c r="J159" s="83"/>
      <c r="K159" s="83"/>
      <c r="L159" s="241"/>
      <c r="M159" s="241"/>
      <c r="N159" s="145"/>
      <c r="O159" s="242"/>
      <c r="P159" s="241"/>
    </row>
    <row r="160" spans="2:16" ht="15" customHeight="1" x14ac:dyDescent="0.2">
      <c r="E160" s="3"/>
      <c r="F160" s="239"/>
      <c r="G160" s="239"/>
      <c r="H160" s="83"/>
      <c r="I160" s="240"/>
      <c r="J160" s="83"/>
      <c r="K160" s="83"/>
      <c r="L160" s="241"/>
      <c r="M160" s="241"/>
      <c r="N160" s="145"/>
      <c r="O160" s="242"/>
      <c r="P160" s="241"/>
    </row>
    <row r="161" spans="1:19" ht="15" customHeight="1" x14ac:dyDescent="0.2">
      <c r="F161" s="84"/>
      <c r="G161" s="84"/>
      <c r="H161" s="84"/>
      <c r="I161" s="84"/>
      <c r="J161" s="84"/>
      <c r="K161" s="84"/>
      <c r="L161" s="84"/>
      <c r="M161" s="84"/>
      <c r="N161" s="84"/>
      <c r="O161" s="84"/>
      <c r="P161" s="84"/>
    </row>
    <row r="162" spans="1:19" ht="15" customHeight="1" x14ac:dyDescent="0.2">
      <c r="A162" s="169" t="s">
        <v>162</v>
      </c>
      <c r="B162" s="143" t="s">
        <v>163</v>
      </c>
    </row>
    <row r="163" spans="1:19" ht="15" customHeight="1" x14ac:dyDescent="0.2">
      <c r="B163" s="169" t="s">
        <v>164</v>
      </c>
    </row>
    <row r="164" spans="1:19" ht="15" customHeight="1" x14ac:dyDescent="0.2">
      <c r="B164" s="169"/>
    </row>
    <row r="165" spans="1:19" ht="15" customHeight="1" x14ac:dyDescent="0.2">
      <c r="B165" s="169"/>
    </row>
    <row r="166" spans="1:19" ht="15" customHeight="1" x14ac:dyDescent="0.2">
      <c r="B166" s="143"/>
      <c r="J166" s="143" t="s">
        <v>165</v>
      </c>
    </row>
    <row r="167" spans="1:19" ht="15" customHeight="1" thickBot="1" x14ac:dyDescent="0.25">
      <c r="B167" s="169"/>
      <c r="H167" t="s">
        <v>166</v>
      </c>
    </row>
    <row r="168" spans="1:19" ht="15" customHeight="1" x14ac:dyDescent="0.2">
      <c r="F168" s="196" t="s">
        <v>133</v>
      </c>
      <c r="L168" s="243" t="s">
        <v>167</v>
      </c>
      <c r="P168" s="220"/>
    </row>
    <row r="169" spans="1:19" ht="15" customHeight="1" x14ac:dyDescent="0.2">
      <c r="F169" s="196" t="s">
        <v>110</v>
      </c>
      <c r="H169" s="252" t="s">
        <v>110</v>
      </c>
      <c r="L169" s="144">
        <v>1</v>
      </c>
      <c r="M169" s="109" t="s">
        <v>24</v>
      </c>
      <c r="N169" s="203" t="s">
        <v>104</v>
      </c>
      <c r="O169" s="109" t="s">
        <v>110</v>
      </c>
      <c r="P169" s="221" t="s">
        <v>129</v>
      </c>
      <c r="S169" s="253" t="s">
        <v>174</v>
      </c>
    </row>
    <row r="170" spans="1:19" ht="15" customHeight="1" x14ac:dyDescent="0.2">
      <c r="B170" s="158">
        <v>2.46</v>
      </c>
      <c r="C170" s="157" t="s">
        <v>6</v>
      </c>
      <c r="D170" s="22"/>
      <c r="E170" s="5" t="s">
        <v>2</v>
      </c>
      <c r="F170" s="196" t="s">
        <v>149</v>
      </c>
      <c r="G170" s="55" t="s">
        <v>37</v>
      </c>
      <c r="H170" s="6" t="s">
        <v>68</v>
      </c>
      <c r="J170" s="72" t="s">
        <v>137</v>
      </c>
      <c r="K170" s="5" t="s">
        <v>2</v>
      </c>
      <c r="L170" s="6" t="s">
        <v>68</v>
      </c>
      <c r="M170" s="38" t="s">
        <v>25</v>
      </c>
      <c r="N170" s="204" t="s">
        <v>138</v>
      </c>
      <c r="O170" s="38" t="s">
        <v>33</v>
      </c>
      <c r="P170" s="221" t="s">
        <v>113</v>
      </c>
      <c r="Q170" s="244" t="s">
        <v>173</v>
      </c>
      <c r="R170" s="244" t="s">
        <v>136</v>
      </c>
      <c r="S170" s="251" t="s">
        <v>105</v>
      </c>
    </row>
    <row r="171" spans="1:19" ht="15" customHeight="1" x14ac:dyDescent="0.2">
      <c r="B171" s="159">
        <v>5</v>
      </c>
      <c r="C171" s="1" t="s">
        <v>0</v>
      </c>
      <c r="D171" s="39"/>
      <c r="E171" s="150">
        <v>1</v>
      </c>
      <c r="F171" s="117">
        <f>F129</f>
        <v>22.561072215074457</v>
      </c>
      <c r="G171" s="101">
        <f>F171/E171</f>
        <v>22.561072215074457</v>
      </c>
      <c r="H171" s="142">
        <f t="shared" ref="H171:H180" si="28">SQRT(12*32.2*G171^2/(4*$B$172*($B$171*56)*$B$170^2))</f>
        <v>0.58428496791973461</v>
      </c>
      <c r="J171" s="142">
        <v>0.5842849105539013</v>
      </c>
      <c r="K171" s="150">
        <v>1</v>
      </c>
      <c r="L171" s="142">
        <f>J171*$L$169</f>
        <v>0.5842849105539013</v>
      </c>
      <c r="M171" s="14">
        <f>(B171*2.20462*25.4*12)</f>
        <v>3359.8408799999997</v>
      </c>
      <c r="N171" s="153">
        <f t="shared" ref="N171:N180" si="29">L171*B$170*SQRT(4*B$172*M$171/32.2)/12</f>
        <v>22.560535779767644</v>
      </c>
      <c r="O171" s="153">
        <f>K171*N171</f>
        <v>22.560535779767644</v>
      </c>
      <c r="P171" s="216">
        <v>1.0139620851820168</v>
      </c>
      <c r="Q171" s="122">
        <f>P171*O171</f>
        <v>22.875527902076698</v>
      </c>
      <c r="R171" s="122">
        <f>Q171-O171</f>
        <v>0.31499212230905371</v>
      </c>
      <c r="S171" s="248">
        <f>R171/Q171</f>
        <v>1.3769829647536045E-2</v>
      </c>
    </row>
    <row r="172" spans="1:19" ht="15" customHeight="1" x14ac:dyDescent="0.2">
      <c r="B172" s="160">
        <v>85</v>
      </c>
      <c r="C172" s="156" t="s">
        <v>1</v>
      </c>
      <c r="D172" s="31"/>
      <c r="E172" s="149">
        <v>2</v>
      </c>
      <c r="F172" s="116">
        <f t="shared" ref="F172:F180" si="30">F130</f>
        <v>44.027816103748464</v>
      </c>
      <c r="G172" s="100">
        <f t="shared" ref="G172:G180" si="31">F172/E172</f>
        <v>22.013908051874232</v>
      </c>
      <c r="H172" s="141">
        <f t="shared" si="28"/>
        <v>0.57011455117293386</v>
      </c>
      <c r="J172" s="141">
        <v>0.57011447213572231</v>
      </c>
      <c r="K172" s="149">
        <v>2</v>
      </c>
      <c r="L172" s="141">
        <f t="shared" ref="L172:L180" si="32">J172*$L$169</f>
        <v>0.57011447213572231</v>
      </c>
      <c r="N172" s="152">
        <f t="shared" si="29"/>
        <v>22.013383736006571</v>
      </c>
      <c r="O172" s="152">
        <f t="shared" ref="O172:O180" si="33">K172*N172</f>
        <v>44.026767472013141</v>
      </c>
      <c r="P172" s="216">
        <v>1.0308895041553197</v>
      </c>
      <c r="Q172" s="121">
        <f t="shared" ref="Q172:Q180" si="34">P172*O172</f>
        <v>45.386732488785185</v>
      </c>
      <c r="R172" s="121">
        <f t="shared" ref="R172:R180" si="35">Q172-O172</f>
        <v>1.3599650167720441</v>
      </c>
      <c r="S172" s="249">
        <f t="shared" ref="S172:S180" si="36">R172/Q172</f>
        <v>2.9963933118738698E-2</v>
      </c>
    </row>
    <row r="173" spans="1:19" ht="15" customHeight="1" x14ac:dyDescent="0.2">
      <c r="E173" s="148">
        <v>3</v>
      </c>
      <c r="F173" s="105">
        <f t="shared" si="30"/>
        <v>62.133501985144932</v>
      </c>
      <c r="G173" s="99">
        <f t="shared" si="31"/>
        <v>20.711167328381645</v>
      </c>
      <c r="H173" s="140">
        <f t="shared" si="28"/>
        <v>0.53637626894160395</v>
      </c>
      <c r="J173" s="140">
        <v>0.53637616547814038</v>
      </c>
      <c r="K173" s="148">
        <v>3</v>
      </c>
      <c r="L173" s="140">
        <f t="shared" si="32"/>
        <v>0.53637616547814038</v>
      </c>
      <c r="N173" s="151">
        <f t="shared" si="29"/>
        <v>20.710672916766729</v>
      </c>
      <c r="O173" s="151">
        <f>K173*N173</f>
        <v>62.13201875030019</v>
      </c>
      <c r="P173" s="216">
        <v>1.0476392038458999</v>
      </c>
      <c r="Q173" s="120">
        <f t="shared" si="34"/>
        <v>65.091938656903011</v>
      </c>
      <c r="R173" s="120">
        <f>Q173-O173</f>
        <v>2.9599199066028206</v>
      </c>
      <c r="S173" s="250">
        <f t="shared" si="36"/>
        <v>4.5472910588889345E-2</v>
      </c>
    </row>
    <row r="174" spans="1:19" ht="15" customHeight="1" x14ac:dyDescent="0.2">
      <c r="E174" s="148">
        <v>4</v>
      </c>
      <c r="F174" s="105">
        <f t="shared" si="30"/>
        <v>77.544130995887613</v>
      </c>
      <c r="G174" s="99">
        <f t="shared" si="31"/>
        <v>19.386032748971903</v>
      </c>
      <c r="H174" s="140">
        <f t="shared" si="28"/>
        <v>0.50205803229758394</v>
      </c>
      <c r="J174" s="140">
        <v>0.50205789636010045</v>
      </c>
      <c r="K174" s="148">
        <v>4</v>
      </c>
      <c r="L174" s="140">
        <f t="shared" si="32"/>
        <v>0.50205789636010045</v>
      </c>
      <c r="N174" s="151">
        <f t="shared" si="29"/>
        <v>19.385568461128369</v>
      </c>
      <c r="O174" s="151">
        <f t="shared" si="33"/>
        <v>77.542273844513474</v>
      </c>
      <c r="P174" s="216">
        <v>1.0649949383902146</v>
      </c>
      <c r="Q174" s="120">
        <f t="shared" si="34"/>
        <v>82.582129155674778</v>
      </c>
      <c r="R174" s="120">
        <f t="shared" si="35"/>
        <v>5.039855311161304</v>
      </c>
      <c r="S174" s="250">
        <f t="shared" si="36"/>
        <v>6.1028401213302712E-2</v>
      </c>
    </row>
    <row r="175" spans="1:19" ht="15" customHeight="1" x14ac:dyDescent="0.2">
      <c r="E175" s="149">
        <v>5</v>
      </c>
      <c r="F175" s="116">
        <f t="shared" si="30"/>
        <v>90.925704272600271</v>
      </c>
      <c r="G175" s="100">
        <f t="shared" si="31"/>
        <v>18.185140854520053</v>
      </c>
      <c r="H175" s="141">
        <f t="shared" si="28"/>
        <v>0.47095742345524155</v>
      </c>
      <c r="J175" s="141">
        <v>0.47095724593739163</v>
      </c>
      <c r="K175" s="149">
        <v>5</v>
      </c>
      <c r="L175" s="141">
        <f t="shared" si="32"/>
        <v>0.47095724593739163</v>
      </c>
      <c r="N175" s="152">
        <f t="shared" si="29"/>
        <v>18.184703396907548</v>
      </c>
      <c r="O175" s="152">
        <f t="shared" si="33"/>
        <v>90.923516984537741</v>
      </c>
      <c r="P175" s="216">
        <v>1.0805047604488471</v>
      </c>
      <c r="Q175" s="121">
        <f t="shared" si="34"/>
        <v>98.243292938544641</v>
      </c>
      <c r="R175" s="121">
        <f t="shared" si="35"/>
        <v>7.3197759540069001</v>
      </c>
      <c r="S175" s="249">
        <f t="shared" si="36"/>
        <v>7.4506622641259915E-2</v>
      </c>
    </row>
    <row r="176" spans="1:19" ht="15" customHeight="1" x14ac:dyDescent="0.2">
      <c r="E176" s="148">
        <v>10</v>
      </c>
      <c r="F176" s="105">
        <f t="shared" si="30"/>
        <v>150.71174435662925</v>
      </c>
      <c r="G176" s="99">
        <f t="shared" si="31"/>
        <v>15.071174435662925</v>
      </c>
      <c r="H176" s="140">
        <f t="shared" si="28"/>
        <v>0.39031215306204697</v>
      </c>
      <c r="J176" s="140">
        <v>0.38949809228635185</v>
      </c>
      <c r="K176" s="154">
        <v>10</v>
      </c>
      <c r="L176" s="140">
        <f t="shared" si="32"/>
        <v>0.38949809228635185</v>
      </c>
      <c r="M176" s="84"/>
      <c r="N176" s="155">
        <f t="shared" si="29"/>
        <v>15.039384876202165</v>
      </c>
      <c r="O176" s="155">
        <f t="shared" si="33"/>
        <v>150.39384876202166</v>
      </c>
      <c r="P176" s="216">
        <v>1.1205338726442957</v>
      </c>
      <c r="Q176" s="120">
        <f t="shared" si="34"/>
        <v>168.52140177518865</v>
      </c>
      <c r="R176" s="120">
        <f t="shared" si="35"/>
        <v>18.127553013166988</v>
      </c>
      <c r="S176" s="250">
        <f t="shared" si="36"/>
        <v>0.10756825437133233</v>
      </c>
    </row>
    <row r="177" spans="2:19" ht="15" customHeight="1" x14ac:dyDescent="0.2">
      <c r="E177" s="148">
        <v>20</v>
      </c>
      <c r="F177" s="105">
        <f t="shared" si="30"/>
        <v>252.13714285714292</v>
      </c>
      <c r="G177" s="99">
        <f t="shared" si="31"/>
        <v>12.606857142857146</v>
      </c>
      <c r="H177" s="140">
        <f t="shared" si="28"/>
        <v>0.32649144735068414</v>
      </c>
      <c r="J177" s="140">
        <v>0.32692045573621309</v>
      </c>
      <c r="K177" s="148">
        <v>20</v>
      </c>
      <c r="L177" s="140">
        <f t="shared" si="32"/>
        <v>0.32692045573621309</v>
      </c>
      <c r="N177" s="151">
        <f t="shared" si="29"/>
        <v>12.62312359184976</v>
      </c>
      <c r="O177" s="151">
        <f t="shared" si="33"/>
        <v>252.46247183699521</v>
      </c>
      <c r="P177" s="216">
        <v>1.1493795308493462</v>
      </c>
      <c r="Q177" s="120">
        <f t="shared" si="34"/>
        <v>290.1751974370718</v>
      </c>
      <c r="R177" s="120">
        <f t="shared" si="35"/>
        <v>37.712725600076595</v>
      </c>
      <c r="S177" s="250">
        <f t="shared" si="36"/>
        <v>0.12996536552113513</v>
      </c>
    </row>
    <row r="178" spans="2:19" ht="15" customHeight="1" x14ac:dyDescent="0.2">
      <c r="E178" s="148">
        <v>30</v>
      </c>
      <c r="F178" s="105">
        <f t="shared" si="30"/>
        <v>340.1942857142858</v>
      </c>
      <c r="G178" s="99">
        <f t="shared" si="31"/>
        <v>11.339809523809526</v>
      </c>
      <c r="H178" s="140">
        <f t="shared" si="28"/>
        <v>0.29367754247991462</v>
      </c>
      <c r="J178" s="140">
        <v>0.29375814052384225</v>
      </c>
      <c r="K178" s="148">
        <v>30</v>
      </c>
      <c r="L178" s="140">
        <f t="shared" si="32"/>
        <v>0.29375814052384225</v>
      </c>
      <c r="N178" s="151">
        <f t="shared" si="29"/>
        <v>11.342653079305853</v>
      </c>
      <c r="O178" s="151">
        <f t="shared" si="33"/>
        <v>340.2795923791756</v>
      </c>
      <c r="P178" s="216">
        <v>1.1494843245208235</v>
      </c>
      <c r="Q178" s="120">
        <f t="shared" si="34"/>
        <v>391.14605739419784</v>
      </c>
      <c r="R178" s="120">
        <f t="shared" si="35"/>
        <v>50.866465015022243</v>
      </c>
      <c r="S178" s="250">
        <f t="shared" si="36"/>
        <v>0.13004468293479157</v>
      </c>
    </row>
    <row r="179" spans="2:19" ht="15" customHeight="1" x14ac:dyDescent="0.2">
      <c r="E179" s="148">
        <v>40</v>
      </c>
      <c r="F179" s="105">
        <f t="shared" si="30"/>
        <v>420.33714285714279</v>
      </c>
      <c r="G179" s="99">
        <f t="shared" si="31"/>
        <v>10.508428571428571</v>
      </c>
      <c r="H179" s="140">
        <f t="shared" si="28"/>
        <v>0.27214650049484373</v>
      </c>
      <c r="J179" s="140">
        <v>0.27190546017767836</v>
      </c>
      <c r="K179" s="148">
        <v>40</v>
      </c>
      <c r="L179" s="140">
        <f t="shared" si="32"/>
        <v>0.27190546017767836</v>
      </c>
      <c r="N179" s="151">
        <f t="shared" si="29"/>
        <v>10.498872642864178</v>
      </c>
      <c r="O179" s="151">
        <f t="shared" si="33"/>
        <v>419.95490571456713</v>
      </c>
      <c r="P179" s="216">
        <v>1.1494429959706092</v>
      </c>
      <c r="Q179" s="120">
        <f t="shared" si="34"/>
        <v>482.71422499710673</v>
      </c>
      <c r="R179" s="120">
        <f t="shared" si="35"/>
        <v>62.759319282539593</v>
      </c>
      <c r="S179" s="250">
        <f t="shared" si="36"/>
        <v>0.13001340344365397</v>
      </c>
    </row>
    <row r="180" spans="2:19" ht="15" customHeight="1" thickBot="1" x14ac:dyDescent="0.25">
      <c r="E180" s="149">
        <v>50</v>
      </c>
      <c r="F180" s="116">
        <f t="shared" si="30"/>
        <v>498.01571428571424</v>
      </c>
      <c r="G180" s="100">
        <f t="shared" si="31"/>
        <v>9.9603142857142846</v>
      </c>
      <c r="H180" s="141">
        <f t="shared" si="28"/>
        <v>0.25795147754593717</v>
      </c>
      <c r="J180" s="141">
        <v>0.2579019274150065</v>
      </c>
      <c r="K180" s="149">
        <v>50</v>
      </c>
      <c r="L180" s="141">
        <f t="shared" si="32"/>
        <v>0.2579019274150065</v>
      </c>
      <c r="N180" s="152">
        <f t="shared" si="29"/>
        <v>9.9581651964988271</v>
      </c>
      <c r="O180" s="152">
        <f t="shared" si="33"/>
        <v>497.90825982494135</v>
      </c>
      <c r="P180" s="217">
        <v>1.1493938536239221</v>
      </c>
      <c r="Q180" s="121">
        <f t="shared" si="34"/>
        <v>572.29269351137043</v>
      </c>
      <c r="R180" s="121">
        <f t="shared" si="35"/>
        <v>74.384433686429077</v>
      </c>
      <c r="S180" s="249">
        <f t="shared" si="36"/>
        <v>0.12997620715727554</v>
      </c>
    </row>
    <row r="181" spans="2:19" ht="15" customHeight="1" x14ac:dyDescent="0.2"/>
    <row r="182" spans="2:19" ht="15" customHeight="1" x14ac:dyDescent="0.2"/>
    <row r="183" spans="2:19" ht="15" customHeight="1" x14ac:dyDescent="0.2"/>
    <row r="184" spans="2:19" ht="15" customHeight="1" x14ac:dyDescent="0.2"/>
    <row r="185" spans="2:19" ht="15" customHeight="1" x14ac:dyDescent="0.2"/>
    <row r="186" spans="2:19" ht="15" customHeight="1" x14ac:dyDescent="0.2"/>
    <row r="187" spans="2:19" ht="15" customHeight="1" x14ac:dyDescent="0.2"/>
    <row r="188" spans="2:19" ht="15" customHeight="1" x14ac:dyDescent="0.2"/>
    <row r="189" spans="2:19" ht="15" customHeight="1" x14ac:dyDescent="0.2"/>
    <row r="190" spans="2:19" ht="15" customHeight="1" x14ac:dyDescent="0.2"/>
    <row r="191" spans="2:19" ht="15" customHeight="1" x14ac:dyDescent="0.2">
      <c r="F191" s="84"/>
      <c r="G191" s="84"/>
      <c r="H191" s="84"/>
      <c r="I191" s="84"/>
      <c r="J191" s="84"/>
      <c r="K191" s="84"/>
      <c r="L191" s="84"/>
      <c r="M191" s="84"/>
      <c r="N191" s="84"/>
      <c r="O191" s="84"/>
      <c r="P191" s="84"/>
    </row>
    <row r="192" spans="2:19" ht="15" customHeight="1" x14ac:dyDescent="0.2">
      <c r="B192" s="169"/>
    </row>
    <row r="193" spans="1:15" ht="15" customHeight="1" x14ac:dyDescent="0.2">
      <c r="A193" s="169" t="s">
        <v>172</v>
      </c>
      <c r="B193" s="143" t="s">
        <v>178</v>
      </c>
    </row>
    <row r="194" spans="1:15" ht="15" customHeight="1" x14ac:dyDescent="0.2"/>
    <row r="195" spans="1:15" ht="15" customHeight="1" x14ac:dyDescent="0.2">
      <c r="B195" s="169" t="s">
        <v>168</v>
      </c>
    </row>
    <row r="196" spans="1:15" ht="15" customHeight="1" x14ac:dyDescent="0.2">
      <c r="B196" s="143" t="s">
        <v>169</v>
      </c>
      <c r="J196" s="143" t="s">
        <v>165</v>
      </c>
    </row>
    <row r="197" spans="1:15" ht="15" customHeight="1" x14ac:dyDescent="0.2">
      <c r="B197" s="169" t="s">
        <v>170</v>
      </c>
      <c r="H197" t="s">
        <v>166</v>
      </c>
    </row>
    <row r="198" spans="1:15" ht="15" customHeight="1" x14ac:dyDescent="0.2">
      <c r="F198" s="196" t="s">
        <v>133</v>
      </c>
      <c r="L198" s="243" t="s">
        <v>167</v>
      </c>
    </row>
    <row r="199" spans="1:15" ht="15" customHeight="1" x14ac:dyDescent="0.2">
      <c r="F199" s="196" t="s">
        <v>112</v>
      </c>
      <c r="H199" s="252" t="s">
        <v>110</v>
      </c>
      <c r="L199" s="144">
        <v>1</v>
      </c>
      <c r="M199" s="109" t="s">
        <v>24</v>
      </c>
      <c r="N199" s="203" t="s">
        <v>104</v>
      </c>
      <c r="O199" s="260" t="s">
        <v>112</v>
      </c>
    </row>
    <row r="200" spans="1:15" ht="15" customHeight="1" x14ac:dyDescent="0.2">
      <c r="B200" s="158">
        <v>2.46</v>
      </c>
      <c r="C200" s="157" t="s">
        <v>6</v>
      </c>
      <c r="D200" s="22"/>
      <c r="E200" s="5" t="s">
        <v>2</v>
      </c>
      <c r="F200" s="196" t="s">
        <v>149</v>
      </c>
      <c r="G200" s="55" t="s">
        <v>37</v>
      </c>
      <c r="H200" s="6" t="s">
        <v>68</v>
      </c>
      <c r="J200" s="72" t="s">
        <v>137</v>
      </c>
      <c r="K200" s="5" t="s">
        <v>2</v>
      </c>
      <c r="L200" s="6" t="s">
        <v>68</v>
      </c>
      <c r="M200" s="38" t="s">
        <v>25</v>
      </c>
      <c r="N200" s="204" t="s">
        <v>138</v>
      </c>
      <c r="O200" s="38" t="s">
        <v>33</v>
      </c>
    </row>
    <row r="201" spans="1:15" ht="15" customHeight="1" x14ac:dyDescent="0.2">
      <c r="B201" s="159">
        <v>5</v>
      </c>
      <c r="C201" s="1" t="s">
        <v>0</v>
      </c>
      <c r="D201" s="39"/>
      <c r="E201" s="150">
        <v>1</v>
      </c>
      <c r="F201" s="245">
        <f t="shared" ref="F201:F210" si="37">G129</f>
        <v>0.315</v>
      </c>
      <c r="G201" s="104">
        <f>F201/E201</f>
        <v>0.315</v>
      </c>
      <c r="H201" s="257">
        <f>SQRT(12*32.2*G201^2/(4*$B$202*($B$201*56)*$B$200^2))</f>
        <v>8.1578465393919233E-3</v>
      </c>
      <c r="J201" s="257">
        <v>8.1578465393919233E-3</v>
      </c>
      <c r="K201" s="150">
        <v>1</v>
      </c>
      <c r="L201" s="257">
        <f>J201*$L$199</f>
        <v>8.1578465393919233E-3</v>
      </c>
      <c r="M201" s="14">
        <f>(B201*2.20462*25.4*12)</f>
        <v>3359.8408799999997</v>
      </c>
      <c r="N201" s="153">
        <f>L201*B$200*SQRT(4*B$202*M$201/32.2)/12</f>
        <v>0.31499254116169167</v>
      </c>
      <c r="O201" s="297">
        <f>K201*N201</f>
        <v>0.31499254116169167</v>
      </c>
    </row>
    <row r="202" spans="1:15" ht="15" customHeight="1" x14ac:dyDescent="0.2">
      <c r="B202" s="160">
        <v>85</v>
      </c>
      <c r="C202" s="156" t="s">
        <v>1</v>
      </c>
      <c r="D202" s="31"/>
      <c r="E202" s="149">
        <v>2</v>
      </c>
      <c r="F202" s="246">
        <f t="shared" si="37"/>
        <v>1.36</v>
      </c>
      <c r="G202" s="103">
        <f t="shared" ref="G202:G210" si="38">F202/E202</f>
        <v>0.68</v>
      </c>
      <c r="H202" s="258">
        <f t="shared" ref="H202:H210" si="39">SQRT(12*32.2*G202^2/(4*$B$202*($B$201*56)*$B$200^2))</f>
        <v>1.7610589354877804E-2</v>
      </c>
      <c r="J202" s="258">
        <v>1.7610589354877804E-2</v>
      </c>
      <c r="K202" s="149">
        <v>2</v>
      </c>
      <c r="L202" s="258">
        <f t="shared" ref="L202:L210" si="40">J202*$L$199</f>
        <v>1.7610589354877804E-2</v>
      </c>
      <c r="N202" s="152">
        <f t="shared" ref="N202:N210" si="41">L202*B$200*SQRT(4*B$202*M$201/32.2)/12</f>
        <v>0.67998389838079476</v>
      </c>
      <c r="O202" s="298">
        <f t="shared" ref="O202" si="42">K202*N202</f>
        <v>1.3599677967615895</v>
      </c>
    </row>
    <row r="203" spans="1:15" ht="15" customHeight="1" x14ac:dyDescent="0.2">
      <c r="E203" s="148">
        <v>3</v>
      </c>
      <c r="F203" s="247">
        <f t="shared" si="37"/>
        <v>2.96</v>
      </c>
      <c r="G203" s="102">
        <f t="shared" si="38"/>
        <v>0.98666666666666669</v>
      </c>
      <c r="H203" s="259">
        <f t="shared" si="39"/>
        <v>2.5552619848254063E-2</v>
      </c>
      <c r="J203" s="259">
        <v>2.5552619848254063E-2</v>
      </c>
      <c r="K203" s="148">
        <v>3</v>
      </c>
      <c r="L203" s="259">
        <f t="shared" si="40"/>
        <v>2.5552619848254063E-2</v>
      </c>
      <c r="N203" s="151">
        <f t="shared" si="41"/>
        <v>0.98664330353291785</v>
      </c>
      <c r="O203" s="299">
        <f>K203*N203</f>
        <v>2.9599299105987535</v>
      </c>
    </row>
    <row r="204" spans="1:15" ht="15" customHeight="1" x14ac:dyDescent="0.2">
      <c r="E204" s="148">
        <v>4</v>
      </c>
      <c r="F204" s="247">
        <f t="shared" si="37"/>
        <v>5.04</v>
      </c>
      <c r="G204" s="102">
        <f t="shared" si="38"/>
        <v>1.26</v>
      </c>
      <c r="H204" s="259">
        <f t="shared" si="39"/>
        <v>3.2631386157567693E-2</v>
      </c>
      <c r="J204" s="259">
        <v>3.2631386157567693E-2</v>
      </c>
      <c r="K204" s="148">
        <v>4</v>
      </c>
      <c r="L204" s="259">
        <f t="shared" si="40"/>
        <v>3.2631386157567693E-2</v>
      </c>
      <c r="N204" s="151">
        <f t="shared" si="41"/>
        <v>1.2599701646467667</v>
      </c>
      <c r="O204" s="299">
        <f t="shared" ref="O204:O210" si="43">K204*N204</f>
        <v>5.0398806585870668</v>
      </c>
    </row>
    <row r="205" spans="1:15" ht="15" customHeight="1" x14ac:dyDescent="0.2">
      <c r="E205" s="149">
        <v>5</v>
      </c>
      <c r="F205" s="246">
        <f t="shared" si="37"/>
        <v>7.32</v>
      </c>
      <c r="G205" s="103">
        <f t="shared" si="38"/>
        <v>1.464</v>
      </c>
      <c r="H205" s="258">
        <f t="shared" si="39"/>
        <v>3.7914562964031027E-2</v>
      </c>
      <c r="J205" s="258">
        <v>3.7914562964031027E-2</v>
      </c>
      <c r="K205" s="149">
        <v>5</v>
      </c>
      <c r="L205" s="258">
        <f t="shared" si="40"/>
        <v>3.7914562964031027E-2</v>
      </c>
      <c r="N205" s="152">
        <f t="shared" si="41"/>
        <v>1.4639653341610048</v>
      </c>
      <c r="O205" s="298">
        <f t="shared" si="43"/>
        <v>7.3198266708050239</v>
      </c>
    </row>
    <row r="206" spans="1:15" ht="15" customHeight="1" x14ac:dyDescent="0.2">
      <c r="E206" s="148">
        <v>10</v>
      </c>
      <c r="F206" s="247">
        <f t="shared" si="37"/>
        <v>18.13</v>
      </c>
      <c r="G206" s="102">
        <f t="shared" si="38"/>
        <v>1.8129999999999999</v>
      </c>
      <c r="H206" s="259">
        <f t="shared" si="39"/>
        <v>4.6952938971166841E-2</v>
      </c>
      <c r="J206" s="259">
        <v>4.6952938971166841E-2</v>
      </c>
      <c r="K206" s="154">
        <v>10</v>
      </c>
      <c r="L206" s="259">
        <f t="shared" si="40"/>
        <v>4.6952938971166841E-2</v>
      </c>
      <c r="M206" s="84"/>
      <c r="N206" s="155">
        <f t="shared" si="41"/>
        <v>1.8129570702417361</v>
      </c>
      <c r="O206" s="300">
        <f t="shared" si="43"/>
        <v>18.129570702417361</v>
      </c>
    </row>
    <row r="207" spans="1:15" ht="15" customHeight="1" x14ac:dyDescent="0.2">
      <c r="E207" s="148">
        <v>20</v>
      </c>
      <c r="F207" s="247">
        <f t="shared" si="37"/>
        <v>37.728000000000002</v>
      </c>
      <c r="G207" s="102">
        <f t="shared" si="38"/>
        <v>1.8864000000000001</v>
      </c>
      <c r="H207" s="259">
        <f t="shared" si="39"/>
        <v>4.8853846704472771E-2</v>
      </c>
      <c r="J207" s="259">
        <v>4.8853846704472771E-2</v>
      </c>
      <c r="K207" s="148">
        <v>20</v>
      </c>
      <c r="L207" s="259">
        <f t="shared" si="40"/>
        <v>4.8853846704472771E-2</v>
      </c>
      <c r="N207" s="151">
        <f t="shared" si="41"/>
        <v>1.8863553322140165</v>
      </c>
      <c r="O207" s="299">
        <f t="shared" si="43"/>
        <v>37.727106644280333</v>
      </c>
    </row>
    <row r="208" spans="1:15" ht="15" customHeight="1" x14ac:dyDescent="0.2">
      <c r="E208" s="148">
        <v>30</v>
      </c>
      <c r="F208" s="247">
        <f t="shared" si="37"/>
        <v>50.866</v>
      </c>
      <c r="G208" s="102">
        <f t="shared" si="38"/>
        <v>1.6955333333333333</v>
      </c>
      <c r="H208" s="259">
        <f t="shared" si="39"/>
        <v>4.391079598653011E-2</v>
      </c>
      <c r="J208" s="259">
        <v>4.391079598653011E-2</v>
      </c>
      <c r="K208" s="148">
        <v>30</v>
      </c>
      <c r="L208" s="259">
        <f t="shared" si="40"/>
        <v>4.391079598653011E-2</v>
      </c>
      <c r="N208" s="151">
        <f t="shared" si="41"/>
        <v>1.6954931850508579</v>
      </c>
      <c r="O208" s="299">
        <f t="shared" si="43"/>
        <v>50.864795551525738</v>
      </c>
    </row>
    <row r="209" spans="1:16" ht="15" customHeight="1" x14ac:dyDescent="0.2">
      <c r="E209" s="148">
        <v>40</v>
      </c>
      <c r="F209" s="247">
        <f t="shared" si="37"/>
        <v>62.758000000000003</v>
      </c>
      <c r="G209" s="102">
        <f t="shared" si="38"/>
        <v>1.5689500000000001</v>
      </c>
      <c r="H209" s="259">
        <f t="shared" si="39"/>
        <v>4.0632550247552246E-2</v>
      </c>
      <c r="J209" s="259">
        <v>4.0632550247552246E-2</v>
      </c>
      <c r="K209" s="148">
        <v>40</v>
      </c>
      <c r="L209" s="259">
        <f t="shared" si="40"/>
        <v>4.0632550247552246E-2</v>
      </c>
      <c r="N209" s="151">
        <f t="shared" si="41"/>
        <v>1.5689128490655115</v>
      </c>
      <c r="O209" s="299">
        <f t="shared" si="43"/>
        <v>62.75651396262046</v>
      </c>
    </row>
    <row r="210" spans="1:16" ht="15" customHeight="1" x14ac:dyDescent="0.2">
      <c r="E210" s="149">
        <v>50</v>
      </c>
      <c r="F210" s="246">
        <f t="shared" si="37"/>
        <v>74.391000000000005</v>
      </c>
      <c r="G210" s="103">
        <f t="shared" si="38"/>
        <v>1.4878200000000001</v>
      </c>
      <c r="H210" s="258">
        <f t="shared" si="39"/>
        <v>3.8531451549962195E-2</v>
      </c>
      <c r="J210" s="258">
        <v>3.8531451549962195E-2</v>
      </c>
      <c r="K210" s="149">
        <v>50</v>
      </c>
      <c r="L210" s="258">
        <f t="shared" si="40"/>
        <v>3.8531451549962195E-2</v>
      </c>
      <c r="N210" s="152">
        <f t="shared" si="41"/>
        <v>1.4877847701307561</v>
      </c>
      <c r="O210" s="298">
        <f t="shared" si="43"/>
        <v>74.389238506537808</v>
      </c>
    </row>
    <row r="211" spans="1:16" ht="15" customHeight="1" x14ac:dyDescent="0.2"/>
    <row r="212" spans="1:16" ht="15" customHeight="1" x14ac:dyDescent="0.2">
      <c r="O212" s="70"/>
    </row>
    <row r="213" spans="1:16" ht="15" customHeight="1" x14ac:dyDescent="0.2">
      <c r="O213" s="70"/>
    </row>
    <row r="214" spans="1:16" ht="15" customHeight="1" x14ac:dyDescent="0.2">
      <c r="O214" s="70"/>
    </row>
    <row r="215" spans="1:16" ht="15" customHeight="1" x14ac:dyDescent="0.2">
      <c r="O215" s="70"/>
    </row>
    <row r="216" spans="1:16" ht="15" customHeight="1" x14ac:dyDescent="0.2">
      <c r="O216" s="70"/>
    </row>
    <row r="217" spans="1:16" ht="15" customHeight="1" x14ac:dyDescent="0.2">
      <c r="A217" s="108"/>
      <c r="B217" s="21"/>
      <c r="C217" s="21"/>
      <c r="D217" s="21"/>
      <c r="E217" s="21"/>
      <c r="F217" s="21"/>
      <c r="G217" s="21"/>
      <c r="H217" s="21"/>
      <c r="I217" s="21"/>
      <c r="J217" s="21"/>
      <c r="K217" s="21"/>
      <c r="L217" s="21"/>
      <c r="M217" s="21"/>
      <c r="N217" s="21"/>
      <c r="O217" s="351"/>
      <c r="P217" s="22"/>
    </row>
    <row r="218" spans="1:16" ht="15" customHeight="1" x14ac:dyDescent="0.2">
      <c r="A218" s="63"/>
      <c r="B218" s="1"/>
      <c r="C218" s="1"/>
      <c r="D218" s="1"/>
      <c r="E218" s="1"/>
      <c r="F218" s="1"/>
      <c r="G218" s="1"/>
      <c r="H218" s="1"/>
      <c r="I218" s="1"/>
      <c r="J218" s="1"/>
      <c r="K218" s="1"/>
      <c r="L218" s="1"/>
      <c r="M218" s="1"/>
      <c r="N218" s="1"/>
      <c r="O218" s="377" t="s">
        <v>227</v>
      </c>
      <c r="P218" s="378">
        <v>4</v>
      </c>
    </row>
    <row r="219" spans="1:16" ht="15" customHeight="1" x14ac:dyDescent="0.2">
      <c r="A219" s="63"/>
      <c r="B219" s="1"/>
      <c r="C219" s="1"/>
      <c r="D219" s="1"/>
      <c r="E219" s="1"/>
      <c r="F219" s="1"/>
      <c r="G219" s="1"/>
      <c r="H219" s="1"/>
      <c r="I219" s="1"/>
      <c r="J219" s="1"/>
      <c r="K219" s="1"/>
      <c r="L219" s="1"/>
      <c r="M219" s="1"/>
      <c r="N219" s="1"/>
      <c r="O219" s="352"/>
      <c r="P219" s="39"/>
    </row>
    <row r="220" spans="1:16" ht="15" customHeight="1" x14ac:dyDescent="0.2">
      <c r="A220" s="353" t="s">
        <v>175</v>
      </c>
      <c r="B220" s="354" t="s">
        <v>176</v>
      </c>
      <c r="C220" s="1"/>
      <c r="D220" s="1"/>
      <c r="E220" s="1"/>
      <c r="F220" s="1"/>
      <c r="G220" s="1"/>
      <c r="H220" s="1"/>
      <c r="I220" s="1"/>
      <c r="J220" s="1"/>
      <c r="K220" s="355" t="s">
        <v>198</v>
      </c>
      <c r="L220" s="1"/>
      <c r="M220" s="1"/>
      <c r="N220" s="1"/>
      <c r="O220" s="352" t="s">
        <v>199</v>
      </c>
      <c r="P220" s="39"/>
    </row>
    <row r="221" spans="1:16" ht="15" customHeight="1" x14ac:dyDescent="0.2">
      <c r="A221" s="63"/>
      <c r="B221" s="354" t="s">
        <v>126</v>
      </c>
      <c r="C221" s="1"/>
      <c r="D221" s="1"/>
      <c r="E221" s="1"/>
      <c r="F221" s="1"/>
      <c r="G221" s="1"/>
      <c r="H221" s="1"/>
      <c r="I221" s="1"/>
      <c r="J221" s="1"/>
      <c r="K221" s="1"/>
      <c r="L221" s="1"/>
      <c r="M221" s="1"/>
      <c r="N221" s="1"/>
      <c r="O221" s="352"/>
      <c r="P221" s="39"/>
    </row>
    <row r="222" spans="1:16" ht="15" customHeight="1" x14ac:dyDescent="0.2">
      <c r="A222" s="63"/>
      <c r="B222" s="356" t="s">
        <v>135</v>
      </c>
      <c r="C222" s="1"/>
      <c r="D222" s="1"/>
      <c r="E222" s="1"/>
      <c r="F222" s="1"/>
      <c r="G222" s="1"/>
      <c r="H222" s="1"/>
      <c r="I222" s="1"/>
      <c r="J222" s="1"/>
      <c r="K222" s="1"/>
      <c r="L222" s="1"/>
      <c r="M222" s="1"/>
      <c r="N222" s="1"/>
      <c r="O222" s="1"/>
      <c r="P222" s="39"/>
    </row>
    <row r="223" spans="1:16" ht="15" customHeight="1" x14ac:dyDescent="0.2">
      <c r="A223" s="23"/>
      <c r="B223" s="358" t="s">
        <v>189</v>
      </c>
      <c r="C223" s="354" t="s">
        <v>200</v>
      </c>
      <c r="D223" s="1"/>
      <c r="E223" s="1"/>
      <c r="F223" s="1"/>
      <c r="G223" s="1"/>
      <c r="H223" s="1"/>
      <c r="I223" s="1"/>
      <c r="J223" s="1"/>
      <c r="K223" s="1"/>
      <c r="L223" s="1"/>
      <c r="M223" s="1"/>
      <c r="N223" s="1"/>
      <c r="O223" s="1"/>
      <c r="P223" s="39"/>
    </row>
    <row r="224" spans="1:16" ht="15" customHeight="1" x14ac:dyDescent="0.2">
      <c r="A224" s="23"/>
      <c r="B224" s="358"/>
      <c r="C224" s="354"/>
      <c r="D224" s="1"/>
      <c r="E224" s="1"/>
      <c r="F224" s="1"/>
      <c r="G224" s="1"/>
      <c r="H224" s="1"/>
      <c r="I224" s="1"/>
      <c r="J224" s="1"/>
      <c r="K224" s="1"/>
      <c r="L224" s="1"/>
      <c r="M224" s="1"/>
      <c r="N224" s="1"/>
      <c r="O224" s="1"/>
      <c r="P224" s="39"/>
    </row>
    <row r="225" spans="1:16" ht="15" customHeight="1" x14ac:dyDescent="0.2">
      <c r="A225" s="23"/>
      <c r="B225" s="358"/>
      <c r="C225" s="354"/>
      <c r="D225" s="1"/>
      <c r="E225" s="1"/>
      <c r="F225" s="1"/>
      <c r="G225" s="1"/>
      <c r="H225" s="1"/>
      <c r="I225" s="1"/>
      <c r="J225" s="1"/>
      <c r="K225" s="1"/>
      <c r="L225" s="1"/>
      <c r="M225" s="1"/>
      <c r="N225" s="1"/>
      <c r="O225" s="1"/>
      <c r="P225" s="39"/>
    </row>
    <row r="226" spans="1:16" ht="15" customHeight="1" x14ac:dyDescent="0.2">
      <c r="A226" s="23"/>
      <c r="B226" s="358"/>
      <c r="C226" s="354"/>
      <c r="D226" s="1"/>
      <c r="E226" s="1"/>
      <c r="F226" s="1"/>
      <c r="G226" s="1"/>
      <c r="H226" s="1"/>
      <c r="I226" s="1"/>
      <c r="J226" s="1"/>
      <c r="K226" s="1"/>
      <c r="L226" s="1"/>
      <c r="M226" s="1"/>
      <c r="N226" s="1"/>
      <c r="O226" s="1"/>
      <c r="P226" s="39"/>
    </row>
    <row r="227" spans="1:16" ht="15" customHeight="1" x14ac:dyDescent="0.2">
      <c r="A227" s="23"/>
      <c r="B227" s="358"/>
      <c r="C227" s="354"/>
      <c r="D227" s="1"/>
      <c r="E227" s="1"/>
      <c r="F227" s="1"/>
      <c r="G227" s="1"/>
      <c r="H227" s="1"/>
      <c r="I227" s="1"/>
      <c r="J227" s="1"/>
      <c r="K227" s="1"/>
      <c r="L227" s="1"/>
      <c r="M227" s="1"/>
      <c r="N227" s="1"/>
      <c r="O227" s="1"/>
      <c r="P227" s="39"/>
    </row>
    <row r="228" spans="1:16" ht="15" customHeight="1" x14ac:dyDescent="0.2">
      <c r="A228" s="63"/>
      <c r="B228" s="1"/>
      <c r="C228" s="1"/>
      <c r="D228" s="1"/>
      <c r="E228" s="1"/>
      <c r="F228" s="1"/>
      <c r="G228" s="1"/>
      <c r="H228" s="180" t="str">
        <f>J99</f>
        <v xml:space="preserve"> average</v>
      </c>
      <c r="I228" s="1"/>
      <c r="J228" s="1"/>
      <c r="K228" s="1"/>
      <c r="L228" s="1"/>
      <c r="M228" s="1"/>
      <c r="N228" s="1"/>
      <c r="O228" s="1"/>
      <c r="P228" s="39"/>
    </row>
    <row r="229" spans="1:16" ht="15" customHeight="1" x14ac:dyDescent="0.2">
      <c r="A229" s="379" t="s">
        <v>228</v>
      </c>
      <c r="B229" s="446">
        <f>D150</f>
        <v>5</v>
      </c>
      <c r="C229" s="180" t="s">
        <v>133</v>
      </c>
      <c r="D229" s="168" t="s">
        <v>133</v>
      </c>
      <c r="E229" s="170" t="s">
        <v>133</v>
      </c>
      <c r="F229" s="272" t="s">
        <v>110</v>
      </c>
      <c r="G229" s="278" t="s">
        <v>133</v>
      </c>
      <c r="H229" s="180" t="s">
        <v>124</v>
      </c>
      <c r="I229" s="180" t="s">
        <v>50</v>
      </c>
      <c r="J229" s="180" t="s">
        <v>50</v>
      </c>
      <c r="K229" s="279" t="s">
        <v>124</v>
      </c>
      <c r="L229" s="182" t="s">
        <v>117</v>
      </c>
      <c r="M229" s="283" t="s">
        <v>110</v>
      </c>
      <c r="N229" s="182" t="s">
        <v>112</v>
      </c>
      <c r="O229" s="1"/>
      <c r="P229" s="182" t="s">
        <v>117</v>
      </c>
    </row>
    <row r="230" spans="1:16" ht="15" customHeight="1" x14ac:dyDescent="0.2">
      <c r="A230" s="63"/>
      <c r="B230" s="186"/>
      <c r="C230" s="266" t="s">
        <v>117</v>
      </c>
      <c r="D230" s="264" t="s">
        <v>118</v>
      </c>
      <c r="E230" s="196" t="s">
        <v>109</v>
      </c>
      <c r="F230" s="273" t="s">
        <v>127</v>
      </c>
      <c r="G230" s="183" t="s">
        <v>110</v>
      </c>
      <c r="H230" s="181" t="s">
        <v>112</v>
      </c>
      <c r="I230" s="181" t="s">
        <v>114</v>
      </c>
      <c r="J230" s="181" t="s">
        <v>115</v>
      </c>
      <c r="K230" s="280" t="s">
        <v>105</v>
      </c>
      <c r="L230" s="183" t="s">
        <v>116</v>
      </c>
      <c r="M230" s="282" t="s">
        <v>116</v>
      </c>
      <c r="N230" s="183" t="s">
        <v>116</v>
      </c>
      <c r="O230" s="1"/>
      <c r="P230" s="183" t="s">
        <v>116</v>
      </c>
    </row>
    <row r="231" spans="1:16" ht="15" customHeight="1" x14ac:dyDescent="0.2">
      <c r="A231" s="63"/>
      <c r="B231" s="186" t="s">
        <v>39</v>
      </c>
      <c r="C231" s="267" t="s">
        <v>130</v>
      </c>
      <c r="D231" s="265" t="s">
        <v>130</v>
      </c>
      <c r="E231" s="192" t="s">
        <v>130</v>
      </c>
      <c r="F231" s="274" t="s">
        <v>131</v>
      </c>
      <c r="G231" s="267" t="s">
        <v>130</v>
      </c>
      <c r="H231" s="267" t="s">
        <v>130</v>
      </c>
      <c r="I231" s="267" t="s">
        <v>130</v>
      </c>
      <c r="J231" s="267" t="s">
        <v>130</v>
      </c>
      <c r="K231" s="281" t="s">
        <v>177</v>
      </c>
      <c r="L231" s="183"/>
      <c r="M231" s="282"/>
      <c r="N231" s="183"/>
      <c r="O231" s="1"/>
      <c r="P231" s="183" t="s">
        <v>128</v>
      </c>
    </row>
    <row r="232" spans="1:16" ht="15" customHeight="1" x14ac:dyDescent="0.2">
      <c r="A232" s="63"/>
      <c r="B232" s="186">
        <v>1</v>
      </c>
      <c r="C232" s="268">
        <f t="shared" ref="C232:C241" si="44">C129</f>
        <v>35.876072215074458</v>
      </c>
      <c r="D232" s="301">
        <f t="shared" ref="D232:E232" si="45">D129</f>
        <v>112.87607221507446</v>
      </c>
      <c r="E232" s="275">
        <f t="shared" si="45"/>
        <v>22.876072215074458</v>
      </c>
      <c r="F232" s="275">
        <f>G232+J232</f>
        <v>35.561072215074461</v>
      </c>
      <c r="G232" s="268">
        <f t="shared" ref="G232:H241" si="46">F129</f>
        <v>22.561072215074457</v>
      </c>
      <c r="H232" s="304">
        <f t="shared" si="46"/>
        <v>0.315</v>
      </c>
      <c r="I232" s="308">
        <f t="shared" ref="I232:I241" si="47">J129</f>
        <v>77</v>
      </c>
      <c r="J232" s="308">
        <f t="shared" ref="J232:J241" si="48">L129</f>
        <v>13</v>
      </c>
      <c r="K232" s="373">
        <f>H232/E232</f>
        <v>1.3769846372159424E-2</v>
      </c>
      <c r="L232" s="312">
        <f t="shared" ref="L232:L241" si="49">F149</f>
        <v>0.92880188574588163</v>
      </c>
      <c r="M232" s="312">
        <f t="shared" ref="M232:M241" si="50">H171</f>
        <v>0.58428496791973461</v>
      </c>
      <c r="N232" s="312">
        <f t="shared" ref="N232:N241" si="51">H201</f>
        <v>8.1578465393919233E-3</v>
      </c>
      <c r="O232" s="1"/>
      <c r="P232" s="316">
        <f>L232</f>
        <v>0.92880188574588163</v>
      </c>
    </row>
    <row r="233" spans="1:16" ht="15" customHeight="1" x14ac:dyDescent="0.2">
      <c r="A233" s="63"/>
      <c r="B233" s="186">
        <v>2</v>
      </c>
      <c r="C233" s="269">
        <f t="shared" si="44"/>
        <v>58.387816103748463</v>
      </c>
      <c r="D233" s="302">
        <f t="shared" ref="D233:E241" si="52">D130</f>
        <v>135.38781610374846</v>
      </c>
      <c r="E233" s="276">
        <f t="shared" si="52"/>
        <v>45.387816103748463</v>
      </c>
      <c r="F233" s="276">
        <f t="shared" ref="F233:F241" si="53">G233+J233</f>
        <v>57.027816103748464</v>
      </c>
      <c r="G233" s="269">
        <f t="shared" si="46"/>
        <v>44.027816103748464</v>
      </c>
      <c r="H233" s="305">
        <f t="shared" si="46"/>
        <v>1.36</v>
      </c>
      <c r="I233" s="309">
        <f t="shared" si="47"/>
        <v>77</v>
      </c>
      <c r="J233" s="309">
        <f t="shared" si="48"/>
        <v>13</v>
      </c>
      <c r="K233" s="374">
        <f t="shared" ref="K233:K241" si="54">H233/E233</f>
        <v>2.9963988505005007E-2</v>
      </c>
      <c r="L233" s="313">
        <f t="shared" si="49"/>
        <v>0.75675400791901359</v>
      </c>
      <c r="M233" s="313">
        <f t="shared" si="50"/>
        <v>0.57011455117293386</v>
      </c>
      <c r="N233" s="313">
        <f t="shared" si="51"/>
        <v>1.7610589354877804E-2</v>
      </c>
      <c r="O233" s="1"/>
      <c r="P233" s="317">
        <f t="shared" ref="P233:P241" si="55">L233</f>
        <v>0.75675400791901359</v>
      </c>
    </row>
    <row r="234" spans="1:16" ht="15" customHeight="1" x14ac:dyDescent="0.2">
      <c r="A234" s="63"/>
      <c r="B234" s="186">
        <v>3</v>
      </c>
      <c r="C234" s="270">
        <f t="shared" si="44"/>
        <v>78.09350198514494</v>
      </c>
      <c r="D234" s="303">
        <f t="shared" si="52"/>
        <v>155.09350198514494</v>
      </c>
      <c r="E234" s="277">
        <f t="shared" si="52"/>
        <v>65.093501985144925</v>
      </c>
      <c r="F234" s="277">
        <f t="shared" si="53"/>
        <v>75.133501985144932</v>
      </c>
      <c r="G234" s="270">
        <f t="shared" si="46"/>
        <v>62.133501985144932</v>
      </c>
      <c r="H234" s="306">
        <f t="shared" si="46"/>
        <v>2.96</v>
      </c>
      <c r="I234" s="310">
        <f t="shared" si="47"/>
        <v>77</v>
      </c>
      <c r="J234" s="310">
        <f t="shared" si="48"/>
        <v>13</v>
      </c>
      <c r="K234" s="375">
        <f t="shared" si="54"/>
        <v>4.547304891777839E-2</v>
      </c>
      <c r="L234" s="314">
        <f t="shared" si="49"/>
        <v>0.6744</v>
      </c>
      <c r="M234" s="314">
        <f t="shared" si="50"/>
        <v>0.53637626894160395</v>
      </c>
      <c r="N234" s="314">
        <f t="shared" si="51"/>
        <v>2.5552619848254063E-2</v>
      </c>
      <c r="O234" s="1"/>
      <c r="P234" s="318">
        <f t="shared" si="55"/>
        <v>0.6744</v>
      </c>
    </row>
    <row r="235" spans="1:16" ht="15" customHeight="1" x14ac:dyDescent="0.2">
      <c r="A235" s="63"/>
      <c r="B235" s="186">
        <v>4</v>
      </c>
      <c r="C235" s="270">
        <f t="shared" si="44"/>
        <v>95.58413099588762</v>
      </c>
      <c r="D235" s="303">
        <f t="shared" si="52"/>
        <v>172.58413099588762</v>
      </c>
      <c r="E235" s="277">
        <f t="shared" si="52"/>
        <v>82.58413099588762</v>
      </c>
      <c r="F235" s="277">
        <f t="shared" si="53"/>
        <v>90.544130995887613</v>
      </c>
      <c r="G235" s="270">
        <f t="shared" si="46"/>
        <v>77.544130995887613</v>
      </c>
      <c r="H235" s="306">
        <f t="shared" si="46"/>
        <v>5.04</v>
      </c>
      <c r="I235" s="310">
        <f t="shared" si="47"/>
        <v>77</v>
      </c>
      <c r="J235" s="310">
        <f t="shared" si="48"/>
        <v>13</v>
      </c>
      <c r="K235" s="375">
        <f t="shared" si="54"/>
        <v>6.102867390166003E-2</v>
      </c>
      <c r="L235" s="314">
        <f t="shared" si="49"/>
        <v>0.61899999999999999</v>
      </c>
      <c r="M235" s="314">
        <f t="shared" si="50"/>
        <v>0.50205803229758394</v>
      </c>
      <c r="N235" s="314">
        <f t="shared" si="51"/>
        <v>3.2631386157567693E-2</v>
      </c>
      <c r="O235" s="1"/>
      <c r="P235" s="318">
        <f t="shared" si="55"/>
        <v>0.61899999999999999</v>
      </c>
    </row>
    <row r="236" spans="1:16" ht="15" customHeight="1" x14ac:dyDescent="0.2">
      <c r="A236" s="63"/>
      <c r="B236" s="186">
        <v>5</v>
      </c>
      <c r="C236" s="269">
        <f t="shared" si="44"/>
        <v>111.24570427260028</v>
      </c>
      <c r="D236" s="302">
        <f t="shared" si="52"/>
        <v>188.24570427260028</v>
      </c>
      <c r="E236" s="276">
        <f t="shared" si="52"/>
        <v>98.245704272600278</v>
      </c>
      <c r="F236" s="276">
        <f t="shared" si="53"/>
        <v>103.92570427260027</v>
      </c>
      <c r="G236" s="269">
        <f t="shared" si="46"/>
        <v>90.925704272600271</v>
      </c>
      <c r="H236" s="305">
        <f t="shared" si="46"/>
        <v>7.32</v>
      </c>
      <c r="I236" s="309">
        <f t="shared" si="47"/>
        <v>77</v>
      </c>
      <c r="J236" s="309">
        <f t="shared" si="48"/>
        <v>13</v>
      </c>
      <c r="K236" s="374">
        <f t="shared" si="54"/>
        <v>7.4507074423217023E-2</v>
      </c>
      <c r="L236" s="313">
        <f t="shared" si="49"/>
        <v>0.57599999999999996</v>
      </c>
      <c r="M236" s="313">
        <f t="shared" si="50"/>
        <v>0.47095742345524155</v>
      </c>
      <c r="N236" s="313">
        <f t="shared" si="51"/>
        <v>3.7914562964031027E-2</v>
      </c>
      <c r="O236" s="1"/>
      <c r="P236" s="317">
        <f t="shared" si="55"/>
        <v>0.57599999999999996</v>
      </c>
    </row>
    <row r="237" spans="1:16" ht="15" customHeight="1" x14ac:dyDescent="0.2">
      <c r="A237" s="63"/>
      <c r="B237" s="186">
        <v>10</v>
      </c>
      <c r="C237" s="270">
        <f t="shared" si="44"/>
        <v>181.84174435662925</v>
      </c>
      <c r="D237" s="303">
        <f t="shared" si="52"/>
        <v>258.84174435662925</v>
      </c>
      <c r="E237" s="277">
        <f t="shared" si="52"/>
        <v>168.84174435662925</v>
      </c>
      <c r="F237" s="277">
        <f t="shared" si="53"/>
        <v>163.71174435662925</v>
      </c>
      <c r="G237" s="270">
        <f t="shared" si="46"/>
        <v>150.71174435662925</v>
      </c>
      <c r="H237" s="306">
        <f t="shared" si="46"/>
        <v>18.13</v>
      </c>
      <c r="I237" s="310">
        <f t="shared" si="47"/>
        <v>77</v>
      </c>
      <c r="J237" s="310">
        <f t="shared" si="48"/>
        <v>13</v>
      </c>
      <c r="K237" s="375">
        <f t="shared" si="54"/>
        <v>0.10737865845371526</v>
      </c>
      <c r="L237" s="314">
        <f t="shared" si="49"/>
        <v>0.47</v>
      </c>
      <c r="M237" s="314">
        <f t="shared" si="50"/>
        <v>0.39031215306204697</v>
      </c>
      <c r="N237" s="314">
        <f t="shared" si="51"/>
        <v>4.6952938971166841E-2</v>
      </c>
      <c r="O237" s="1"/>
      <c r="P237" s="318">
        <f t="shared" si="55"/>
        <v>0.47</v>
      </c>
    </row>
    <row r="238" spans="1:16" ht="15" customHeight="1" x14ac:dyDescent="0.2">
      <c r="A238" s="63"/>
      <c r="B238" s="186">
        <v>20</v>
      </c>
      <c r="C238" s="270">
        <f t="shared" si="44"/>
        <v>302.86514285714293</v>
      </c>
      <c r="D238" s="303">
        <f t="shared" si="52"/>
        <v>379.86514285714293</v>
      </c>
      <c r="E238" s="277">
        <f t="shared" si="52"/>
        <v>289.86514285714293</v>
      </c>
      <c r="F238" s="277">
        <f t="shared" si="53"/>
        <v>265.13714285714292</v>
      </c>
      <c r="G238" s="270">
        <f t="shared" si="46"/>
        <v>252.13714285714292</v>
      </c>
      <c r="H238" s="306">
        <f t="shared" si="46"/>
        <v>37.728000000000002</v>
      </c>
      <c r="I238" s="310">
        <f t="shared" si="47"/>
        <v>77</v>
      </c>
      <c r="J238" s="310">
        <f t="shared" si="48"/>
        <v>13</v>
      </c>
      <c r="K238" s="375">
        <f t="shared" si="54"/>
        <v>0.13015707797123388</v>
      </c>
      <c r="L238" s="314">
        <f t="shared" si="49"/>
        <v>0.3926</v>
      </c>
      <c r="M238" s="314">
        <f t="shared" si="50"/>
        <v>0.32649144735068414</v>
      </c>
      <c r="N238" s="314">
        <f t="shared" si="51"/>
        <v>4.8853846704472771E-2</v>
      </c>
      <c r="O238" s="1"/>
      <c r="P238" s="318">
        <f t="shared" si="55"/>
        <v>0.3926</v>
      </c>
    </row>
    <row r="239" spans="1:16" ht="15" customHeight="1" x14ac:dyDescent="0.2">
      <c r="A239" s="63"/>
      <c r="B239" s="186">
        <v>30</v>
      </c>
      <c r="C239" s="270">
        <f t="shared" si="44"/>
        <v>404.06028571428578</v>
      </c>
      <c r="D239" s="303">
        <f t="shared" si="52"/>
        <v>481.06028571428578</v>
      </c>
      <c r="E239" s="277">
        <f t="shared" si="52"/>
        <v>391.06028571428578</v>
      </c>
      <c r="F239" s="277">
        <f t="shared" si="53"/>
        <v>353.1942857142858</v>
      </c>
      <c r="G239" s="270">
        <f t="shared" si="46"/>
        <v>340.1942857142858</v>
      </c>
      <c r="H239" s="306">
        <f t="shared" si="46"/>
        <v>50.866</v>
      </c>
      <c r="I239" s="310">
        <f t="shared" si="47"/>
        <v>77</v>
      </c>
      <c r="J239" s="310">
        <f t="shared" si="48"/>
        <v>13</v>
      </c>
      <c r="K239" s="375">
        <f t="shared" si="54"/>
        <v>0.13007201666385379</v>
      </c>
      <c r="L239" s="314">
        <f t="shared" si="49"/>
        <v>0.34889999999999999</v>
      </c>
      <c r="M239" s="314">
        <f t="shared" si="50"/>
        <v>0.29367754247991462</v>
      </c>
      <c r="N239" s="314">
        <f t="shared" si="51"/>
        <v>4.391079598653011E-2</v>
      </c>
      <c r="O239" s="1"/>
      <c r="P239" s="318">
        <f t="shared" si="55"/>
        <v>0.34889999999999999</v>
      </c>
    </row>
    <row r="240" spans="1:16" ht="15" customHeight="1" x14ac:dyDescent="0.2">
      <c r="A240" s="63"/>
      <c r="B240" s="186">
        <v>40</v>
      </c>
      <c r="C240" s="270">
        <f t="shared" si="44"/>
        <v>496.09514285714272</v>
      </c>
      <c r="D240" s="303">
        <f t="shared" si="52"/>
        <v>574.09514285714272</v>
      </c>
      <c r="E240" s="277">
        <f t="shared" si="52"/>
        <v>483.09514285714278</v>
      </c>
      <c r="F240" s="277">
        <f t="shared" si="53"/>
        <v>433.33714285714279</v>
      </c>
      <c r="G240" s="270">
        <f t="shared" si="46"/>
        <v>420.33714285714279</v>
      </c>
      <c r="H240" s="306">
        <f t="shared" si="46"/>
        <v>62.758000000000003</v>
      </c>
      <c r="I240" s="310">
        <f t="shared" si="47"/>
        <v>78</v>
      </c>
      <c r="J240" s="310">
        <f t="shared" si="48"/>
        <v>13</v>
      </c>
      <c r="K240" s="375">
        <f t="shared" si="54"/>
        <v>0.12990815769505329</v>
      </c>
      <c r="L240" s="314">
        <f t="shared" si="49"/>
        <v>0.32095000000000001</v>
      </c>
      <c r="M240" s="314">
        <f t="shared" si="50"/>
        <v>0.27214650049484373</v>
      </c>
      <c r="N240" s="314">
        <f t="shared" si="51"/>
        <v>4.0632550247552246E-2</v>
      </c>
      <c r="O240" s="1"/>
      <c r="P240" s="318">
        <f t="shared" si="55"/>
        <v>0.32095000000000001</v>
      </c>
    </row>
    <row r="241" spans="1:16" ht="15" customHeight="1" x14ac:dyDescent="0.2">
      <c r="A241" s="63"/>
      <c r="B241" s="186">
        <v>50</v>
      </c>
      <c r="C241" s="271">
        <f t="shared" si="44"/>
        <v>585.4067142857142</v>
      </c>
      <c r="D241" s="302">
        <f t="shared" si="52"/>
        <v>664.4067142857142</v>
      </c>
      <c r="E241" s="276">
        <f t="shared" si="52"/>
        <v>572.4067142857142</v>
      </c>
      <c r="F241" s="276">
        <f t="shared" si="53"/>
        <v>511.01571428571424</v>
      </c>
      <c r="G241" s="271">
        <f t="shared" si="46"/>
        <v>498.01571428571424</v>
      </c>
      <c r="H241" s="307">
        <f t="shared" si="46"/>
        <v>74.391000000000005</v>
      </c>
      <c r="I241" s="311">
        <f t="shared" si="47"/>
        <v>79</v>
      </c>
      <c r="J241" s="311">
        <f t="shared" si="48"/>
        <v>13</v>
      </c>
      <c r="K241" s="376">
        <f t="shared" si="54"/>
        <v>0.12996178790954585</v>
      </c>
      <c r="L241" s="315">
        <f t="shared" si="49"/>
        <v>0.30314999999999998</v>
      </c>
      <c r="M241" s="315">
        <f t="shared" si="50"/>
        <v>0.25795147754593717</v>
      </c>
      <c r="N241" s="315">
        <f t="shared" si="51"/>
        <v>3.8531451549962195E-2</v>
      </c>
      <c r="O241" s="1"/>
      <c r="P241" s="319">
        <f t="shared" si="55"/>
        <v>0.30314999999999998</v>
      </c>
    </row>
    <row r="242" spans="1:16" ht="15" customHeight="1" x14ac:dyDescent="0.2">
      <c r="A242" s="63"/>
      <c r="B242" s="1"/>
      <c r="C242" s="1"/>
      <c r="D242" s="1"/>
      <c r="E242" s="1"/>
      <c r="F242" s="1"/>
      <c r="G242" s="1"/>
      <c r="H242" s="1"/>
      <c r="I242" s="1"/>
      <c r="J242" s="1"/>
      <c r="K242" s="1"/>
      <c r="L242" s="1"/>
      <c r="M242" s="1"/>
      <c r="N242" s="1"/>
      <c r="O242" s="1"/>
      <c r="P242" s="39"/>
    </row>
    <row r="243" spans="1:16" ht="15" customHeight="1" x14ac:dyDescent="0.2">
      <c r="A243" s="63"/>
      <c r="B243" s="1"/>
      <c r="C243" s="1"/>
      <c r="D243" s="1"/>
      <c r="E243" s="1"/>
      <c r="F243" s="1"/>
      <c r="G243" s="1"/>
      <c r="H243" s="1"/>
      <c r="I243" s="1"/>
      <c r="J243" s="1"/>
      <c r="K243" s="1"/>
      <c r="L243" s="357" t="s">
        <v>210</v>
      </c>
      <c r="M243" s="360" t="s">
        <v>297</v>
      </c>
      <c r="N243" s="1"/>
      <c r="O243" s="1"/>
      <c r="P243" s="39"/>
    </row>
    <row r="244" spans="1:16" ht="15" customHeight="1" x14ac:dyDescent="0.2">
      <c r="A244" s="63"/>
      <c r="B244" s="1"/>
      <c r="C244" s="1"/>
      <c r="D244" s="1"/>
      <c r="E244" s="1"/>
      <c r="F244" s="1"/>
      <c r="G244" s="1"/>
      <c r="H244" s="1"/>
      <c r="I244" s="1"/>
      <c r="J244" s="1"/>
      <c r="K244" s="1"/>
      <c r="L244" s="1"/>
      <c r="M244" s="1"/>
      <c r="N244" s="1"/>
      <c r="O244" s="1"/>
      <c r="P244" s="39"/>
    </row>
    <row r="245" spans="1:16" ht="15" customHeight="1" x14ac:dyDescent="0.2">
      <c r="A245" s="63"/>
      <c r="B245" s="1"/>
      <c r="C245" s="1"/>
      <c r="D245" s="1"/>
      <c r="E245" s="1"/>
      <c r="F245" s="1"/>
      <c r="G245" s="1"/>
      <c r="H245" s="1"/>
      <c r="I245" s="1"/>
      <c r="J245" s="1"/>
      <c r="K245" s="1"/>
      <c r="L245" s="1"/>
      <c r="M245" s="360" t="s">
        <v>134</v>
      </c>
      <c r="N245" s="1"/>
      <c r="O245" s="1"/>
      <c r="P245" s="39"/>
    </row>
    <row r="246" spans="1:16" ht="15" customHeight="1" x14ac:dyDescent="0.2">
      <c r="A246" s="64"/>
      <c r="B246" s="42"/>
      <c r="C246" s="42"/>
      <c r="D246" s="42"/>
      <c r="E246" s="42"/>
      <c r="F246" s="42"/>
      <c r="G246" s="42"/>
      <c r="H246" s="42"/>
      <c r="I246" s="42"/>
      <c r="J246" s="42"/>
      <c r="K246" s="42"/>
      <c r="L246" s="42"/>
      <c r="M246" s="42"/>
      <c r="N246" s="42"/>
      <c r="O246" s="42"/>
      <c r="P246" s="31"/>
    </row>
    <row r="247" spans="1:16" ht="15" customHeight="1" x14ac:dyDescent="0.2"/>
    <row r="248" spans="1:16" ht="15" customHeight="1" x14ac:dyDescent="0.2"/>
    <row r="249" spans="1:16" ht="15" customHeight="1" x14ac:dyDescent="0.2"/>
    <row r="250" spans="1:16" ht="15" customHeight="1" x14ac:dyDescent="0.2"/>
    <row r="251" spans="1:16" ht="15" customHeight="1" x14ac:dyDescent="0.2"/>
    <row r="252" spans="1:16" ht="15" customHeight="1" x14ac:dyDescent="0.2"/>
    <row r="253" spans="1:16" ht="15" customHeight="1" x14ac:dyDescent="0.2"/>
    <row r="254" spans="1:16" ht="15" customHeight="1" x14ac:dyDescent="0.2"/>
    <row r="255" spans="1:16" ht="15" customHeight="1" x14ac:dyDescent="0.2"/>
    <row r="256" spans="1:16" ht="15" customHeight="1" x14ac:dyDescent="0.2"/>
    <row r="257" spans="1:21" ht="15" customHeight="1" x14ac:dyDescent="0.2"/>
    <row r="258" spans="1:21" ht="15" customHeight="1" x14ac:dyDescent="0.2"/>
    <row r="259" spans="1:21" ht="15" customHeight="1" x14ac:dyDescent="0.2"/>
    <row r="260" spans="1:21" ht="15" customHeight="1" x14ac:dyDescent="0.2"/>
    <row r="261" spans="1:21" ht="15" customHeight="1" x14ac:dyDescent="0.2"/>
    <row r="262" spans="1:21" ht="15" customHeight="1" x14ac:dyDescent="0.2"/>
    <row r="263" spans="1:21" ht="15" customHeight="1" x14ac:dyDescent="0.2"/>
    <row r="264" spans="1:21" ht="15" customHeight="1" x14ac:dyDescent="0.2"/>
    <row r="265" spans="1:21" ht="15" customHeight="1" x14ac:dyDescent="0.2"/>
    <row r="266" spans="1:21" ht="15" customHeight="1" x14ac:dyDescent="0.2">
      <c r="A266" s="42"/>
      <c r="B266" s="42"/>
      <c r="C266" s="42"/>
      <c r="D266" s="42"/>
      <c r="E266" s="42"/>
      <c r="F266" s="42"/>
      <c r="G266" s="42"/>
      <c r="H266" s="42"/>
      <c r="I266" s="42"/>
      <c r="J266" s="42"/>
      <c r="K266" s="42"/>
      <c r="L266" s="42"/>
      <c r="M266" s="42"/>
      <c r="N266" s="42"/>
      <c r="O266" s="42"/>
      <c r="P266" s="42"/>
      <c r="Q266" s="42"/>
      <c r="R266" s="42"/>
      <c r="S266" s="42"/>
      <c r="T266" s="42"/>
      <c r="U266" s="42"/>
    </row>
    <row r="267" spans="1:21" ht="15" customHeight="1" x14ac:dyDescent="0.2"/>
    <row r="268" spans="1:21" ht="15" customHeight="1" x14ac:dyDescent="0.2"/>
    <row r="269" spans="1:21" ht="15" customHeight="1" x14ac:dyDescent="0.2"/>
    <row r="270" spans="1:21" ht="15" customHeight="1" x14ac:dyDescent="0.2"/>
    <row r="271" spans="1:21" ht="15" customHeight="1" x14ac:dyDescent="0.2"/>
    <row r="272" spans="1:21"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sheetData>
  <pageMargins left="0.2" right="0.2" top="0.5" bottom="0.5" header="0.3" footer="0.3"/>
  <pageSetup scale="81"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8">
    <tabColor theme="6" tint="0.59999389629810485"/>
    <pageSetUpPr fitToPage="1"/>
  </sheetPr>
  <dimension ref="A1:AD340"/>
  <sheetViews>
    <sheetView showGridLines="0" topLeftCell="A37" zoomScale="86" zoomScaleNormal="86" workbookViewId="0">
      <selection activeCell="B56" sqref="B56"/>
    </sheetView>
  </sheetViews>
  <sheetFormatPr defaultRowHeight="12.75" x14ac:dyDescent="0.2"/>
  <cols>
    <col min="2" max="2" width="11.42578125" customWidth="1"/>
    <col min="3" max="4" width="10.5703125" customWidth="1"/>
    <col min="5" max="5" width="10.7109375" customWidth="1"/>
    <col min="6" max="6" width="10.5703125" customWidth="1"/>
    <col min="7" max="7" width="10.7109375" customWidth="1"/>
    <col min="8" max="10" width="10.5703125" customWidth="1"/>
    <col min="11" max="12" width="10.7109375" customWidth="1"/>
    <col min="13" max="13" width="10.5703125" customWidth="1"/>
    <col min="14" max="16" width="10.7109375" customWidth="1"/>
    <col min="17" max="17" width="11.7109375" customWidth="1"/>
    <col min="18" max="18" width="11.5703125" customWidth="1"/>
    <col min="20" max="20" width="9.140625" customWidth="1"/>
    <col min="29" max="29" width="9.140625" customWidth="1"/>
  </cols>
  <sheetData>
    <row r="1" spans="1:22" ht="15" customHeight="1" x14ac:dyDescent="0.2">
      <c r="K1" t="s">
        <v>73</v>
      </c>
    </row>
    <row r="2" spans="1:22" ht="15" customHeight="1" x14ac:dyDescent="0.2">
      <c r="A2" s="411" t="s">
        <v>266</v>
      </c>
      <c r="B2" s="410" t="s">
        <v>267</v>
      </c>
      <c r="C2" s="411"/>
      <c r="D2" s="411"/>
      <c r="E2" s="411"/>
      <c r="F2" s="411"/>
    </row>
    <row r="3" spans="1:22" ht="15" customHeight="1" x14ac:dyDescent="0.2">
      <c r="A3" s="411"/>
      <c r="B3" s="427" t="s">
        <v>376</v>
      </c>
      <c r="C3" s="411"/>
      <c r="D3" s="411"/>
      <c r="E3" s="411"/>
      <c r="F3" s="411"/>
    </row>
    <row r="4" spans="1:22" ht="15" customHeight="1" x14ac:dyDescent="0.2">
      <c r="A4" s="411"/>
      <c r="B4" s="427" t="s">
        <v>377</v>
      </c>
      <c r="C4" s="411"/>
      <c r="D4" s="411"/>
      <c r="E4" s="411"/>
      <c r="F4" s="411"/>
      <c r="G4" s="411"/>
    </row>
    <row r="5" spans="1:22" ht="15" customHeight="1" x14ac:dyDescent="0.2">
      <c r="A5" s="411"/>
      <c r="B5" s="412" t="s">
        <v>268</v>
      </c>
      <c r="C5" s="411"/>
      <c r="D5" s="411"/>
      <c r="E5" s="411"/>
      <c r="F5" s="411"/>
      <c r="G5" s="411"/>
    </row>
    <row r="6" spans="1:22" ht="15" customHeight="1" x14ac:dyDescent="0.2">
      <c r="A6" s="411"/>
      <c r="B6" s="412" t="s">
        <v>278</v>
      </c>
      <c r="C6" s="411"/>
      <c r="D6" s="411"/>
      <c r="E6" s="411"/>
      <c r="F6" s="411"/>
    </row>
    <row r="7" spans="1:22" ht="15" customHeight="1" x14ac:dyDescent="0.2">
      <c r="A7" s="411"/>
      <c r="B7" s="411"/>
      <c r="C7" s="411"/>
      <c r="D7" s="411"/>
      <c r="E7" s="411"/>
      <c r="F7" s="411"/>
      <c r="P7" s="289" t="s">
        <v>183</v>
      </c>
      <c r="Q7" s="289" t="s">
        <v>184</v>
      </c>
    </row>
    <row r="8" spans="1:22" ht="15" customHeight="1" x14ac:dyDescent="0.2">
      <c r="B8" s="17" t="s">
        <v>14</v>
      </c>
      <c r="C8" s="18"/>
      <c r="D8" s="18"/>
      <c r="E8" s="18"/>
      <c r="F8" s="18"/>
      <c r="G8" s="18"/>
      <c r="H8" s="18"/>
      <c r="I8" s="18"/>
      <c r="J8" s="18"/>
      <c r="K8" s="18"/>
      <c r="L8" s="19"/>
      <c r="O8" s="291" t="s">
        <v>185</v>
      </c>
      <c r="P8">
        <v>77</v>
      </c>
      <c r="Q8">
        <v>73</v>
      </c>
    </row>
    <row r="9" spans="1:22" ht="15" customHeight="1" x14ac:dyDescent="0.2">
      <c r="A9" t="s">
        <v>263</v>
      </c>
      <c r="B9" s="287" t="s">
        <v>250</v>
      </c>
      <c r="C9" s="237"/>
      <c r="D9" s="237"/>
      <c r="E9" s="237"/>
      <c r="F9" s="237"/>
      <c r="G9" s="237"/>
      <c r="H9" s="237"/>
      <c r="I9" s="237"/>
      <c r="J9" s="237"/>
      <c r="K9" s="237"/>
      <c r="L9" s="237"/>
      <c r="O9" s="291" t="s">
        <v>187</v>
      </c>
      <c r="P9" s="292">
        <v>73</v>
      </c>
      <c r="Q9" s="292">
        <v>69</v>
      </c>
    </row>
    <row r="10" spans="1:22" ht="15" customHeight="1" x14ac:dyDescent="0.2">
      <c r="A10" t="s">
        <v>263</v>
      </c>
      <c r="B10" s="399" t="s">
        <v>260</v>
      </c>
      <c r="C10" s="237"/>
      <c r="D10" s="237"/>
      <c r="E10" s="237"/>
      <c r="F10" s="237"/>
      <c r="G10" s="237"/>
      <c r="H10" s="237"/>
      <c r="I10" s="237"/>
      <c r="J10" s="237"/>
      <c r="K10" s="237"/>
      <c r="L10" s="237"/>
      <c r="O10" s="290" t="s">
        <v>186</v>
      </c>
      <c r="P10">
        <f>P8-P9</f>
        <v>4</v>
      </c>
      <c r="Q10">
        <f>Q8-Q9</f>
        <v>4</v>
      </c>
    </row>
    <row r="11" spans="1:22" ht="15" customHeight="1" x14ac:dyDescent="0.2">
      <c r="A11" t="s">
        <v>263</v>
      </c>
      <c r="B11" s="399" t="s">
        <v>261</v>
      </c>
      <c r="C11" s="237"/>
      <c r="D11" s="237"/>
      <c r="E11" s="237"/>
      <c r="F11" s="237"/>
      <c r="G11" s="237"/>
      <c r="H11" s="237"/>
      <c r="I11" s="237"/>
      <c r="J11" s="237"/>
      <c r="K11" s="237"/>
      <c r="L11" s="237"/>
    </row>
    <row r="12" spans="1:22" ht="15" customHeight="1" x14ac:dyDescent="0.2">
      <c r="A12" t="s">
        <v>263</v>
      </c>
      <c r="B12" s="399" t="s">
        <v>242</v>
      </c>
      <c r="C12" s="237"/>
      <c r="D12" s="237"/>
      <c r="E12" s="237"/>
      <c r="F12" s="237"/>
      <c r="G12" s="237"/>
      <c r="H12" s="237"/>
      <c r="I12" s="237"/>
      <c r="J12" s="237"/>
      <c r="K12" s="237"/>
      <c r="L12" s="237"/>
      <c r="M12" s="84"/>
    </row>
    <row r="13" spans="1:22" ht="15" customHeight="1" x14ac:dyDescent="0.2">
      <c r="A13" t="s">
        <v>263</v>
      </c>
      <c r="B13" s="287" t="s">
        <v>262</v>
      </c>
      <c r="C13" s="399" t="s">
        <v>302</v>
      </c>
      <c r="D13" s="426" t="s">
        <v>313</v>
      </c>
      <c r="E13" s="237" t="s">
        <v>358</v>
      </c>
      <c r="F13" s="237"/>
      <c r="G13" s="237"/>
      <c r="H13" s="237"/>
      <c r="I13" s="237"/>
      <c r="J13" s="237"/>
      <c r="K13" s="237"/>
      <c r="L13" s="237"/>
      <c r="M13" s="84"/>
    </row>
    <row r="14" spans="1:22" ht="15" customHeight="1" x14ac:dyDescent="0.2">
      <c r="A14" s="84"/>
      <c r="B14" s="288" t="s">
        <v>362</v>
      </c>
      <c r="C14" s="83"/>
      <c r="D14" s="83"/>
      <c r="E14" s="83"/>
      <c r="F14" s="83"/>
      <c r="G14" s="83"/>
      <c r="H14" s="83"/>
      <c r="I14" s="83"/>
      <c r="J14" s="83"/>
      <c r="K14" s="83"/>
      <c r="L14" s="83"/>
      <c r="M14" s="84"/>
    </row>
    <row r="15" spans="1:22" ht="15" customHeight="1" x14ac:dyDescent="0.2">
      <c r="A15" s="84"/>
      <c r="M15" s="84"/>
      <c r="U15" s="143" t="s">
        <v>303</v>
      </c>
      <c r="V15" t="s">
        <v>286</v>
      </c>
    </row>
    <row r="16" spans="1:22" ht="15" customHeight="1" x14ac:dyDescent="0.25">
      <c r="A16" s="84"/>
      <c r="B16" s="361"/>
      <c r="M16" s="84"/>
      <c r="U16" s="72" t="s">
        <v>121</v>
      </c>
      <c r="V16" t="s">
        <v>287</v>
      </c>
    </row>
    <row r="17" spans="1:23" ht="15" customHeight="1" x14ac:dyDescent="0.25">
      <c r="A17" s="84"/>
      <c r="B17" s="361"/>
      <c r="M17" s="84"/>
      <c r="U17" s="72" t="s">
        <v>122</v>
      </c>
      <c r="V17" s="425" t="s">
        <v>305</v>
      </c>
    </row>
    <row r="18" spans="1:23" ht="15" customHeight="1" x14ac:dyDescent="0.2">
      <c r="A18" s="84"/>
      <c r="B18" s="437" t="s">
        <v>312</v>
      </c>
      <c r="C18" s="83"/>
      <c r="D18" s="83"/>
      <c r="E18" s="83"/>
      <c r="F18" s="83"/>
      <c r="G18" s="83"/>
      <c r="H18" s="83"/>
      <c r="I18" s="83"/>
      <c r="J18" s="83"/>
      <c r="K18" s="83"/>
      <c r="L18" s="83"/>
      <c r="M18" s="84"/>
      <c r="U18" s="72" t="s">
        <v>125</v>
      </c>
      <c r="V18" s="425" t="s">
        <v>299</v>
      </c>
    </row>
    <row r="19" spans="1:23" ht="15" customHeight="1" x14ac:dyDescent="0.2">
      <c r="A19" s="84"/>
      <c r="B19" s="415" t="s">
        <v>279</v>
      </c>
      <c r="C19" s="416"/>
      <c r="D19" s="21"/>
      <c r="E19" s="511">
        <v>7</v>
      </c>
      <c r="F19" s="416"/>
      <c r="G19" s="420"/>
      <c r="H19" s="83"/>
      <c r="I19" s="83"/>
      <c r="J19" s="83"/>
      <c r="K19" s="83"/>
      <c r="L19" s="83"/>
      <c r="M19" s="84"/>
      <c r="U19" s="72" t="s">
        <v>152</v>
      </c>
      <c r="V19" s="54" t="s">
        <v>296</v>
      </c>
    </row>
    <row r="20" spans="1:23" ht="15" customHeight="1" x14ac:dyDescent="0.2">
      <c r="A20" s="84"/>
      <c r="B20" s="417"/>
      <c r="C20" s="414" t="str">
        <f>L243</f>
        <v>C-ZETA CURVE</v>
      </c>
      <c r="D20" s="83" t="str">
        <f>M243</f>
        <v xml:space="preserve"> 113_61_31</v>
      </c>
      <c r="E20" s="83"/>
      <c r="F20" s="83"/>
      <c r="G20" s="418"/>
      <c r="H20" s="83"/>
      <c r="I20" s="83"/>
      <c r="J20" s="83"/>
      <c r="K20" s="83"/>
      <c r="L20" s="83"/>
      <c r="M20" s="84"/>
      <c r="U20" s="72" t="s">
        <v>157</v>
      </c>
      <c r="V20" s="424" t="s">
        <v>307</v>
      </c>
    </row>
    <row r="21" spans="1:23" ht="15" customHeight="1" x14ac:dyDescent="0.2">
      <c r="B21" s="419" t="s">
        <v>390</v>
      </c>
      <c r="C21" s="42"/>
      <c r="D21" s="42"/>
      <c r="E21" s="42"/>
      <c r="F21" s="42"/>
      <c r="G21" s="31"/>
      <c r="U21" s="72"/>
      <c r="V21" s="54" t="s">
        <v>306</v>
      </c>
    </row>
    <row r="22" spans="1:23" ht="15" customHeight="1" x14ac:dyDescent="0.2">
      <c r="A22" s="169" t="s">
        <v>121</v>
      </c>
      <c r="B22" s="143" t="s">
        <v>139</v>
      </c>
      <c r="U22" s="72"/>
      <c r="V22" t="s">
        <v>290</v>
      </c>
    </row>
    <row r="23" spans="1:23" ht="15" customHeight="1" x14ac:dyDescent="0.2">
      <c r="U23" s="72" t="s">
        <v>159</v>
      </c>
      <c r="V23" t="s">
        <v>291</v>
      </c>
    </row>
    <row r="24" spans="1:23" ht="15" customHeight="1" x14ac:dyDescent="0.2">
      <c r="B24" s="54" t="s">
        <v>140</v>
      </c>
      <c r="U24" s="72" t="s">
        <v>162</v>
      </c>
      <c r="V24" t="s">
        <v>292</v>
      </c>
    </row>
    <row r="25" spans="1:23" ht="15" customHeight="1" x14ac:dyDescent="0.2">
      <c r="B25" s="54" t="s">
        <v>204</v>
      </c>
      <c r="U25" s="72" t="s">
        <v>172</v>
      </c>
      <c r="V25" s="54" t="s">
        <v>293</v>
      </c>
    </row>
    <row r="26" spans="1:23" ht="15" customHeight="1" thickBot="1" x14ac:dyDescent="0.25">
      <c r="U26" s="72" t="s">
        <v>175</v>
      </c>
      <c r="V26" s="54" t="s">
        <v>294</v>
      </c>
    </row>
    <row r="27" spans="1:23" ht="15" customHeight="1" x14ac:dyDescent="0.2">
      <c r="B27" s="146"/>
      <c r="C27" s="147" t="s">
        <v>105</v>
      </c>
      <c r="D27" s="147" t="s">
        <v>105</v>
      </c>
      <c r="E27" s="208" t="s">
        <v>105</v>
      </c>
      <c r="U27" s="72"/>
    </row>
    <row r="28" spans="1:23" ht="15" customHeight="1" x14ac:dyDescent="0.2">
      <c r="B28" s="146"/>
      <c r="C28" s="147" t="s">
        <v>342</v>
      </c>
      <c r="D28" s="147" t="s">
        <v>343</v>
      </c>
      <c r="E28" s="209" t="s">
        <v>108</v>
      </c>
      <c r="U28" s="425" t="s">
        <v>308</v>
      </c>
      <c r="W28" s="394"/>
    </row>
    <row r="29" spans="1:23" ht="15" customHeight="1" x14ac:dyDescent="0.2">
      <c r="B29" s="147" t="s">
        <v>39</v>
      </c>
      <c r="C29" s="147" t="s">
        <v>106</v>
      </c>
      <c r="D29" s="147" t="s">
        <v>107</v>
      </c>
      <c r="E29" s="209" t="s">
        <v>151</v>
      </c>
      <c r="U29" s="425" t="s">
        <v>324</v>
      </c>
      <c r="V29" s="394"/>
    </row>
    <row r="30" spans="1:23" ht="15" customHeight="1" x14ac:dyDescent="0.2">
      <c r="B30" s="147">
        <v>1</v>
      </c>
      <c r="C30" s="343">
        <v>2</v>
      </c>
      <c r="D30" s="343">
        <v>0.75</v>
      </c>
      <c r="E30" s="210">
        <f>SUM(C30:D30)/2</f>
        <v>1.375</v>
      </c>
      <c r="U30" s="425" t="s">
        <v>325</v>
      </c>
      <c r="V30" s="394"/>
    </row>
    <row r="31" spans="1:23" ht="15" customHeight="1" x14ac:dyDescent="0.2">
      <c r="B31" s="147">
        <v>2</v>
      </c>
      <c r="C31" s="343">
        <v>4</v>
      </c>
      <c r="D31" s="343">
        <v>2</v>
      </c>
      <c r="E31" s="210">
        <f t="shared" ref="E31:E39" si="0">SUM(C31:D31)/2</f>
        <v>3</v>
      </c>
      <c r="U31" s="425" t="s">
        <v>326</v>
      </c>
    </row>
    <row r="32" spans="1:23" ht="15" customHeight="1" x14ac:dyDescent="0.2">
      <c r="B32" s="147">
        <v>3</v>
      </c>
      <c r="C32" s="343">
        <v>5.8</v>
      </c>
      <c r="D32" s="343">
        <v>3.3</v>
      </c>
      <c r="E32" s="210">
        <f t="shared" si="0"/>
        <v>4.55</v>
      </c>
    </row>
    <row r="33" spans="1:5" ht="15" customHeight="1" x14ac:dyDescent="0.2">
      <c r="B33" s="147">
        <v>4</v>
      </c>
      <c r="C33" s="343">
        <v>7.51</v>
      </c>
      <c r="D33" s="343">
        <v>4.7</v>
      </c>
      <c r="E33" s="210">
        <f t="shared" si="0"/>
        <v>6.1050000000000004</v>
      </c>
    </row>
    <row r="34" spans="1:5" ht="15" customHeight="1" x14ac:dyDescent="0.2">
      <c r="B34" s="147">
        <v>5</v>
      </c>
      <c r="C34" s="343">
        <v>9</v>
      </c>
      <c r="D34" s="343">
        <v>5.9</v>
      </c>
      <c r="E34" s="210">
        <f t="shared" si="0"/>
        <v>7.45</v>
      </c>
    </row>
    <row r="35" spans="1:5" ht="15" customHeight="1" x14ac:dyDescent="0.2">
      <c r="B35" s="147">
        <v>10</v>
      </c>
      <c r="C35" s="343">
        <v>11.51</v>
      </c>
      <c r="D35" s="343">
        <v>10</v>
      </c>
      <c r="E35" s="210">
        <f t="shared" si="0"/>
        <v>10.754999999999999</v>
      </c>
    </row>
    <row r="36" spans="1:5" ht="15" customHeight="1" x14ac:dyDescent="0.2">
      <c r="B36" s="147">
        <v>20</v>
      </c>
      <c r="C36" s="343">
        <v>13</v>
      </c>
      <c r="D36" s="343">
        <v>13</v>
      </c>
      <c r="E36" s="210">
        <f t="shared" si="0"/>
        <v>13</v>
      </c>
    </row>
    <row r="37" spans="1:5" ht="15" customHeight="1" x14ac:dyDescent="0.2">
      <c r="B37" s="147">
        <v>30</v>
      </c>
      <c r="C37" s="343">
        <v>13</v>
      </c>
      <c r="D37" s="343">
        <v>13</v>
      </c>
      <c r="E37" s="210">
        <f t="shared" si="0"/>
        <v>13</v>
      </c>
    </row>
    <row r="38" spans="1:5" ht="15" customHeight="1" x14ac:dyDescent="0.2">
      <c r="B38" s="147">
        <v>40</v>
      </c>
      <c r="C38" s="343">
        <v>13</v>
      </c>
      <c r="D38" s="343">
        <v>13</v>
      </c>
      <c r="E38" s="210">
        <f t="shared" si="0"/>
        <v>13</v>
      </c>
    </row>
    <row r="39" spans="1:5" ht="15" customHeight="1" thickBot="1" x14ac:dyDescent="0.25">
      <c r="B39" s="147">
        <v>50</v>
      </c>
      <c r="C39" s="343">
        <v>13</v>
      </c>
      <c r="D39" s="343">
        <v>13</v>
      </c>
      <c r="E39" s="211">
        <f t="shared" si="0"/>
        <v>13</v>
      </c>
    </row>
    <row r="40" spans="1:5" ht="15" customHeight="1" x14ac:dyDescent="0.2"/>
    <row r="41" spans="1:5" ht="15" customHeight="1" x14ac:dyDescent="0.2"/>
    <row r="42" spans="1:5" ht="15" customHeight="1" x14ac:dyDescent="0.2"/>
    <row r="43" spans="1:5" ht="15" customHeight="1" x14ac:dyDescent="0.2"/>
    <row r="44" spans="1:5" ht="15" customHeight="1" x14ac:dyDescent="0.2">
      <c r="A44" s="143" t="s">
        <v>122</v>
      </c>
      <c r="B44" s="143" t="s">
        <v>190</v>
      </c>
    </row>
    <row r="45" spans="1:5" ht="15" customHeight="1" x14ac:dyDescent="0.2">
      <c r="B45" s="169" t="s">
        <v>142</v>
      </c>
    </row>
    <row r="46" spans="1:5" ht="15" customHeight="1" x14ac:dyDescent="0.2">
      <c r="B46" s="169" t="s">
        <v>144</v>
      </c>
    </row>
    <row r="47" spans="1:5" ht="15" customHeight="1" x14ac:dyDescent="0.2"/>
    <row r="48" spans="1:5" ht="15" customHeight="1" x14ac:dyDescent="0.2">
      <c r="B48" s="196" t="s">
        <v>202</v>
      </c>
      <c r="C48" s="196"/>
      <c r="D48" s="196"/>
    </row>
    <row r="49" spans="2:4" ht="15" customHeight="1" x14ac:dyDescent="0.2">
      <c r="B49" s="196" t="s">
        <v>143</v>
      </c>
      <c r="C49" s="196"/>
      <c r="D49" s="196" t="s">
        <v>111</v>
      </c>
    </row>
    <row r="50" spans="2:4" ht="15" customHeight="1" x14ac:dyDescent="0.2">
      <c r="B50" s="196" t="s">
        <v>119</v>
      </c>
      <c r="C50" s="196"/>
      <c r="D50" s="196" t="s">
        <v>119</v>
      </c>
    </row>
    <row r="51" spans="2:4" ht="15" customHeight="1" x14ac:dyDescent="0.2">
      <c r="B51" s="196" t="s">
        <v>120</v>
      </c>
      <c r="C51" s="196" t="s">
        <v>39</v>
      </c>
      <c r="D51" s="196" t="s">
        <v>120</v>
      </c>
    </row>
    <row r="52" spans="2:4" ht="15" customHeight="1" x14ac:dyDescent="0.2">
      <c r="B52" s="326">
        <v>22.3</v>
      </c>
      <c r="C52" s="185">
        <v>1</v>
      </c>
      <c r="D52" s="188">
        <v>22.3</v>
      </c>
    </row>
    <row r="53" spans="2:4" ht="15" customHeight="1" x14ac:dyDescent="0.2">
      <c r="B53" s="327">
        <v>44.8</v>
      </c>
      <c r="C53" s="185">
        <v>2</v>
      </c>
      <c r="D53" s="189">
        <v>44.8</v>
      </c>
    </row>
    <row r="54" spans="2:4" ht="15" customHeight="1" x14ac:dyDescent="0.2">
      <c r="B54" s="94">
        <v>62</v>
      </c>
      <c r="C54" s="185">
        <v>3</v>
      </c>
      <c r="D54" s="184">
        <v>62</v>
      </c>
    </row>
    <row r="55" spans="2:4" ht="15" customHeight="1" x14ac:dyDescent="0.2">
      <c r="B55" s="94">
        <v>75.5</v>
      </c>
      <c r="C55" s="185">
        <v>4</v>
      </c>
      <c r="D55" s="207">
        <v>77.5</v>
      </c>
    </row>
    <row r="56" spans="2:4" ht="15" customHeight="1" x14ac:dyDescent="0.2">
      <c r="B56" s="327">
        <v>91.1</v>
      </c>
      <c r="C56" s="185">
        <v>5</v>
      </c>
      <c r="D56" s="189">
        <v>91.1</v>
      </c>
    </row>
    <row r="57" spans="2:4" ht="15" customHeight="1" x14ac:dyDescent="0.2">
      <c r="B57" s="94">
        <v>150.69999999999999</v>
      </c>
      <c r="C57" s="185">
        <v>10</v>
      </c>
      <c r="D57" s="184">
        <v>150.69999999999999</v>
      </c>
    </row>
    <row r="58" spans="2:4" ht="15" customHeight="1" x14ac:dyDescent="0.2">
      <c r="B58" s="94">
        <v>252.2</v>
      </c>
      <c r="C58" s="185">
        <v>20</v>
      </c>
      <c r="D58" s="184">
        <v>252.2</v>
      </c>
    </row>
    <row r="59" spans="2:4" ht="15" customHeight="1" x14ac:dyDescent="0.2">
      <c r="B59" s="94">
        <v>340.1</v>
      </c>
      <c r="C59" s="185">
        <v>30</v>
      </c>
      <c r="D59" s="184">
        <v>340.1</v>
      </c>
    </row>
    <row r="60" spans="2:4" ht="15" customHeight="1" x14ac:dyDescent="0.2">
      <c r="B60" s="94">
        <v>420.4</v>
      </c>
      <c r="C60" s="185">
        <v>40</v>
      </c>
      <c r="D60" s="184">
        <v>420.4</v>
      </c>
    </row>
    <row r="61" spans="2:4" ht="15" customHeight="1" x14ac:dyDescent="0.2">
      <c r="B61" s="327">
        <v>498</v>
      </c>
      <c r="C61" s="185">
        <v>50</v>
      </c>
      <c r="D61" s="189">
        <v>498</v>
      </c>
    </row>
    <row r="62" spans="2:4" ht="15" customHeight="1" x14ac:dyDescent="0.2"/>
    <row r="63" spans="2:4" ht="15" customHeight="1" x14ac:dyDescent="0.2">
      <c r="C63" s="394" t="s">
        <v>203</v>
      </c>
    </row>
    <row r="64" spans="2:4" ht="15" customHeight="1" x14ac:dyDescent="0.2"/>
    <row r="65" spans="1:11" ht="15" customHeight="1" x14ac:dyDescent="0.2"/>
    <row r="66" spans="1:11" ht="15" customHeight="1" x14ac:dyDescent="0.2">
      <c r="A66" s="143" t="s">
        <v>125</v>
      </c>
      <c r="B66" s="143" t="s">
        <v>145</v>
      </c>
    </row>
    <row r="67" spans="1:11" ht="15" customHeight="1" x14ac:dyDescent="0.2">
      <c r="B67" s="169" t="s">
        <v>147</v>
      </c>
    </row>
    <row r="68" spans="1:11" ht="15" customHeight="1" x14ac:dyDescent="0.2">
      <c r="B68" s="169"/>
    </row>
    <row r="69" spans="1:11" ht="15" customHeight="1" x14ac:dyDescent="0.2"/>
    <row r="70" spans="1:11" ht="15" customHeight="1" x14ac:dyDescent="0.2">
      <c r="E70" s="504">
        <f>INDEX(LINEST(D$78:D$83,($C$78:$C$83)^{1,2,3}),1)</f>
        <v>0.12097327355534232</v>
      </c>
      <c r="F70" s="503">
        <f>INDEX(LINEST(D$83:D$87,($C$83:$C$87)^{1,2,3}),1)</f>
        <v>9.0833333333334172E-4</v>
      </c>
      <c r="H70" t="s">
        <v>387</v>
      </c>
    </row>
    <row r="71" spans="1:11" ht="15" customHeight="1" x14ac:dyDescent="0.2">
      <c r="E71" s="504">
        <f>INDEX(LINEST(D$78:D$83,($C$78:$C$83)^{1,2,3}),2)</f>
        <v>-2.5062060446282528</v>
      </c>
      <c r="F71" s="503">
        <f>INDEX(LINEST(D$83:D$87,($C$83:$C$87)^{1,2,3}),2)</f>
        <v>-0.12132142857142943</v>
      </c>
      <c r="H71" t="s">
        <v>388</v>
      </c>
    </row>
    <row r="72" spans="1:11" ht="15" customHeight="1" x14ac:dyDescent="0.2">
      <c r="E72" s="504">
        <f>INDEX(LINEST(D$78:D$83,($C$78:$C$83)^{1,2,3}),3)</f>
        <v>28.384521591904647</v>
      </c>
      <c r="F72" s="503">
        <f>INDEX(LINEST(D$83:D$87,($C$83:$C$87)^{1,2,3}),3)</f>
        <v>13.145952380952403</v>
      </c>
    </row>
    <row r="73" spans="1:11" ht="15" customHeight="1" x14ac:dyDescent="0.2">
      <c r="E73" s="504">
        <f>INDEX(LINEST(D$78:D$83,($C$78:$C$83)^{1,2,3}),4)</f>
        <v>-3.4905604975885574</v>
      </c>
      <c r="F73" s="503">
        <f>INDEX(LINEST(D$83:D$87,($C$83:$C$87)^{1,2,3}),4)</f>
        <v>30.479999999999897</v>
      </c>
    </row>
    <row r="74" spans="1:11" ht="15" customHeight="1" x14ac:dyDescent="0.2">
      <c r="E74" s="1"/>
      <c r="F74" s="1"/>
    </row>
    <row r="75" spans="1:11" ht="15" customHeight="1" x14ac:dyDescent="0.2">
      <c r="C75" s="195"/>
      <c r="D75" s="196" t="s">
        <v>146</v>
      </c>
      <c r="E75" s="196"/>
      <c r="F75" s="1"/>
      <c r="H75" s="212"/>
      <c r="I75" s="471" t="s">
        <v>133</v>
      </c>
      <c r="J75" s="212"/>
      <c r="K75" s="212"/>
    </row>
    <row r="76" spans="1:11" ht="15" customHeight="1" x14ac:dyDescent="0.2">
      <c r="C76" s="195"/>
      <c r="D76" s="196" t="s">
        <v>119</v>
      </c>
      <c r="E76" s="196"/>
      <c r="F76" s="1"/>
      <c r="H76" s="212"/>
      <c r="I76" s="472" t="s">
        <v>110</v>
      </c>
      <c r="J76" s="212" t="s">
        <v>111</v>
      </c>
      <c r="K76" s="508" t="s">
        <v>385</v>
      </c>
    </row>
    <row r="77" spans="1:11" ht="15" customHeight="1" x14ac:dyDescent="0.2">
      <c r="C77" s="195" t="s">
        <v>39</v>
      </c>
      <c r="D77" s="196" t="s">
        <v>120</v>
      </c>
      <c r="E77" s="196"/>
      <c r="F77" s="1"/>
      <c r="H77" s="212" t="s">
        <v>39</v>
      </c>
      <c r="I77" s="472" t="s">
        <v>149</v>
      </c>
      <c r="J77" s="212" t="s">
        <v>346</v>
      </c>
      <c r="K77" s="509" t="s">
        <v>386</v>
      </c>
    </row>
    <row r="78" spans="1:11" ht="15" customHeight="1" x14ac:dyDescent="0.2">
      <c r="C78" s="185">
        <v>1</v>
      </c>
      <c r="D78" s="188">
        <f>D52</f>
        <v>22.3</v>
      </c>
      <c r="E78" s="193">
        <f>(E$70*($C78)^3)+(E$71*($C78)^2)+(E$72*($C78)^1)+(E$73)</f>
        <v>22.508728323243179</v>
      </c>
      <c r="F78" s="3"/>
      <c r="H78" s="185">
        <v>1</v>
      </c>
      <c r="I78" s="473">
        <f>E78</f>
        <v>22.508728323243179</v>
      </c>
      <c r="J78" s="188">
        <f>B52</f>
        <v>22.3</v>
      </c>
      <c r="K78" s="505">
        <f>I78-J78</f>
        <v>0.20872832324317869</v>
      </c>
    </row>
    <row r="79" spans="1:11" ht="15" customHeight="1" x14ac:dyDescent="0.2">
      <c r="C79" s="185">
        <v>2</v>
      </c>
      <c r="D79" s="189">
        <f t="shared" ref="D79:D87" si="1">D53</f>
        <v>44.8</v>
      </c>
      <c r="E79" s="193">
        <f t="shared" ref="E79:E83" si="2">(E$70*($C79)^3)+(E$71*($C79)^2)+(E$72*($C79)^1)+(E$73)</f>
        <v>44.221444696150471</v>
      </c>
      <c r="F79" s="3"/>
      <c r="H79" s="185">
        <v>2</v>
      </c>
      <c r="I79" s="473">
        <f>E79</f>
        <v>44.221444696150471</v>
      </c>
      <c r="J79" s="189">
        <f t="shared" ref="J79:J87" si="3">B53</f>
        <v>44.8</v>
      </c>
      <c r="K79" s="506">
        <f t="shared" ref="K79:K87" si="4">I79-J79</f>
        <v>-0.57855530384952658</v>
      </c>
    </row>
    <row r="80" spans="1:11" ht="15" customHeight="1" x14ac:dyDescent="0.2">
      <c r="B80" t="s">
        <v>383</v>
      </c>
      <c r="C80" s="185">
        <v>3</v>
      </c>
      <c r="D80" s="184">
        <f t="shared" si="1"/>
        <v>62</v>
      </c>
      <c r="E80" s="193">
        <f t="shared" si="2"/>
        <v>62.373428262465353</v>
      </c>
      <c r="F80" s="3"/>
      <c r="H80" s="185">
        <v>3</v>
      </c>
      <c r="I80" s="473">
        <f>E80</f>
        <v>62.373428262465353</v>
      </c>
      <c r="J80" s="184">
        <f t="shared" si="3"/>
        <v>62</v>
      </c>
      <c r="K80" s="507">
        <f t="shared" si="4"/>
        <v>0.3734282624653531</v>
      </c>
    </row>
    <row r="81" spans="1:11" ht="15" customHeight="1" x14ac:dyDescent="0.2">
      <c r="C81" s="185">
        <v>4</v>
      </c>
      <c r="D81" s="184">
        <f t="shared" si="1"/>
        <v>77.5</v>
      </c>
      <c r="E81" s="193">
        <f t="shared" si="2"/>
        <v>77.690518663519896</v>
      </c>
      <c r="F81" s="3"/>
      <c r="H81" s="185">
        <v>4</v>
      </c>
      <c r="I81" s="473">
        <f>E81</f>
        <v>77.690518663519896</v>
      </c>
      <c r="J81" s="184">
        <f t="shared" si="3"/>
        <v>75.5</v>
      </c>
      <c r="K81" s="507">
        <f t="shared" si="4"/>
        <v>2.1905186635198959</v>
      </c>
    </row>
    <row r="82" spans="1:11" ht="15" customHeight="1" x14ac:dyDescent="0.2">
      <c r="C82" s="185">
        <v>5</v>
      </c>
      <c r="D82" s="189">
        <f t="shared" si="1"/>
        <v>91.1</v>
      </c>
      <c r="E82" s="193">
        <f t="shared" si="2"/>
        <v>90.898555540646157</v>
      </c>
      <c r="F82" s="3"/>
      <c r="H82" s="185">
        <v>5</v>
      </c>
      <c r="I82" s="473">
        <f>E82</f>
        <v>90.898555540646157</v>
      </c>
      <c r="J82" s="189">
        <f t="shared" si="3"/>
        <v>91.1</v>
      </c>
      <c r="K82" s="506">
        <f t="shared" si="4"/>
        <v>-0.20144445935383715</v>
      </c>
    </row>
    <row r="83" spans="1:11" ht="15" customHeight="1" x14ac:dyDescent="0.2">
      <c r="C83" s="185">
        <v>10</v>
      </c>
      <c r="D83" s="184">
        <f t="shared" si="1"/>
        <v>150.69999999999999</v>
      </c>
      <c r="E83" s="193">
        <f t="shared" si="2"/>
        <v>150.70732451397498</v>
      </c>
      <c r="F83" s="194">
        <f>(F$70*($C83)^3)+(F$71*($C83)^2)+(F$72*($C83)^1)+(F$73)</f>
        <v>150.71571428571431</v>
      </c>
      <c r="H83" s="185">
        <v>10</v>
      </c>
      <c r="I83" s="473">
        <f>(E83+F83)/2</f>
        <v>150.71151939984463</v>
      </c>
      <c r="J83" s="184">
        <f t="shared" si="3"/>
        <v>150.69999999999999</v>
      </c>
      <c r="K83" s="507">
        <f t="shared" si="4"/>
        <v>1.151939984464434E-2</v>
      </c>
    </row>
    <row r="84" spans="1:11" ht="15" customHeight="1" x14ac:dyDescent="0.2">
      <c r="C84" s="185">
        <v>20</v>
      </c>
      <c r="D84" s="184">
        <f t="shared" si="1"/>
        <v>252.2</v>
      </c>
      <c r="E84" s="3"/>
      <c r="F84" s="194">
        <f t="shared" ref="F84:F87" si="5">(F$70*($C84)^3)+(F$71*($C84)^2)+(F$72*($C84)^1)+(F$73)</f>
        <v>252.13714285714292</v>
      </c>
      <c r="H84" s="185">
        <v>20</v>
      </c>
      <c r="I84" s="473">
        <f>F84</f>
        <v>252.13714285714292</v>
      </c>
      <c r="J84" s="184">
        <f t="shared" si="3"/>
        <v>252.2</v>
      </c>
      <c r="K84" s="507">
        <f t="shared" si="4"/>
        <v>-6.2857142857069448E-2</v>
      </c>
    </row>
    <row r="85" spans="1:11" ht="15" customHeight="1" x14ac:dyDescent="0.2">
      <c r="B85" s="54" t="s">
        <v>384</v>
      </c>
      <c r="C85" s="185">
        <v>30</v>
      </c>
      <c r="D85" s="184">
        <f t="shared" si="1"/>
        <v>340.1</v>
      </c>
      <c r="E85" s="3"/>
      <c r="F85" s="194">
        <f t="shared" si="5"/>
        <v>340.1942857142858</v>
      </c>
      <c r="H85" s="185">
        <v>30</v>
      </c>
      <c r="I85" s="473">
        <f>F85</f>
        <v>340.1942857142858</v>
      </c>
      <c r="J85" s="184">
        <f t="shared" si="3"/>
        <v>340.1</v>
      </c>
      <c r="K85" s="507">
        <f t="shared" si="4"/>
        <v>9.4285714285774702E-2</v>
      </c>
    </row>
    <row r="86" spans="1:11" ht="15" customHeight="1" x14ac:dyDescent="0.2">
      <c r="C86" s="185">
        <v>40</v>
      </c>
      <c r="D86" s="184">
        <f t="shared" si="1"/>
        <v>420.4</v>
      </c>
      <c r="E86" s="3"/>
      <c r="F86" s="194">
        <f t="shared" si="5"/>
        <v>420.33714285714279</v>
      </c>
      <c r="H86" s="185">
        <v>40</v>
      </c>
      <c r="I86" s="473">
        <f>F86</f>
        <v>420.33714285714279</v>
      </c>
      <c r="J86" s="184">
        <f t="shared" si="3"/>
        <v>420.4</v>
      </c>
      <c r="K86" s="507">
        <f t="shared" si="4"/>
        <v>-6.2857142857183135E-2</v>
      </c>
    </row>
    <row r="87" spans="1:11" ht="15" customHeight="1" x14ac:dyDescent="0.2">
      <c r="C87" s="185">
        <v>50</v>
      </c>
      <c r="D87" s="189">
        <f t="shared" si="1"/>
        <v>498</v>
      </c>
      <c r="E87" s="3"/>
      <c r="F87" s="194">
        <f t="shared" si="5"/>
        <v>498.01571428571424</v>
      </c>
      <c r="H87" s="185">
        <v>50</v>
      </c>
      <c r="I87" s="474">
        <f>F87</f>
        <v>498.01571428571424</v>
      </c>
      <c r="J87" s="189">
        <f t="shared" si="3"/>
        <v>498</v>
      </c>
      <c r="K87" s="506">
        <f t="shared" si="4"/>
        <v>1.571428571423894E-2</v>
      </c>
    </row>
    <row r="88" spans="1:11" ht="15" customHeight="1" x14ac:dyDescent="0.2">
      <c r="I88" s="72"/>
    </row>
    <row r="89" spans="1:11" ht="15" customHeight="1" x14ac:dyDescent="0.2"/>
    <row r="90" spans="1:11" ht="15" customHeight="1" x14ac:dyDescent="0.2"/>
    <row r="91" spans="1:11" ht="15" customHeight="1" x14ac:dyDescent="0.2">
      <c r="I91" s="72"/>
    </row>
    <row r="92" spans="1:11" ht="15" customHeight="1" x14ac:dyDescent="0.2">
      <c r="A92" s="143" t="s">
        <v>152</v>
      </c>
      <c r="B92" s="143" t="s">
        <v>150</v>
      </c>
    </row>
    <row r="93" spans="1:11" ht="15" customHeight="1" x14ac:dyDescent="0.2">
      <c r="A93" s="143"/>
      <c r="B93" s="143"/>
    </row>
    <row r="94" spans="1:11" ht="15" customHeight="1" x14ac:dyDescent="0.2">
      <c r="A94" s="143"/>
      <c r="B94" s="143" t="s">
        <v>153</v>
      </c>
    </row>
    <row r="95" spans="1:11" ht="15" customHeight="1" x14ac:dyDescent="0.2">
      <c r="A95" s="143"/>
      <c r="B95" s="143"/>
      <c r="K95" s="169" t="s">
        <v>155</v>
      </c>
    </row>
    <row r="96" spans="1:11" ht="15" customHeight="1" x14ac:dyDescent="0.2">
      <c r="I96" s="72"/>
    </row>
    <row r="97" spans="2:18" ht="15" customHeight="1" thickBot="1" x14ac:dyDescent="0.25">
      <c r="I97" s="72"/>
      <c r="M97" t="s">
        <v>171</v>
      </c>
    </row>
    <row r="98" spans="2:18" ht="15" customHeight="1" x14ac:dyDescent="0.2">
      <c r="B98" s="195"/>
      <c r="C98" s="190"/>
      <c r="D98" s="190"/>
      <c r="E98" s="392"/>
      <c r="F98" s="213" t="s">
        <v>133</v>
      </c>
      <c r="G98" s="213" t="s">
        <v>133</v>
      </c>
      <c r="H98" s="191" t="s">
        <v>304</v>
      </c>
      <c r="J98" s="208" t="s">
        <v>105</v>
      </c>
      <c r="K98" s="226"/>
      <c r="M98" s="220"/>
      <c r="N98" s="218" t="s">
        <v>156</v>
      </c>
    </row>
    <row r="99" spans="2:18" ht="15" customHeight="1" x14ac:dyDescent="0.2">
      <c r="B99" s="195"/>
      <c r="C99" s="187"/>
      <c r="D99" s="187"/>
      <c r="E99" s="196" t="s">
        <v>109</v>
      </c>
      <c r="F99" s="214" t="s">
        <v>110</v>
      </c>
      <c r="G99" s="214" t="s">
        <v>112</v>
      </c>
      <c r="H99" s="191" t="s">
        <v>105</v>
      </c>
      <c r="J99" s="421" t="s">
        <v>108</v>
      </c>
      <c r="K99" s="227" t="s">
        <v>154</v>
      </c>
      <c r="M99" s="221" t="s">
        <v>129</v>
      </c>
      <c r="N99" s="219" t="s">
        <v>119</v>
      </c>
    </row>
    <row r="100" spans="2:18" ht="15" customHeight="1" thickBot="1" x14ac:dyDescent="0.25">
      <c r="B100" s="195" t="s">
        <v>39</v>
      </c>
      <c r="C100" s="190"/>
      <c r="D100" s="190"/>
      <c r="E100" s="392"/>
      <c r="F100" s="393" t="s">
        <v>130</v>
      </c>
      <c r="G100" s="393" t="s">
        <v>237</v>
      </c>
      <c r="H100" s="192" t="s">
        <v>235</v>
      </c>
      <c r="J100" s="423" t="s">
        <v>151</v>
      </c>
      <c r="K100" s="228" t="s">
        <v>132</v>
      </c>
      <c r="M100" s="221" t="s">
        <v>113</v>
      </c>
      <c r="N100" s="219"/>
      <c r="O100" s="344" t="s">
        <v>205</v>
      </c>
      <c r="P100" s="72" t="s">
        <v>213</v>
      </c>
      <c r="Q100" s="293" t="s">
        <v>214</v>
      </c>
    </row>
    <row r="101" spans="2:18" ht="15" customHeight="1" x14ac:dyDescent="0.2">
      <c r="B101" s="185">
        <v>1</v>
      </c>
      <c r="C101" s="198"/>
      <c r="D101" s="198"/>
      <c r="E101" s="198">
        <f>F101+G101</f>
        <v>22.822728323243179</v>
      </c>
      <c r="F101" s="198">
        <f>I78</f>
        <v>22.508728323243179</v>
      </c>
      <c r="G101" s="197">
        <v>0.314</v>
      </c>
      <c r="H101" s="231">
        <f>G101/E101</f>
        <v>1.3758214861639279E-2</v>
      </c>
      <c r="J101" s="216">
        <f t="shared" ref="J101:J110" si="6">E30/100</f>
        <v>1.375E-2</v>
      </c>
      <c r="K101" s="229">
        <f t="shared" ref="K101:K110" si="7">J101-H101</f>
        <v>-8.2148616392784674E-6</v>
      </c>
      <c r="M101" s="216">
        <f>E101/F101</f>
        <v>1.013950143939307</v>
      </c>
      <c r="N101" s="222">
        <f t="shared" ref="N101:N110" si="8">F101*M101</f>
        <v>22.822728323243179</v>
      </c>
      <c r="O101" s="366">
        <f>N101-E101</f>
        <v>0</v>
      </c>
      <c r="P101" s="367">
        <f>J101/H101</f>
        <v>0.99940291224392908</v>
      </c>
      <c r="Q101" s="368">
        <f>P101*G101</f>
        <v>0.31381251444459374</v>
      </c>
      <c r="R101" s="346" t="s">
        <v>282</v>
      </c>
    </row>
    <row r="102" spans="2:18" ht="15" customHeight="1" x14ac:dyDescent="0.2">
      <c r="B102" s="185">
        <v>2</v>
      </c>
      <c r="C102" s="199"/>
      <c r="D102" s="199"/>
      <c r="E102" s="199">
        <f t="shared" ref="E102:E110" si="9">F102+G102</f>
        <v>45.589444696150473</v>
      </c>
      <c r="F102" s="199">
        <f t="shared" ref="F102:F110" si="10">I79</f>
        <v>44.221444696150471</v>
      </c>
      <c r="G102" s="197">
        <v>1.3680000000000001</v>
      </c>
      <c r="H102" s="232">
        <f t="shared" ref="H102:H110" si="11">G102/E102</f>
        <v>3.0006945886654167E-2</v>
      </c>
      <c r="J102" s="216">
        <f t="shared" si="6"/>
        <v>0.03</v>
      </c>
      <c r="K102" s="229">
        <f t="shared" si="7"/>
        <v>-6.9458866541680098E-6</v>
      </c>
      <c r="M102" s="216">
        <f t="shared" ref="M102:M110" si="12">E102/F102</f>
        <v>1.0309352172774917</v>
      </c>
      <c r="N102" s="223">
        <f t="shared" si="8"/>
        <v>45.589444696150466</v>
      </c>
      <c r="O102" s="366">
        <f t="shared" ref="O102:O110" si="13">N102-E102</f>
        <v>0</v>
      </c>
      <c r="P102" s="367">
        <f t="shared" ref="P102:P110" si="14">J102/H102</f>
        <v>0.99976852403838745</v>
      </c>
      <c r="Q102" s="369">
        <f t="shared" ref="Q102:Q110" si="15">P102*G102</f>
        <v>1.3676833408845142</v>
      </c>
      <c r="R102" s="346" t="s">
        <v>218</v>
      </c>
    </row>
    <row r="103" spans="2:18" ht="15" customHeight="1" x14ac:dyDescent="0.2">
      <c r="B103" s="185">
        <v>3</v>
      </c>
      <c r="C103" s="200"/>
      <c r="D103" s="200"/>
      <c r="E103" s="200">
        <f t="shared" si="9"/>
        <v>65.347428262465357</v>
      </c>
      <c r="F103" s="200">
        <f t="shared" si="10"/>
        <v>62.373428262465353</v>
      </c>
      <c r="G103" s="197">
        <v>2.9740000000000002</v>
      </c>
      <c r="H103" s="233">
        <f t="shared" si="11"/>
        <v>4.5510589767282762E-2</v>
      </c>
      <c r="J103" s="216">
        <f t="shared" si="6"/>
        <v>4.5499999999999999E-2</v>
      </c>
      <c r="K103" s="229">
        <f t="shared" si="7"/>
        <v>-1.0589767282763451E-5</v>
      </c>
      <c r="M103" s="216">
        <f t="shared" si="12"/>
        <v>1.0476805601815811</v>
      </c>
      <c r="N103" s="224">
        <f t="shared" si="8"/>
        <v>65.347428262465357</v>
      </c>
      <c r="O103" s="366">
        <f t="shared" si="13"/>
        <v>0</v>
      </c>
      <c r="P103" s="367">
        <f t="shared" si="14"/>
        <v>0.99976731201821567</v>
      </c>
      <c r="Q103" s="367">
        <f t="shared" si="15"/>
        <v>2.9733079859421734</v>
      </c>
      <c r="R103" s="346" t="s">
        <v>220</v>
      </c>
    </row>
    <row r="104" spans="2:18" ht="15" customHeight="1" x14ac:dyDescent="0.2">
      <c r="B104" s="185">
        <v>4</v>
      </c>
      <c r="C104" s="200"/>
      <c r="D104" s="200"/>
      <c r="E104" s="200">
        <f t="shared" si="9"/>
        <v>82.744518663519898</v>
      </c>
      <c r="F104" s="200">
        <f t="shared" si="10"/>
        <v>77.690518663519896</v>
      </c>
      <c r="G104" s="197">
        <v>5.0540000000000003</v>
      </c>
      <c r="H104" s="233">
        <f t="shared" si="11"/>
        <v>6.1079574594566942E-2</v>
      </c>
      <c r="J104" s="216">
        <f t="shared" si="6"/>
        <v>6.1050000000000007E-2</v>
      </c>
      <c r="K104" s="229">
        <f t="shared" si="7"/>
        <v>-2.9574594566934842E-5</v>
      </c>
      <c r="M104" s="216">
        <f t="shared" si="12"/>
        <v>1.0650529831302715</v>
      </c>
      <c r="N104" s="224">
        <f t="shared" si="8"/>
        <v>82.744518663519898</v>
      </c>
      <c r="O104" s="366">
        <f t="shared" si="13"/>
        <v>0</v>
      </c>
      <c r="P104" s="367">
        <f t="shared" si="14"/>
        <v>0.9995158022176277</v>
      </c>
      <c r="Q104" s="367">
        <f t="shared" si="15"/>
        <v>5.0515528644078911</v>
      </c>
      <c r="R104" s="167" t="s">
        <v>219</v>
      </c>
    </row>
    <row r="105" spans="2:18" ht="15" customHeight="1" x14ac:dyDescent="0.2">
      <c r="B105" s="185">
        <v>5</v>
      </c>
      <c r="C105" s="199"/>
      <c r="D105" s="199"/>
      <c r="E105" s="199">
        <f t="shared" si="9"/>
        <v>98.215555540646164</v>
      </c>
      <c r="F105" s="199">
        <f t="shared" si="10"/>
        <v>90.898555540646157</v>
      </c>
      <c r="G105" s="197">
        <v>7.3170000000000002</v>
      </c>
      <c r="H105" s="232">
        <f t="shared" si="11"/>
        <v>7.4499400423101866E-2</v>
      </c>
      <c r="J105" s="216">
        <f t="shared" si="6"/>
        <v>7.4499999999999997E-2</v>
      </c>
      <c r="K105" s="229">
        <f t="shared" si="7"/>
        <v>5.9957689813039394E-7</v>
      </c>
      <c r="M105" s="216">
        <f t="shared" si="12"/>
        <v>1.0804963286432878</v>
      </c>
      <c r="N105" s="223">
        <f t="shared" si="8"/>
        <v>98.215555540646164</v>
      </c>
      <c r="O105" s="366">
        <f t="shared" si="13"/>
        <v>0</v>
      </c>
      <c r="P105" s="367">
        <f t="shared" si="14"/>
        <v>1.0000080480768265</v>
      </c>
      <c r="Q105" s="369">
        <f t="shared" si="15"/>
        <v>7.3170588877781402</v>
      </c>
    </row>
    <row r="106" spans="2:18" ht="15" customHeight="1" x14ac:dyDescent="0.2">
      <c r="B106" s="185">
        <v>10</v>
      </c>
      <c r="C106" s="200"/>
      <c r="D106" s="200"/>
      <c r="E106" s="200">
        <f t="shared" si="9"/>
        <v>168.83851939984464</v>
      </c>
      <c r="F106" s="200">
        <f t="shared" si="10"/>
        <v>150.71151939984463</v>
      </c>
      <c r="G106" s="197">
        <v>18.126999999999999</v>
      </c>
      <c r="H106" s="233">
        <f t="shared" si="11"/>
        <v>0.10736294101863984</v>
      </c>
      <c r="J106" s="216">
        <f t="shared" si="6"/>
        <v>0.10754999999999999</v>
      </c>
      <c r="K106" s="229">
        <f t="shared" si="7"/>
        <v>1.8705898136014976E-4</v>
      </c>
      <c r="M106" s="216">
        <f t="shared" si="12"/>
        <v>1.1202761412809346</v>
      </c>
      <c r="N106" s="224">
        <f t="shared" si="8"/>
        <v>168.83851939984464</v>
      </c>
      <c r="O106" s="366">
        <f t="shared" si="13"/>
        <v>0</v>
      </c>
      <c r="P106" s="367">
        <f t="shared" si="14"/>
        <v>1.0017423049292928</v>
      </c>
      <c r="Q106" s="367">
        <f t="shared" si="15"/>
        <v>18.158582761453289</v>
      </c>
    </row>
    <row r="107" spans="2:18" ht="15" customHeight="1" x14ac:dyDescent="0.2">
      <c r="B107" s="185">
        <v>20</v>
      </c>
      <c r="C107" s="200"/>
      <c r="D107" s="200"/>
      <c r="E107" s="200">
        <f t="shared" si="9"/>
        <v>289.87014285714292</v>
      </c>
      <c r="F107" s="200">
        <f t="shared" si="10"/>
        <v>252.13714285714292</v>
      </c>
      <c r="G107" s="197">
        <v>37.732999999999997</v>
      </c>
      <c r="H107" s="233">
        <f t="shared" si="11"/>
        <v>0.13017208198153751</v>
      </c>
      <c r="J107" s="216">
        <f t="shared" si="6"/>
        <v>0.13</v>
      </c>
      <c r="K107" s="229">
        <f t="shared" si="7"/>
        <v>-1.7208198153750853E-4</v>
      </c>
      <c r="M107" s="216">
        <f t="shared" si="12"/>
        <v>1.1496526833469314</v>
      </c>
      <c r="N107" s="224">
        <f t="shared" si="8"/>
        <v>289.87014285714292</v>
      </c>
      <c r="O107" s="366">
        <f t="shared" si="13"/>
        <v>0</v>
      </c>
      <c r="P107" s="367">
        <f t="shared" si="14"/>
        <v>0.99867804233505375</v>
      </c>
      <c r="Q107" s="367">
        <f t="shared" si="15"/>
        <v>37.683118571428579</v>
      </c>
    </row>
    <row r="108" spans="2:18" ht="15" customHeight="1" x14ac:dyDescent="0.2">
      <c r="B108" s="185">
        <v>30</v>
      </c>
      <c r="C108" s="200"/>
      <c r="D108" s="200"/>
      <c r="E108" s="200">
        <f>F108+G108</f>
        <v>391.05328571428578</v>
      </c>
      <c r="F108" s="200">
        <f t="shared" si="10"/>
        <v>340.1942857142858</v>
      </c>
      <c r="G108" s="197">
        <v>50.859000000000002</v>
      </c>
      <c r="H108" s="233">
        <f t="shared" si="11"/>
        <v>0.13005644462775076</v>
      </c>
      <c r="J108" s="216">
        <f t="shared" si="6"/>
        <v>0.13</v>
      </c>
      <c r="K108" s="229">
        <f t="shared" si="7"/>
        <v>-5.6444627750756871E-5</v>
      </c>
      <c r="M108" s="216">
        <f t="shared" si="12"/>
        <v>1.1494998656230053</v>
      </c>
      <c r="N108" s="224">
        <f t="shared" si="8"/>
        <v>391.05328571428578</v>
      </c>
      <c r="O108" s="366">
        <f t="shared" si="13"/>
        <v>0</v>
      </c>
      <c r="P108" s="367">
        <f t="shared" si="14"/>
        <v>0.99956599899441878</v>
      </c>
      <c r="Q108" s="367">
        <f t="shared" si="15"/>
        <v>50.836927142857149</v>
      </c>
    </row>
    <row r="109" spans="2:18" ht="15" customHeight="1" x14ac:dyDescent="0.2">
      <c r="B109" s="185">
        <v>40</v>
      </c>
      <c r="C109" s="200"/>
      <c r="D109" s="200"/>
      <c r="E109" s="200">
        <f t="shared" si="9"/>
        <v>483.10414285714279</v>
      </c>
      <c r="F109" s="200">
        <f t="shared" si="10"/>
        <v>420.33714285714279</v>
      </c>
      <c r="G109" s="197">
        <v>62.767000000000003</v>
      </c>
      <c r="H109" s="233">
        <f t="shared" si="11"/>
        <v>0.12992436709150854</v>
      </c>
      <c r="J109" s="216">
        <f t="shared" si="6"/>
        <v>0.13</v>
      </c>
      <c r="K109" s="229">
        <f t="shared" si="7"/>
        <v>7.5632908491468642E-5</v>
      </c>
      <c r="M109" s="216">
        <f t="shared" si="12"/>
        <v>1.1493253714705203</v>
      </c>
      <c r="N109" s="224">
        <f t="shared" si="8"/>
        <v>483.10414285714279</v>
      </c>
      <c r="O109" s="366">
        <f t="shared" si="13"/>
        <v>0</v>
      </c>
      <c r="P109" s="367">
        <f t="shared" si="14"/>
        <v>1.000582130282291</v>
      </c>
      <c r="Q109" s="367">
        <f t="shared" si="15"/>
        <v>62.803538571428568</v>
      </c>
    </row>
    <row r="110" spans="2:18" ht="15" customHeight="1" thickBot="1" x14ac:dyDescent="0.25">
      <c r="B110" s="185">
        <v>50</v>
      </c>
      <c r="C110" s="199"/>
      <c r="D110" s="199"/>
      <c r="E110" s="199">
        <f t="shared" si="9"/>
        <v>572.43171428571418</v>
      </c>
      <c r="F110" s="199">
        <f t="shared" si="10"/>
        <v>498.01571428571424</v>
      </c>
      <c r="G110" s="197">
        <v>74.415999999999997</v>
      </c>
      <c r="H110" s="232">
        <f t="shared" si="11"/>
        <v>0.12999978537677109</v>
      </c>
      <c r="J110" s="217">
        <f t="shared" si="6"/>
        <v>0.13</v>
      </c>
      <c r="K110" s="230">
        <f t="shared" si="7"/>
        <v>2.146232289113037E-7</v>
      </c>
      <c r="M110" s="217">
        <f t="shared" si="12"/>
        <v>1.1494250038007978</v>
      </c>
      <c r="N110" s="225">
        <f t="shared" si="8"/>
        <v>572.43171428571418</v>
      </c>
      <c r="O110" s="366">
        <f t="shared" si="13"/>
        <v>0</v>
      </c>
      <c r="P110" s="367">
        <f t="shared" si="14"/>
        <v>1.0000016509506404</v>
      </c>
      <c r="Q110" s="369">
        <f t="shared" si="15"/>
        <v>74.416122857142852</v>
      </c>
    </row>
    <row r="111" spans="2:18" ht="15" customHeight="1" x14ac:dyDescent="0.2">
      <c r="K111" s="72"/>
    </row>
    <row r="112" spans="2:18" ht="15" customHeight="1" x14ac:dyDescent="0.2">
      <c r="K112" s="72"/>
    </row>
    <row r="113" spans="1:18" ht="15" customHeight="1" x14ac:dyDescent="0.2">
      <c r="A113" s="169" t="s">
        <v>157</v>
      </c>
      <c r="B113" s="143" t="s">
        <v>158</v>
      </c>
      <c r="I113" s="72"/>
    </row>
    <row r="114" spans="1:18" ht="15" customHeight="1" x14ac:dyDescent="0.2">
      <c r="A114" s="169"/>
      <c r="B114" s="54" t="s">
        <v>272</v>
      </c>
      <c r="I114" s="72"/>
    </row>
    <row r="115" spans="1:18" ht="15" customHeight="1" x14ac:dyDescent="0.2">
      <c r="A115" s="169"/>
      <c r="B115" s="54" t="s">
        <v>271</v>
      </c>
      <c r="I115" s="72"/>
    </row>
    <row r="116" spans="1:18" ht="15" customHeight="1" x14ac:dyDescent="0.2">
      <c r="A116" s="169"/>
      <c r="B116" s="54" t="s">
        <v>270</v>
      </c>
      <c r="I116" s="72"/>
    </row>
    <row r="117" spans="1:18" ht="15" customHeight="1" x14ac:dyDescent="0.2">
      <c r="A117" s="169"/>
      <c r="B117" s="54" t="s">
        <v>269</v>
      </c>
      <c r="I117" s="72"/>
    </row>
    <row r="118" spans="1:18" ht="15" customHeight="1" x14ac:dyDescent="0.2">
      <c r="A118" s="169"/>
      <c r="B118" s="54" t="s">
        <v>273</v>
      </c>
      <c r="I118" s="72"/>
    </row>
    <row r="119" spans="1:18" ht="15" customHeight="1" x14ac:dyDescent="0.2">
      <c r="A119" s="169"/>
      <c r="B119" s="54" t="s">
        <v>274</v>
      </c>
      <c r="I119" s="72"/>
    </row>
    <row r="120" spans="1:18" ht="15" customHeight="1" x14ac:dyDescent="0.2">
      <c r="B120" s="54" t="s">
        <v>275</v>
      </c>
      <c r="I120" s="72"/>
    </row>
    <row r="121" spans="1:18" ht="15" customHeight="1" x14ac:dyDescent="0.2">
      <c r="B121" s="54" t="s">
        <v>241</v>
      </c>
      <c r="I121" s="72"/>
    </row>
    <row r="122" spans="1:18" ht="15" customHeight="1" x14ac:dyDescent="0.2">
      <c r="I122" s="72"/>
      <c r="P122" s="387" t="s">
        <v>231</v>
      </c>
    </row>
    <row r="123" spans="1:18" ht="15" customHeight="1" x14ac:dyDescent="0.2">
      <c r="I123" s="72"/>
      <c r="M123" s="386" t="s">
        <v>229</v>
      </c>
    </row>
    <row r="124" spans="1:18" ht="15" customHeight="1" x14ac:dyDescent="0.2">
      <c r="D124" s="293" t="s">
        <v>240</v>
      </c>
      <c r="I124" s="72"/>
    </row>
    <row r="125" spans="1:18" ht="15" customHeight="1" x14ac:dyDescent="0.2">
      <c r="F125" s="72"/>
      <c r="G125" s="72"/>
      <c r="H125" s="72"/>
      <c r="I125" s="72"/>
      <c r="J125" s="439" t="s">
        <v>351</v>
      </c>
      <c r="K125" s="293"/>
      <c r="L125" s="293"/>
      <c r="M125" s="196" t="s">
        <v>276</v>
      </c>
      <c r="O125" s="72"/>
      <c r="P125" s="72"/>
      <c r="Q125" s="72"/>
    </row>
    <row r="126" spans="1:18" ht="15" customHeight="1" x14ac:dyDescent="0.2">
      <c r="B126" s="195"/>
      <c r="C126" s="170" t="s">
        <v>133</v>
      </c>
      <c r="D126" s="170" t="s">
        <v>133</v>
      </c>
      <c r="E126" s="284" t="s">
        <v>133</v>
      </c>
      <c r="F126" s="278" t="s">
        <v>133</v>
      </c>
      <c r="G126" s="278" t="s">
        <v>133</v>
      </c>
      <c r="H126" s="286"/>
      <c r="I126" s="196" t="s">
        <v>111</v>
      </c>
      <c r="J126" s="388" t="s">
        <v>180</v>
      </c>
      <c r="K126" s="388" t="s">
        <v>181</v>
      </c>
      <c r="L126" s="196" t="s">
        <v>50</v>
      </c>
      <c r="M126" s="196" t="s">
        <v>50</v>
      </c>
      <c r="O126" s="170" t="s">
        <v>111</v>
      </c>
      <c r="P126" s="170" t="s">
        <v>111</v>
      </c>
      <c r="Q126" s="170" t="s">
        <v>111</v>
      </c>
    </row>
    <row r="127" spans="1:18" ht="15" customHeight="1" x14ac:dyDescent="0.2">
      <c r="B127" s="195"/>
      <c r="C127" s="174" t="s">
        <v>117</v>
      </c>
      <c r="D127" s="163" t="s">
        <v>118</v>
      </c>
      <c r="E127" s="196" t="s">
        <v>109</v>
      </c>
      <c r="F127" s="183" t="s">
        <v>110</v>
      </c>
      <c r="G127" s="183" t="s">
        <v>112</v>
      </c>
      <c r="H127" s="332" t="s">
        <v>105</v>
      </c>
      <c r="I127" s="388" t="s">
        <v>232</v>
      </c>
      <c r="J127" s="388" t="s">
        <v>232</v>
      </c>
      <c r="K127" s="388" t="s">
        <v>239</v>
      </c>
      <c r="L127" s="196" t="s">
        <v>115</v>
      </c>
      <c r="M127" s="196" t="s">
        <v>232</v>
      </c>
      <c r="O127" s="174" t="s">
        <v>232</v>
      </c>
      <c r="P127" s="174" t="s">
        <v>233</v>
      </c>
      <c r="Q127" s="174" t="s">
        <v>118</v>
      </c>
    </row>
    <row r="128" spans="1:18" ht="15" customHeight="1" x14ac:dyDescent="0.2">
      <c r="B128" s="195" t="s">
        <v>39</v>
      </c>
      <c r="C128" s="192" t="s">
        <v>235</v>
      </c>
      <c r="D128" s="192" t="s">
        <v>235</v>
      </c>
      <c r="E128" s="192" t="s">
        <v>235</v>
      </c>
      <c r="F128" s="331" t="s">
        <v>130</v>
      </c>
      <c r="G128" s="331" t="s">
        <v>130</v>
      </c>
      <c r="H128" s="391" t="s">
        <v>235</v>
      </c>
      <c r="I128" s="192" t="s">
        <v>234</v>
      </c>
      <c r="J128" s="192" t="s">
        <v>238</v>
      </c>
      <c r="K128" s="192" t="s">
        <v>235</v>
      </c>
      <c r="L128" s="192" t="s">
        <v>238</v>
      </c>
      <c r="M128" s="192" t="s">
        <v>238</v>
      </c>
      <c r="O128" s="192" t="s">
        <v>234</v>
      </c>
      <c r="P128" s="192" t="s">
        <v>234</v>
      </c>
      <c r="Q128" s="192" t="s">
        <v>234</v>
      </c>
      <c r="R128" s="345" t="s">
        <v>206</v>
      </c>
    </row>
    <row r="129" spans="1:23" ht="15" customHeight="1" x14ac:dyDescent="0.2">
      <c r="B129" s="185">
        <v>1</v>
      </c>
      <c r="C129" s="198">
        <f>(D129-J129)</f>
        <v>43.62272832324318</v>
      </c>
      <c r="D129" s="198">
        <f>(F129+G129+J129+K129+L129)</f>
        <v>116.62272832324318</v>
      </c>
      <c r="E129" s="198">
        <f>F129+G129</f>
        <v>22.822728323243179</v>
      </c>
      <c r="F129" s="198">
        <f t="shared" ref="F129:G138" si="16">F101</f>
        <v>22.508728323243179</v>
      </c>
      <c r="G129" s="254">
        <f t="shared" si="16"/>
        <v>0.314</v>
      </c>
      <c r="H129" s="234">
        <f>G129/E129</f>
        <v>1.3758214861639279E-2</v>
      </c>
      <c r="I129" s="198">
        <f>O129</f>
        <v>80.8</v>
      </c>
      <c r="J129" s="320">
        <v>73</v>
      </c>
      <c r="K129" s="395">
        <f>I129-J129</f>
        <v>7.7999999999999972</v>
      </c>
      <c r="L129" s="320">
        <v>13</v>
      </c>
      <c r="M129" s="320">
        <v>77</v>
      </c>
      <c r="O129" s="389">
        <v>80.8</v>
      </c>
      <c r="P129" s="320">
        <v>12</v>
      </c>
      <c r="Q129" s="323">
        <v>115</v>
      </c>
      <c r="R129" s="263">
        <f t="shared" ref="R129:R138" si="17">Q129-D129</f>
        <v>-1.6227283232431802</v>
      </c>
    </row>
    <row r="130" spans="1:23" ht="15" customHeight="1" x14ac:dyDescent="0.2">
      <c r="B130" s="185">
        <v>2</v>
      </c>
      <c r="C130" s="199">
        <f t="shared" ref="C130:C138" si="18">(D130-J130)</f>
        <v>66.08944469615048</v>
      </c>
      <c r="D130" s="199">
        <f t="shared" ref="D130:D138" si="19">(F130+G130+J130+K130+L130)</f>
        <v>139.08944469615048</v>
      </c>
      <c r="E130" s="199">
        <f t="shared" ref="E130:E135" si="20">F130+G130</f>
        <v>45.589444696150473</v>
      </c>
      <c r="F130" s="199">
        <f t="shared" si="16"/>
        <v>44.221444696150471</v>
      </c>
      <c r="G130" s="255">
        <f t="shared" si="16"/>
        <v>1.3680000000000001</v>
      </c>
      <c r="H130" s="235">
        <f t="shared" ref="H130:H138" si="21">G130/E130</f>
        <v>3.0006945886654167E-2</v>
      </c>
      <c r="I130" s="199">
        <f t="shared" ref="I130:I138" si="22">O130</f>
        <v>80.5</v>
      </c>
      <c r="J130" s="321">
        <v>73</v>
      </c>
      <c r="K130" s="396">
        <f t="shared" ref="K130:K138" si="23">I130-J130</f>
        <v>7.5</v>
      </c>
      <c r="L130" s="321">
        <v>13</v>
      </c>
      <c r="M130" s="321">
        <v>77</v>
      </c>
      <c r="O130" s="321">
        <v>80.5</v>
      </c>
      <c r="P130" s="321">
        <v>11.3</v>
      </c>
      <c r="Q130" s="324">
        <v>137</v>
      </c>
      <c r="R130" s="263">
        <f t="shared" si="17"/>
        <v>-2.0894446961504798</v>
      </c>
    </row>
    <row r="131" spans="1:23" ht="15" customHeight="1" x14ac:dyDescent="0.2">
      <c r="B131" s="185">
        <v>3</v>
      </c>
      <c r="C131" s="200">
        <f t="shared" si="18"/>
        <v>85.347428262465371</v>
      </c>
      <c r="D131" s="200">
        <f t="shared" si="19"/>
        <v>158.34742826246537</v>
      </c>
      <c r="E131" s="200">
        <f t="shared" si="20"/>
        <v>65.347428262465357</v>
      </c>
      <c r="F131" s="200">
        <f t="shared" si="16"/>
        <v>62.373428262465353</v>
      </c>
      <c r="G131" s="256">
        <f t="shared" si="16"/>
        <v>2.9740000000000002</v>
      </c>
      <c r="H131" s="236">
        <f t="shared" si="21"/>
        <v>4.5510589767282762E-2</v>
      </c>
      <c r="I131" s="200">
        <f t="shared" si="22"/>
        <v>80</v>
      </c>
      <c r="J131" s="322">
        <v>73</v>
      </c>
      <c r="K131" s="397">
        <f t="shared" si="23"/>
        <v>7</v>
      </c>
      <c r="L131" s="322">
        <v>13</v>
      </c>
      <c r="M131" s="322">
        <v>77</v>
      </c>
      <c r="O131" s="322">
        <v>80</v>
      </c>
      <c r="P131" s="322">
        <v>12.5</v>
      </c>
      <c r="Q131" s="325">
        <v>156</v>
      </c>
      <c r="R131" s="263">
        <f t="shared" si="17"/>
        <v>-2.3474282624653711</v>
      </c>
    </row>
    <row r="132" spans="1:23" ht="15" customHeight="1" x14ac:dyDescent="0.2">
      <c r="B132" s="185">
        <v>4</v>
      </c>
      <c r="C132" s="200">
        <f t="shared" si="18"/>
        <v>102.44451866351989</v>
      </c>
      <c r="D132" s="200">
        <f t="shared" si="19"/>
        <v>175.44451866351989</v>
      </c>
      <c r="E132" s="200">
        <f t="shared" si="20"/>
        <v>82.744518663519898</v>
      </c>
      <c r="F132" s="200">
        <f t="shared" si="16"/>
        <v>77.690518663519896</v>
      </c>
      <c r="G132" s="256">
        <f t="shared" si="16"/>
        <v>5.0540000000000003</v>
      </c>
      <c r="H132" s="236">
        <f t="shared" si="21"/>
        <v>6.1079574594566942E-2</v>
      </c>
      <c r="I132" s="200">
        <f t="shared" si="22"/>
        <v>79.7</v>
      </c>
      <c r="J132" s="322">
        <v>73</v>
      </c>
      <c r="K132" s="397">
        <f t="shared" si="23"/>
        <v>6.7000000000000028</v>
      </c>
      <c r="L132" s="322">
        <v>13</v>
      </c>
      <c r="M132" s="322">
        <v>77</v>
      </c>
      <c r="O132" s="322">
        <v>79.7</v>
      </c>
      <c r="P132" s="322">
        <v>14.4</v>
      </c>
      <c r="Q132" s="325">
        <v>172</v>
      </c>
      <c r="R132" s="263">
        <f t="shared" si="17"/>
        <v>-3.4445186635198866</v>
      </c>
    </row>
    <row r="133" spans="1:23" ht="15" customHeight="1" x14ac:dyDescent="0.2">
      <c r="B133" s="185">
        <v>5</v>
      </c>
      <c r="C133" s="199">
        <f t="shared" si="18"/>
        <v>117.81555554064616</v>
      </c>
      <c r="D133" s="199">
        <f t="shared" si="19"/>
        <v>190.81555554064616</v>
      </c>
      <c r="E133" s="199">
        <f t="shared" si="20"/>
        <v>98.215555540646164</v>
      </c>
      <c r="F133" s="199">
        <f t="shared" si="16"/>
        <v>90.898555540646157</v>
      </c>
      <c r="G133" s="255">
        <f t="shared" si="16"/>
        <v>7.3170000000000002</v>
      </c>
      <c r="H133" s="235">
        <f t="shared" si="21"/>
        <v>7.4499400423101866E-2</v>
      </c>
      <c r="I133" s="199">
        <f t="shared" si="22"/>
        <v>79.599999999999994</v>
      </c>
      <c r="J133" s="321">
        <v>73</v>
      </c>
      <c r="K133" s="396">
        <f t="shared" si="23"/>
        <v>6.5999999999999943</v>
      </c>
      <c r="L133" s="321">
        <v>13</v>
      </c>
      <c r="M133" s="321">
        <v>77</v>
      </c>
      <c r="O133" s="321">
        <v>79.599999999999994</v>
      </c>
      <c r="P133" s="321">
        <v>12.3</v>
      </c>
      <c r="Q133" s="324">
        <v>187</v>
      </c>
      <c r="R133" s="263">
        <f t="shared" si="17"/>
        <v>-3.8155555406461588</v>
      </c>
    </row>
    <row r="134" spans="1:23" ht="15" customHeight="1" x14ac:dyDescent="0.2">
      <c r="B134" s="185">
        <v>10</v>
      </c>
      <c r="C134" s="200">
        <f t="shared" si="18"/>
        <v>188.53851939984463</v>
      </c>
      <c r="D134" s="200">
        <f t="shared" si="19"/>
        <v>261.53851939984463</v>
      </c>
      <c r="E134" s="200">
        <f t="shared" si="20"/>
        <v>168.83851939984464</v>
      </c>
      <c r="F134" s="200">
        <f t="shared" si="16"/>
        <v>150.71151939984463</v>
      </c>
      <c r="G134" s="256">
        <f t="shared" si="16"/>
        <v>18.126999999999999</v>
      </c>
      <c r="H134" s="236">
        <f t="shared" si="21"/>
        <v>0.10736294101863984</v>
      </c>
      <c r="I134" s="200">
        <f t="shared" si="22"/>
        <v>79.7</v>
      </c>
      <c r="J134" s="322">
        <v>73</v>
      </c>
      <c r="K134" s="397">
        <f t="shared" si="23"/>
        <v>6.7000000000000028</v>
      </c>
      <c r="L134" s="322">
        <v>13</v>
      </c>
      <c r="M134" s="322">
        <v>77</v>
      </c>
      <c r="O134" s="322">
        <v>79.7</v>
      </c>
      <c r="P134" s="322">
        <v>11.6</v>
      </c>
      <c r="Q134" s="325">
        <v>257</v>
      </c>
      <c r="R134" s="263">
        <f t="shared" si="17"/>
        <v>-4.5385193998446312</v>
      </c>
    </row>
    <row r="135" spans="1:23" ht="15" customHeight="1" x14ac:dyDescent="0.2">
      <c r="B135" s="185">
        <v>20</v>
      </c>
      <c r="C135" s="200">
        <f t="shared" si="18"/>
        <v>309.47014285714295</v>
      </c>
      <c r="D135" s="200">
        <f t="shared" si="19"/>
        <v>382.47014285714295</v>
      </c>
      <c r="E135" s="200">
        <f t="shared" si="20"/>
        <v>289.87014285714292</v>
      </c>
      <c r="F135" s="200">
        <f t="shared" si="16"/>
        <v>252.13714285714292</v>
      </c>
      <c r="G135" s="256">
        <f t="shared" si="16"/>
        <v>37.732999999999997</v>
      </c>
      <c r="H135" s="236">
        <f t="shared" si="21"/>
        <v>0.13017208198153751</v>
      </c>
      <c r="I135" s="200">
        <f t="shared" si="22"/>
        <v>79.599999999999994</v>
      </c>
      <c r="J135" s="322">
        <v>73</v>
      </c>
      <c r="K135" s="397">
        <f t="shared" si="23"/>
        <v>6.5999999999999943</v>
      </c>
      <c r="L135" s="322">
        <v>13</v>
      </c>
      <c r="M135" s="322">
        <v>77</v>
      </c>
      <c r="O135" s="322">
        <v>79.599999999999994</v>
      </c>
      <c r="P135" s="322">
        <v>11.3</v>
      </c>
      <c r="Q135" s="325">
        <v>385</v>
      </c>
      <c r="R135" s="263">
        <f t="shared" si="17"/>
        <v>2.529857142857054</v>
      </c>
    </row>
    <row r="136" spans="1:23" ht="15" customHeight="1" x14ac:dyDescent="0.2">
      <c r="B136" s="185">
        <v>30</v>
      </c>
      <c r="C136" s="200">
        <f t="shared" si="18"/>
        <v>411.05328571428578</v>
      </c>
      <c r="D136" s="200">
        <f t="shared" si="19"/>
        <v>484.05328571428578</v>
      </c>
      <c r="E136" s="200">
        <f>F136+G136</f>
        <v>391.05328571428578</v>
      </c>
      <c r="F136" s="200">
        <f t="shared" si="16"/>
        <v>340.1942857142858</v>
      </c>
      <c r="G136" s="256">
        <f t="shared" si="16"/>
        <v>50.859000000000002</v>
      </c>
      <c r="H136" s="236">
        <f t="shared" si="21"/>
        <v>0.13005644462775076</v>
      </c>
      <c r="I136" s="200">
        <f t="shared" si="22"/>
        <v>80</v>
      </c>
      <c r="J136" s="322">
        <v>73</v>
      </c>
      <c r="K136" s="397">
        <f t="shared" si="23"/>
        <v>7</v>
      </c>
      <c r="L136" s="322">
        <v>13</v>
      </c>
      <c r="M136" s="322">
        <v>77</v>
      </c>
      <c r="O136" s="322">
        <v>80</v>
      </c>
      <c r="P136" s="322">
        <v>13.5</v>
      </c>
      <c r="Q136" s="325">
        <v>491</v>
      </c>
      <c r="R136" s="263">
        <f t="shared" si="17"/>
        <v>6.9467142857142221</v>
      </c>
    </row>
    <row r="137" spans="1:23" ht="15" customHeight="1" x14ac:dyDescent="0.2">
      <c r="B137" s="185">
        <v>40</v>
      </c>
      <c r="C137" s="200">
        <f t="shared" si="18"/>
        <v>504.20414285714276</v>
      </c>
      <c r="D137" s="200">
        <f t="shared" si="19"/>
        <v>577.20414285714276</v>
      </c>
      <c r="E137" s="200">
        <f t="shared" ref="E137:E138" si="24">F137+G137</f>
        <v>483.10414285714279</v>
      </c>
      <c r="F137" s="200">
        <f t="shared" si="16"/>
        <v>420.33714285714279</v>
      </c>
      <c r="G137" s="256">
        <f t="shared" si="16"/>
        <v>62.767000000000003</v>
      </c>
      <c r="H137" s="236">
        <f t="shared" si="21"/>
        <v>0.12992436709150854</v>
      </c>
      <c r="I137" s="200">
        <f t="shared" si="22"/>
        <v>81.099999999999994</v>
      </c>
      <c r="J137" s="322">
        <v>73</v>
      </c>
      <c r="K137" s="397">
        <f t="shared" si="23"/>
        <v>8.0999999999999943</v>
      </c>
      <c r="L137" s="322">
        <v>13</v>
      </c>
      <c r="M137" s="322">
        <v>78</v>
      </c>
      <c r="O137" s="322">
        <v>81.099999999999994</v>
      </c>
      <c r="P137" s="322">
        <v>15</v>
      </c>
      <c r="Q137" s="325">
        <v>586</v>
      </c>
      <c r="R137" s="263">
        <f t="shared" si="17"/>
        <v>8.7958571428572441</v>
      </c>
    </row>
    <row r="138" spans="1:23" ht="15" customHeight="1" x14ac:dyDescent="0.2">
      <c r="B138" s="185">
        <v>50</v>
      </c>
      <c r="C138" s="199">
        <f t="shared" si="18"/>
        <v>595.13171428571422</v>
      </c>
      <c r="D138" s="199">
        <f t="shared" si="19"/>
        <v>668.13171428571422</v>
      </c>
      <c r="E138" s="199">
        <f t="shared" si="24"/>
        <v>572.43171428571418</v>
      </c>
      <c r="F138" s="199">
        <f t="shared" si="16"/>
        <v>498.01571428571424</v>
      </c>
      <c r="G138" s="255">
        <f t="shared" si="16"/>
        <v>74.415999999999997</v>
      </c>
      <c r="H138" s="235">
        <f t="shared" si="21"/>
        <v>0.12999978537677109</v>
      </c>
      <c r="I138" s="199">
        <f t="shared" si="22"/>
        <v>82.7</v>
      </c>
      <c r="J138" s="321">
        <v>73</v>
      </c>
      <c r="K138" s="396">
        <f t="shared" si="23"/>
        <v>9.7000000000000028</v>
      </c>
      <c r="L138" s="321">
        <v>13</v>
      </c>
      <c r="M138" s="321">
        <v>79</v>
      </c>
      <c r="O138" s="321">
        <v>82.7</v>
      </c>
      <c r="P138" s="321">
        <v>14.9</v>
      </c>
      <c r="Q138" s="324">
        <v>677</v>
      </c>
      <c r="R138" s="263">
        <f t="shared" si="17"/>
        <v>8.8682857142857756</v>
      </c>
    </row>
    <row r="139" spans="1:23" ht="15" customHeight="1" x14ac:dyDescent="0.2">
      <c r="I139" s="72"/>
    </row>
    <row r="140" spans="1:23" ht="15" customHeight="1" x14ac:dyDescent="0.2">
      <c r="I140" s="72"/>
    </row>
    <row r="141" spans="1:23" x14ac:dyDescent="0.2">
      <c r="A141" s="169" t="s">
        <v>159</v>
      </c>
      <c r="B141" s="143" t="s">
        <v>160</v>
      </c>
      <c r="I141" s="72"/>
    </row>
    <row r="142" spans="1:23" ht="15" customHeight="1" x14ac:dyDescent="0.2">
      <c r="Q142" s="50" t="s">
        <v>247</v>
      </c>
    </row>
    <row r="143" spans="1:23" ht="15" customHeight="1" x14ac:dyDescent="0.2">
      <c r="B143" s="169" t="s">
        <v>168</v>
      </c>
      <c r="C143" s="83"/>
      <c r="I143" s="72"/>
      <c r="W143" t="s">
        <v>254</v>
      </c>
    </row>
    <row r="144" spans="1:23" ht="15" customHeight="1" x14ac:dyDescent="0.2">
      <c r="B144" s="143" t="s">
        <v>169</v>
      </c>
      <c r="C144" s="83"/>
      <c r="D144" s="83"/>
      <c r="E144" s="83"/>
      <c r="F144" s="83"/>
      <c r="G144" s="83"/>
      <c r="H144" s="83"/>
      <c r="I144" s="83"/>
      <c r="J144" s="83"/>
      <c r="K144" s="83"/>
      <c r="L144" s="83"/>
      <c r="Q144" s="54" t="s">
        <v>245</v>
      </c>
    </row>
    <row r="145" spans="2:30" ht="15" customHeight="1" x14ac:dyDescent="0.2">
      <c r="B145" s="169" t="s">
        <v>170</v>
      </c>
      <c r="C145" s="83"/>
      <c r="D145" s="83"/>
      <c r="E145" s="83"/>
      <c r="F145" s="385" t="s">
        <v>230</v>
      </c>
      <c r="G145" s="83"/>
      <c r="H145" s="83"/>
      <c r="I145" s="54" t="s">
        <v>62</v>
      </c>
      <c r="J145" s="83"/>
      <c r="K145" s="83"/>
      <c r="Q145" s="54" t="s">
        <v>246</v>
      </c>
    </row>
    <row r="146" spans="2:30" ht="15" customHeight="1" x14ac:dyDescent="0.2">
      <c r="D146" s="118"/>
      <c r="H146" s="59" t="s">
        <v>23</v>
      </c>
      <c r="I146" s="60"/>
      <c r="J146" s="60"/>
      <c r="K146" s="61"/>
      <c r="L146" s="59" t="s">
        <v>29</v>
      </c>
      <c r="M146" s="60"/>
      <c r="N146" s="61"/>
      <c r="O146" s="163"/>
      <c r="P146" s="170" t="s">
        <v>133</v>
      </c>
      <c r="Q146" t="s">
        <v>194</v>
      </c>
    </row>
    <row r="147" spans="2:30" ht="15" customHeight="1" x14ac:dyDescent="0.2">
      <c r="C147" s="84"/>
      <c r="D147" s="119"/>
      <c r="F147" s="383" t="s">
        <v>161</v>
      </c>
      <c r="G147" s="380" t="s">
        <v>196</v>
      </c>
      <c r="H147" s="35" t="s">
        <v>24</v>
      </c>
      <c r="I147" s="238" t="s">
        <v>104</v>
      </c>
      <c r="J147" s="21"/>
      <c r="K147" s="22"/>
      <c r="L147" s="35" t="s">
        <v>30</v>
      </c>
      <c r="M147" s="238" t="s">
        <v>117</v>
      </c>
      <c r="N147" s="43"/>
      <c r="O147" s="163"/>
      <c r="P147" s="174" t="s">
        <v>117</v>
      </c>
      <c r="Q147" s="333" t="e">
        <f>P147/M147</f>
        <v>#DIV/0!</v>
      </c>
      <c r="R147" s="333" t="e">
        <f>G147*Q147</f>
        <v>#DIV/0!</v>
      </c>
      <c r="S147" s="346" t="s">
        <v>207</v>
      </c>
      <c r="W147" t="s">
        <v>251</v>
      </c>
      <c r="Y147" t="s">
        <v>252</v>
      </c>
      <c r="AA147" t="s">
        <v>253</v>
      </c>
    </row>
    <row r="148" spans="2:30" ht="15" customHeight="1" x14ac:dyDescent="0.2">
      <c r="B148" s="335" t="s">
        <v>15</v>
      </c>
      <c r="C148" s="336"/>
      <c r="D148" s="337"/>
      <c r="E148" s="382" t="s">
        <v>39</v>
      </c>
      <c r="F148" s="384" t="s">
        <v>61</v>
      </c>
      <c r="G148" s="381" t="s">
        <v>197</v>
      </c>
      <c r="H148" s="37" t="s">
        <v>25</v>
      </c>
      <c r="I148" s="38" t="s">
        <v>27</v>
      </c>
      <c r="J148" s="1"/>
      <c r="K148" s="39"/>
      <c r="L148" s="37" t="s">
        <v>31</v>
      </c>
      <c r="M148" s="38" t="s">
        <v>33</v>
      </c>
      <c r="N148" s="25"/>
      <c r="O148" s="163" t="s">
        <v>39</v>
      </c>
      <c r="P148" s="192" t="s">
        <v>131</v>
      </c>
      <c r="Q148" s="344" t="s">
        <v>192</v>
      </c>
      <c r="R148" s="344" t="s">
        <v>193</v>
      </c>
      <c r="W148" t="s">
        <v>248</v>
      </c>
      <c r="Y148" t="s">
        <v>249</v>
      </c>
      <c r="AA148" t="s">
        <v>250</v>
      </c>
    </row>
    <row r="149" spans="2:30" ht="15" customHeight="1" x14ac:dyDescent="0.2">
      <c r="B149" s="338" t="s">
        <v>16</v>
      </c>
      <c r="C149" s="24" t="s">
        <v>19</v>
      </c>
      <c r="D149" s="339">
        <v>2.46</v>
      </c>
      <c r="E149" s="334">
        <v>1</v>
      </c>
      <c r="F149" s="328">
        <v>1.1297647051527779</v>
      </c>
      <c r="G149" s="201">
        <v>1.0520690888441584</v>
      </c>
      <c r="H149" s="62">
        <f>(D150*2.20462*25.4*12)</f>
        <v>3359.8408799999997</v>
      </c>
      <c r="I149" s="14">
        <f>F149*D$149*SQRT(4*D$151*H$149/32.2)/12</f>
        <v>43.622720000000008</v>
      </c>
      <c r="J149" s="1"/>
      <c r="K149" s="39"/>
      <c r="L149" s="175">
        <v>1</v>
      </c>
      <c r="M149" s="171">
        <f>L149*I149</f>
        <v>43.622720000000008</v>
      </c>
      <c r="N149" s="25"/>
      <c r="O149" s="163">
        <v>1</v>
      </c>
      <c r="P149" s="171">
        <f>C129</f>
        <v>43.62272832324318</v>
      </c>
      <c r="Q149" s="333">
        <v>1.0738502985521405</v>
      </c>
      <c r="R149" s="333">
        <v>1.1297647051527779</v>
      </c>
      <c r="S149" s="346" t="s">
        <v>215</v>
      </c>
      <c r="W149" s="58">
        <v>1</v>
      </c>
      <c r="X149" s="328">
        <v>1.2719377964304703</v>
      </c>
      <c r="Y149" s="334">
        <v>1</v>
      </c>
      <c r="Z149" s="328">
        <v>1.214204604920285</v>
      </c>
      <c r="AA149" s="334">
        <v>1</v>
      </c>
      <c r="AB149" s="328">
        <v>1.0520690888441584</v>
      </c>
    </row>
    <row r="150" spans="2:30" ht="15" customHeight="1" x14ac:dyDescent="0.2">
      <c r="B150" s="338" t="s">
        <v>17</v>
      </c>
      <c r="C150" s="24" t="s">
        <v>20</v>
      </c>
      <c r="D150" s="339">
        <v>5</v>
      </c>
      <c r="E150" s="334">
        <v>2</v>
      </c>
      <c r="F150" s="329">
        <v>0.85580944407781101</v>
      </c>
      <c r="G150" s="202">
        <v>0.81696163592350124</v>
      </c>
      <c r="H150" s="63"/>
      <c r="I150" s="14">
        <f t="shared" ref="I150:I158" si="25">F150*D$149*SQRT(4*D$151*H$149/32.2)/12</f>
        <v>33.044700000000013</v>
      </c>
      <c r="J150" s="1"/>
      <c r="K150" s="39"/>
      <c r="L150" s="176">
        <v>2</v>
      </c>
      <c r="M150" s="172">
        <f>L150*I150</f>
        <v>66.089400000000026</v>
      </c>
      <c r="N150" s="25"/>
      <c r="O150" s="163">
        <v>2</v>
      </c>
      <c r="P150" s="172">
        <f t="shared" ref="P150:P158" si="26">C130</f>
        <v>66.08944469615048</v>
      </c>
      <c r="Q150" s="333">
        <v>1.0475515696773152</v>
      </c>
      <c r="R150" s="333">
        <v>0.85580944407781101</v>
      </c>
      <c r="S150" s="346" t="s">
        <v>216</v>
      </c>
      <c r="W150" s="58">
        <v>2</v>
      </c>
      <c r="X150" s="329">
        <v>0.96145357598157333</v>
      </c>
      <c r="Y150" s="334">
        <v>2</v>
      </c>
      <c r="Z150" s="329">
        <v>0.94178558278660662</v>
      </c>
      <c r="AA150" s="334">
        <v>2</v>
      </c>
      <c r="AB150" s="329">
        <v>0.81696163592350124</v>
      </c>
    </row>
    <row r="151" spans="2:30" ht="15" customHeight="1" x14ac:dyDescent="0.2">
      <c r="B151" s="340" t="s">
        <v>18</v>
      </c>
      <c r="C151" s="341" t="s">
        <v>28</v>
      </c>
      <c r="D151" s="342">
        <v>85</v>
      </c>
      <c r="E151" s="334">
        <v>3</v>
      </c>
      <c r="F151" s="328">
        <v>0.7367901193085139</v>
      </c>
      <c r="G151" s="201">
        <v>0.71089158053897417</v>
      </c>
      <c r="H151" s="63"/>
      <c r="I151" s="14">
        <f t="shared" si="25"/>
        <v>28.449100000000005</v>
      </c>
      <c r="J151" s="1"/>
      <c r="K151" s="39"/>
      <c r="L151" s="177">
        <v>3</v>
      </c>
      <c r="M151" s="173">
        <f t="shared" ref="M151:M157" si="27">L151*I151</f>
        <v>85.347300000000018</v>
      </c>
      <c r="N151" s="25"/>
      <c r="O151" s="163">
        <v>3</v>
      </c>
      <c r="P151" s="173">
        <f t="shared" si="26"/>
        <v>85.347428262465371</v>
      </c>
      <c r="Q151" s="333">
        <v>1.0364310669566579</v>
      </c>
      <c r="R151" s="333">
        <v>0.7367901193085139</v>
      </c>
      <c r="W151" s="58">
        <v>3</v>
      </c>
      <c r="X151" s="328">
        <v>0.82946548223307215</v>
      </c>
      <c r="Y151" s="334">
        <v>3</v>
      </c>
      <c r="Z151" s="328">
        <v>0.83143438654578949</v>
      </c>
      <c r="AA151" s="334">
        <v>3</v>
      </c>
      <c r="AB151" s="328">
        <v>0.71089158053897417</v>
      </c>
    </row>
    <row r="152" spans="2:30" ht="15" customHeight="1" x14ac:dyDescent="0.2">
      <c r="E152" s="58">
        <v>4</v>
      </c>
      <c r="F152" s="328">
        <v>0.66328903033900899</v>
      </c>
      <c r="G152" s="201">
        <v>0.64386512626185421</v>
      </c>
      <c r="H152" s="63"/>
      <c r="I152" s="14">
        <f t="shared" si="25"/>
        <v>25.611059999999995</v>
      </c>
      <c r="J152" s="1"/>
      <c r="K152" s="39"/>
      <c r="L152" s="177">
        <v>4</v>
      </c>
      <c r="M152" s="173">
        <f t="shared" si="27"/>
        <v>102.44423999999998</v>
      </c>
      <c r="N152" s="25"/>
      <c r="O152" s="163">
        <v>4</v>
      </c>
      <c r="P152" s="173">
        <f t="shared" si="26"/>
        <v>102.44451866351989</v>
      </c>
      <c r="Q152" s="333">
        <v>1.0301676597860268</v>
      </c>
      <c r="R152" s="333">
        <v>0.66328903033900899</v>
      </c>
      <c r="W152" s="58">
        <v>4</v>
      </c>
      <c r="X152" s="328">
        <v>0.74932421258594284</v>
      </c>
      <c r="Y152" s="58">
        <v>4</v>
      </c>
      <c r="Z152" s="328">
        <v>0.76534004310976567</v>
      </c>
      <c r="AA152" s="58">
        <v>4</v>
      </c>
      <c r="AB152" s="328">
        <v>0.64386512626185421</v>
      </c>
    </row>
    <row r="153" spans="2:30" ht="15" customHeight="1" x14ac:dyDescent="0.2">
      <c r="B153" s="347" t="s">
        <v>209</v>
      </c>
      <c r="E153" s="58">
        <v>5</v>
      </c>
      <c r="F153" s="329">
        <v>0.61024747621497555</v>
      </c>
      <c r="G153" s="202">
        <v>0.59470835295325186</v>
      </c>
      <c r="H153" s="63"/>
      <c r="I153" s="14">
        <f t="shared" si="25"/>
        <v>23.563007999999996</v>
      </c>
      <c r="J153" s="1"/>
      <c r="K153" s="39"/>
      <c r="L153" s="176">
        <v>5</v>
      </c>
      <c r="M153" s="172">
        <f t="shared" si="27"/>
        <v>117.81503999999998</v>
      </c>
      <c r="N153" s="25"/>
      <c r="O153" s="163">
        <v>5</v>
      </c>
      <c r="P153" s="172">
        <f t="shared" si="26"/>
        <v>117.81555554064616</v>
      </c>
      <c r="Q153" s="333">
        <v>1.0261289810115466</v>
      </c>
      <c r="R153" s="333">
        <v>0.61024747621497555</v>
      </c>
      <c r="W153" s="58">
        <v>5</v>
      </c>
      <c r="X153" s="329">
        <v>0.69127712745711423</v>
      </c>
      <c r="Y153" s="58">
        <v>5</v>
      </c>
      <c r="Z153" s="329">
        <v>0.71786624837291457</v>
      </c>
      <c r="AA153" s="58">
        <v>5</v>
      </c>
      <c r="AB153" s="329">
        <v>0.59470835295325186</v>
      </c>
    </row>
    <row r="154" spans="2:30" ht="15" customHeight="1" x14ac:dyDescent="0.2">
      <c r="B154" s="85" t="s">
        <v>208</v>
      </c>
      <c r="E154" s="58">
        <v>10</v>
      </c>
      <c r="F154" s="328">
        <v>0.48746862891300663</v>
      </c>
      <c r="G154" s="201">
        <v>0.47969906728214473</v>
      </c>
      <c r="H154" s="63"/>
      <c r="I154" s="14">
        <f t="shared" si="25"/>
        <v>18.8222445</v>
      </c>
      <c r="J154" s="1"/>
      <c r="K154" s="39"/>
      <c r="L154" s="177">
        <v>10</v>
      </c>
      <c r="M154" s="173">
        <f t="shared" si="27"/>
        <v>188.22244499999999</v>
      </c>
      <c r="N154" s="25"/>
      <c r="O154" s="163">
        <v>10</v>
      </c>
      <c r="P154" s="173">
        <f t="shared" si="26"/>
        <v>188.53851939984463</v>
      </c>
      <c r="Q154" s="333">
        <v>1.0161967411670869</v>
      </c>
      <c r="R154" s="333">
        <v>0.48746862891300663</v>
      </c>
      <c r="W154" s="58">
        <v>10</v>
      </c>
      <c r="X154" s="328">
        <v>0.53698545571268352</v>
      </c>
      <c r="Y154" s="58">
        <v>10</v>
      </c>
      <c r="Z154" s="328">
        <v>0.57439876697917092</v>
      </c>
      <c r="AA154" s="58">
        <v>10</v>
      </c>
      <c r="AB154" s="328">
        <v>0.47969906728214473</v>
      </c>
    </row>
    <row r="155" spans="2:30" ht="15" customHeight="1" x14ac:dyDescent="0.2">
      <c r="E155" s="58">
        <v>20</v>
      </c>
      <c r="F155" s="328">
        <v>0.40117024318423189</v>
      </c>
      <c r="G155" s="201">
        <v>0.39728546236880097</v>
      </c>
      <c r="H155" s="63"/>
      <c r="I155" s="14">
        <f t="shared" si="25"/>
        <v>15.490072500000004</v>
      </c>
      <c r="J155" s="1"/>
      <c r="K155" s="39"/>
      <c r="L155" s="177">
        <v>20</v>
      </c>
      <c r="M155" s="173">
        <f t="shared" si="27"/>
        <v>309.80145000000005</v>
      </c>
      <c r="N155" s="25"/>
      <c r="O155" s="163">
        <v>20</v>
      </c>
      <c r="P155" s="173">
        <f t="shared" si="26"/>
        <v>309.47014285714295</v>
      </c>
      <c r="Q155" s="333">
        <v>1.009778311021672</v>
      </c>
      <c r="R155" s="333">
        <v>0.40117024318423189</v>
      </c>
      <c r="W155" s="58">
        <v>20</v>
      </c>
      <c r="X155" s="328">
        <v>0.43470787984188836</v>
      </c>
      <c r="Y155" s="58">
        <v>20</v>
      </c>
      <c r="Z155" s="328">
        <v>0.47089010691917027</v>
      </c>
      <c r="AA155" s="58">
        <v>20</v>
      </c>
      <c r="AB155" s="328">
        <v>0.39728546236880097</v>
      </c>
    </row>
    <row r="156" spans="2:30" ht="15" customHeight="1" x14ac:dyDescent="0.2">
      <c r="E156" s="58">
        <v>30</v>
      </c>
      <c r="F156" s="328">
        <v>0.35493658183304655</v>
      </c>
      <c r="G156" s="201">
        <v>0.35234672795609262</v>
      </c>
      <c r="H156" s="63"/>
      <c r="I156" s="14">
        <f t="shared" si="25"/>
        <v>13.704888333333331</v>
      </c>
      <c r="J156" s="1"/>
      <c r="K156" s="39"/>
      <c r="L156" s="177">
        <v>30</v>
      </c>
      <c r="M156" s="173">
        <f>L156*I156</f>
        <v>411.14664999999991</v>
      </c>
      <c r="N156" s="25"/>
      <c r="O156" s="163">
        <v>30</v>
      </c>
      <c r="P156" s="173">
        <f t="shared" si="26"/>
        <v>411.05328571428578</v>
      </c>
      <c r="Q156" s="333">
        <v>1.0073502992123051</v>
      </c>
      <c r="R156" s="333">
        <v>0.35493658183304655</v>
      </c>
      <c r="W156" s="58">
        <v>30</v>
      </c>
      <c r="X156" s="328">
        <v>0.38179437755434958</v>
      </c>
      <c r="Y156" s="58">
        <v>30</v>
      </c>
      <c r="Z156" s="328">
        <v>0.41902719697489649</v>
      </c>
      <c r="AA156" s="58">
        <v>30</v>
      </c>
      <c r="AB156" s="328">
        <v>0.35234672795609262</v>
      </c>
    </row>
    <row r="157" spans="2:30" ht="15" customHeight="1" x14ac:dyDescent="0.2">
      <c r="E157" s="58">
        <v>40</v>
      </c>
      <c r="F157" s="328">
        <v>0.32621271751384867</v>
      </c>
      <c r="G157" s="201">
        <v>0.32362286363689469</v>
      </c>
      <c r="H157" s="63"/>
      <c r="I157" s="14">
        <f t="shared" si="25"/>
        <v>12.595796250000001</v>
      </c>
      <c r="J157" s="1"/>
      <c r="K157" s="39"/>
      <c r="L157" s="177">
        <v>40</v>
      </c>
      <c r="M157" s="173">
        <f t="shared" si="27"/>
        <v>503.83185000000003</v>
      </c>
      <c r="N157" s="25"/>
      <c r="O157" s="163">
        <v>40</v>
      </c>
      <c r="P157" s="205">
        <f t="shared" si="26"/>
        <v>504.20414285714276</v>
      </c>
      <c r="Q157" s="333">
        <v>1.0080026913050859</v>
      </c>
      <c r="R157" s="333">
        <v>0.32621271751384867</v>
      </c>
      <c r="W157" s="58">
        <v>40</v>
      </c>
      <c r="X157" s="328">
        <v>0.34849284928886071</v>
      </c>
      <c r="Y157" s="58">
        <v>40</v>
      </c>
      <c r="Z157" s="328">
        <v>0.38382582895724304</v>
      </c>
      <c r="AA157" s="58">
        <v>40</v>
      </c>
      <c r="AB157" s="328">
        <v>0.32362286363689469</v>
      </c>
    </row>
    <row r="158" spans="2:30" ht="15" customHeight="1" x14ac:dyDescent="0.2">
      <c r="E158" s="58">
        <v>50</v>
      </c>
      <c r="F158" s="329">
        <v>0.30821128420397603</v>
      </c>
      <c r="G158" s="202">
        <v>0.3056214303270221</v>
      </c>
      <c r="H158" s="64"/>
      <c r="I158" s="41">
        <f t="shared" si="25"/>
        <v>11.900720999999999</v>
      </c>
      <c r="J158" s="42"/>
      <c r="K158" s="31"/>
      <c r="L158" s="178">
        <v>50</v>
      </c>
      <c r="M158" s="179">
        <f>L158*I158</f>
        <v>595.03604999999993</v>
      </c>
      <c r="N158" s="28"/>
      <c r="O158" s="186">
        <v>50</v>
      </c>
      <c r="P158" s="206">
        <f t="shared" si="26"/>
        <v>595.13171428571422</v>
      </c>
      <c r="Q158" s="333">
        <v>1.0084740584918497</v>
      </c>
      <c r="R158" s="333">
        <v>0.30821128420397603</v>
      </c>
      <c r="W158" s="58">
        <v>50</v>
      </c>
      <c r="X158" s="329">
        <v>0.32816631833683368</v>
      </c>
      <c r="Y158" s="58">
        <v>50</v>
      </c>
      <c r="Z158" s="329">
        <v>0.35861669533023494</v>
      </c>
      <c r="AA158" s="58">
        <v>50</v>
      </c>
      <c r="AB158" s="329">
        <v>0.3056214303270221</v>
      </c>
    </row>
    <row r="159" spans="2:30" ht="15" customHeight="1" x14ac:dyDescent="0.2">
      <c r="E159" s="3"/>
      <c r="F159" s="239"/>
      <c r="G159" s="239"/>
      <c r="H159" s="83"/>
      <c r="I159" s="240"/>
      <c r="J159" s="83"/>
      <c r="K159" s="83"/>
      <c r="L159" s="241"/>
      <c r="M159" s="241"/>
      <c r="N159" s="145"/>
      <c r="O159" s="242"/>
      <c r="P159" s="241"/>
    </row>
    <row r="160" spans="2:30" ht="15" customHeight="1" x14ac:dyDescent="0.2">
      <c r="E160" s="3"/>
      <c r="F160" s="239"/>
      <c r="G160" s="239"/>
      <c r="H160" s="83"/>
      <c r="I160" s="240"/>
      <c r="J160" s="83"/>
      <c r="L160" s="241"/>
      <c r="M160" s="400"/>
      <c r="N160" s="401" t="s">
        <v>244</v>
      </c>
      <c r="P160" s="241"/>
      <c r="Z160" s="111">
        <f t="shared" ref="Z160:Z169" si="28">Z149/X149</f>
        <v>0.95461005115800002</v>
      </c>
      <c r="AB160" s="111">
        <f t="shared" ref="AB160:AB169" si="29">AB149/Z149</f>
        <v>0.86646771440405534</v>
      </c>
      <c r="AD160" s="111">
        <f>AB149/X149</f>
        <v>0.82713878917401062</v>
      </c>
    </row>
    <row r="161" spans="1:30" ht="15" customHeight="1" x14ac:dyDescent="0.2">
      <c r="F161" s="84"/>
      <c r="G161" s="84"/>
      <c r="H161" s="84"/>
      <c r="I161" s="84"/>
      <c r="J161" s="84"/>
      <c r="K161" s="84"/>
      <c r="L161" s="84"/>
      <c r="M161" s="84"/>
      <c r="P161" s="84"/>
      <c r="Z161" s="111">
        <f t="shared" si="28"/>
        <v>0.97954348115572076</v>
      </c>
      <c r="AB161" s="111">
        <f t="shared" si="29"/>
        <v>0.86746033370592757</v>
      </c>
      <c r="AD161" s="111">
        <f t="shared" ref="AD161:AD169" si="30">AB150/X150</f>
        <v>0.8497151150428075</v>
      </c>
    </row>
    <row r="162" spans="1:30" ht="15" customHeight="1" x14ac:dyDescent="0.2">
      <c r="A162" s="169" t="s">
        <v>162</v>
      </c>
      <c r="B162" s="143" t="s">
        <v>163</v>
      </c>
      <c r="Z162" s="111">
        <f t="shared" si="28"/>
        <v>1.002373702528786</v>
      </c>
      <c r="AB162" s="111">
        <f t="shared" si="29"/>
        <v>0.8550182576551677</v>
      </c>
      <c r="AD162" s="111">
        <f t="shared" si="30"/>
        <v>0.85704781665552199</v>
      </c>
    </row>
    <row r="163" spans="1:30" ht="15" customHeight="1" x14ac:dyDescent="0.2">
      <c r="B163" s="169" t="s">
        <v>164</v>
      </c>
      <c r="Z163" s="111">
        <f t="shared" si="28"/>
        <v>1.0213736994678868</v>
      </c>
      <c r="AB163" s="111">
        <f t="shared" si="29"/>
        <v>0.8412798102731841</v>
      </c>
      <c r="AD163" s="111">
        <f t="shared" si="30"/>
        <v>0.85926107210636393</v>
      </c>
    </row>
    <row r="164" spans="1:30" ht="15" customHeight="1" x14ac:dyDescent="0.2">
      <c r="Z164" s="111">
        <f t="shared" si="28"/>
        <v>1.0384637649065713</v>
      </c>
      <c r="AB164" s="111">
        <f t="shared" si="29"/>
        <v>0.8284389387315434</v>
      </c>
      <c r="AD164" s="111">
        <f t="shared" si="30"/>
        <v>0.86030381931036282</v>
      </c>
    </row>
    <row r="165" spans="1:30" ht="15" customHeight="1" x14ac:dyDescent="0.2">
      <c r="B165" s="169"/>
      <c r="F165" s="1"/>
      <c r="Z165" s="111">
        <f t="shared" si="28"/>
        <v>1.0696728577440384</v>
      </c>
      <c r="AB165" s="111">
        <f t="shared" si="29"/>
        <v>0.83513248088072545</v>
      </c>
      <c r="AD165" s="111">
        <f t="shared" si="30"/>
        <v>0.8933185474185541</v>
      </c>
    </row>
    <row r="166" spans="1:30" ht="15" customHeight="1" x14ac:dyDescent="0.2">
      <c r="B166" s="143"/>
      <c r="J166" s="143" t="s">
        <v>165</v>
      </c>
      <c r="Z166" s="111">
        <f t="shared" si="28"/>
        <v>1.0832334281367113</v>
      </c>
      <c r="AB166" s="111">
        <f t="shared" si="29"/>
        <v>0.84369039937591261</v>
      </c>
      <c r="AD166" s="111">
        <f t="shared" si="30"/>
        <v>0.91391364360200089</v>
      </c>
    </row>
    <row r="167" spans="1:30" ht="15" customHeight="1" thickBot="1" x14ac:dyDescent="0.25">
      <c r="B167" s="169"/>
      <c r="H167" s="386" t="s">
        <v>166</v>
      </c>
      <c r="Z167" s="111">
        <f t="shared" si="28"/>
        <v>1.097520606927342</v>
      </c>
      <c r="AB167" s="111">
        <f t="shared" si="29"/>
        <v>0.84086839828012727</v>
      </c>
      <c r="AD167" s="111">
        <f t="shared" si="30"/>
        <v>0.92287039482642719</v>
      </c>
    </row>
    <row r="168" spans="1:30" ht="15" customHeight="1" x14ac:dyDescent="0.2">
      <c r="F168" s="196" t="s">
        <v>133</v>
      </c>
      <c r="L168" s="243" t="s">
        <v>167</v>
      </c>
      <c r="P168" s="220"/>
      <c r="Z168" s="111">
        <f t="shared" si="28"/>
        <v>1.1013879617343176</v>
      </c>
      <c r="AB168" s="111">
        <f t="shared" si="29"/>
        <v>0.8431503020943002</v>
      </c>
      <c r="AD168" s="111">
        <f t="shared" si="30"/>
        <v>0.9286355926593155</v>
      </c>
    </row>
    <row r="169" spans="1:30" ht="15" customHeight="1" x14ac:dyDescent="0.2">
      <c r="F169" s="196" t="s">
        <v>110</v>
      </c>
      <c r="H169" s="252" t="s">
        <v>110</v>
      </c>
      <c r="L169" s="144">
        <v>1</v>
      </c>
      <c r="M169" s="109" t="s">
        <v>24</v>
      </c>
      <c r="N169" s="203" t="s">
        <v>104</v>
      </c>
      <c r="O169" s="109" t="s">
        <v>110</v>
      </c>
      <c r="P169" s="221" t="s">
        <v>129</v>
      </c>
      <c r="S169" s="253" t="s">
        <v>174</v>
      </c>
      <c r="Z169" s="111">
        <f t="shared" si="28"/>
        <v>1.0927894646462366</v>
      </c>
      <c r="AB169" s="111">
        <f t="shared" si="29"/>
        <v>0.85222309587563472</v>
      </c>
      <c r="AD169" s="111">
        <f t="shared" si="30"/>
        <v>0.9313004207010932</v>
      </c>
    </row>
    <row r="170" spans="1:30" ht="15" customHeight="1" x14ac:dyDescent="0.2">
      <c r="B170" s="348">
        <f>D149</f>
        <v>2.46</v>
      </c>
      <c r="C170" s="157" t="s">
        <v>6</v>
      </c>
      <c r="D170" s="22"/>
      <c r="E170" s="5" t="s">
        <v>2</v>
      </c>
      <c r="F170" s="196" t="s">
        <v>149</v>
      </c>
      <c r="G170" s="55" t="s">
        <v>37</v>
      </c>
      <c r="H170" s="6" t="s">
        <v>68</v>
      </c>
      <c r="J170" s="72" t="s">
        <v>137</v>
      </c>
      <c r="K170" s="5" t="s">
        <v>2</v>
      </c>
      <c r="L170" s="6" t="s">
        <v>68</v>
      </c>
      <c r="M170" s="38" t="s">
        <v>25</v>
      </c>
      <c r="N170" s="204" t="s">
        <v>138</v>
      </c>
      <c r="O170" s="38" t="s">
        <v>33</v>
      </c>
      <c r="P170" s="221" t="s">
        <v>113</v>
      </c>
      <c r="Q170" s="244" t="s">
        <v>173</v>
      </c>
      <c r="R170" s="244" t="s">
        <v>136</v>
      </c>
      <c r="S170" s="251" t="s">
        <v>105</v>
      </c>
    </row>
    <row r="171" spans="1:30" ht="15" customHeight="1" x14ac:dyDescent="0.2">
      <c r="B171" s="349">
        <f t="shared" ref="B171:B172" si="31">D150</f>
        <v>5</v>
      </c>
      <c r="C171" s="1" t="s">
        <v>0</v>
      </c>
      <c r="D171" s="39"/>
      <c r="E171" s="150">
        <v>1</v>
      </c>
      <c r="F171" s="117">
        <f>F129</f>
        <v>22.508728323243179</v>
      </c>
      <c r="G171" s="101">
        <f>F171/E171</f>
        <v>22.508728323243179</v>
      </c>
      <c r="H171" s="142">
        <f t="shared" ref="H171:H180" si="32">SQRT(12*32.2*G171^2/(4*$B$172*($B$171*56)*$B$170^2))</f>
        <v>0.58292936970756293</v>
      </c>
      <c r="J171" s="142">
        <v>0.58292915415283098</v>
      </c>
      <c r="K171" s="150">
        <v>1</v>
      </c>
      <c r="L171" s="142">
        <f>J171*$L$169</f>
        <v>0.58292915415283098</v>
      </c>
      <c r="M171" s="14">
        <f>(B171*2.20462*25.4*12)</f>
        <v>3359.8408799999997</v>
      </c>
      <c r="N171" s="153">
        <f t="shared" ref="N171:N180" si="33">L171*B$170*SQRT(4*B$172*M$171/32.2)/12</f>
        <v>22.508187019355532</v>
      </c>
      <c r="O171" s="153">
        <f>K171*N171</f>
        <v>22.508187019355532</v>
      </c>
      <c r="P171" s="216">
        <f t="shared" ref="P171:P180" si="34">M101</f>
        <v>1.013950143939307</v>
      </c>
      <c r="Q171" s="122">
        <f>P171*O171</f>
        <v>22.822179468088382</v>
      </c>
      <c r="R171" s="122">
        <f>Q171-O171</f>
        <v>0.3139924487328507</v>
      </c>
      <c r="S171" s="248">
        <f>R171/Q171</f>
        <v>1.3758214861639204E-2</v>
      </c>
    </row>
    <row r="172" spans="1:30" ht="15" customHeight="1" x14ac:dyDescent="0.2">
      <c r="B172" s="350">
        <f t="shared" si="31"/>
        <v>85</v>
      </c>
      <c r="C172" s="156" t="s">
        <v>1</v>
      </c>
      <c r="D172" s="31"/>
      <c r="E172" s="149">
        <v>2</v>
      </c>
      <c r="F172" s="116">
        <f t="shared" ref="F172:F180" si="35">F130</f>
        <v>44.221444696150471</v>
      </c>
      <c r="G172" s="100">
        <f t="shared" ref="G172:G180" si="36">F172/E172</f>
        <v>22.110722348075235</v>
      </c>
      <c r="H172" s="141">
        <f t="shared" si="32"/>
        <v>0.57262184060540067</v>
      </c>
      <c r="J172" s="141">
        <v>0.57262126183661255</v>
      </c>
      <c r="K172" s="149">
        <v>2</v>
      </c>
      <c r="L172" s="141">
        <f t="shared" ref="L172:L180" si="37">J172*$L$169</f>
        <v>0.57262126183661255</v>
      </c>
      <c r="N172" s="152">
        <f t="shared" si="33"/>
        <v>22.110176444012112</v>
      </c>
      <c r="O172" s="152">
        <f t="shared" ref="O172:O180" si="38">K172*N172</f>
        <v>44.220352888024223</v>
      </c>
      <c r="P172" s="216">
        <f t="shared" si="34"/>
        <v>1.0309352172774917</v>
      </c>
      <c r="Q172" s="121">
        <f t="shared" ref="Q172:Q180" si="39">P172*O172</f>
        <v>45.588319112702614</v>
      </c>
      <c r="R172" s="121">
        <f t="shared" ref="R172:R180" si="40">Q172-O172</f>
        <v>1.3679662246783906</v>
      </c>
      <c r="S172" s="249">
        <f t="shared" ref="S172:S180" si="41">R172/Q172</f>
        <v>3.0006945886654195E-2</v>
      </c>
    </row>
    <row r="173" spans="1:30" ht="15" customHeight="1" x14ac:dyDescent="0.2">
      <c r="E173" s="148">
        <v>3</v>
      </c>
      <c r="F173" s="105">
        <f t="shared" si="35"/>
        <v>62.373428262465353</v>
      </c>
      <c r="G173" s="99">
        <f t="shared" si="36"/>
        <v>20.791142754155118</v>
      </c>
      <c r="H173" s="140">
        <f t="shared" si="32"/>
        <v>0.53844746656186593</v>
      </c>
      <c r="J173" s="140">
        <v>0.53844635931794094</v>
      </c>
      <c r="K173" s="148">
        <v>3</v>
      </c>
      <c r="L173" s="140">
        <f t="shared" si="37"/>
        <v>0.53844635931794094</v>
      </c>
      <c r="N173" s="151">
        <f t="shared" si="33"/>
        <v>20.790607690624913</v>
      </c>
      <c r="O173" s="151">
        <f>K173*N173</f>
        <v>62.371823071874744</v>
      </c>
      <c r="P173" s="216">
        <f t="shared" si="34"/>
        <v>1.0476805601815811</v>
      </c>
      <c r="Q173" s="120">
        <f t="shared" si="39"/>
        <v>65.345746535488189</v>
      </c>
      <c r="R173" s="120">
        <f>Q173-O173</f>
        <v>2.9739234636134455</v>
      </c>
      <c r="S173" s="250">
        <f t="shared" si="41"/>
        <v>4.5510589767282818E-2</v>
      </c>
    </row>
    <row r="174" spans="1:30" ht="15" customHeight="1" x14ac:dyDescent="0.2">
      <c r="E174" s="148">
        <v>4</v>
      </c>
      <c r="F174" s="105">
        <f t="shared" si="35"/>
        <v>77.690518663519896</v>
      </c>
      <c r="G174" s="99">
        <f t="shared" si="36"/>
        <v>19.422629665879974</v>
      </c>
      <c r="H174" s="140">
        <f t="shared" si="32"/>
        <v>0.50300581652599952</v>
      </c>
      <c r="J174" s="140">
        <v>0.50300401232422853</v>
      </c>
      <c r="K174" s="148">
        <v>4</v>
      </c>
      <c r="L174" s="140">
        <f t="shared" si="37"/>
        <v>0.50300401232422853</v>
      </c>
      <c r="N174" s="151">
        <f t="shared" si="33"/>
        <v>19.422100096080722</v>
      </c>
      <c r="O174" s="151">
        <f t="shared" si="38"/>
        <v>77.68840038432289</v>
      </c>
      <c r="P174" s="216">
        <f t="shared" si="34"/>
        <v>1.0650529831302715</v>
      </c>
      <c r="Q174" s="120">
        <f t="shared" si="39"/>
        <v>82.742262583942022</v>
      </c>
      <c r="R174" s="120">
        <f t="shared" si="40"/>
        <v>5.0538621996191324</v>
      </c>
      <c r="S174" s="250">
        <f t="shared" si="41"/>
        <v>6.1079574594566949E-2</v>
      </c>
    </row>
    <row r="175" spans="1:30" ht="15" customHeight="1" x14ac:dyDescent="0.2">
      <c r="E175" s="149">
        <v>5</v>
      </c>
      <c r="F175" s="116">
        <f t="shared" si="35"/>
        <v>90.898555540646157</v>
      </c>
      <c r="G175" s="100">
        <f t="shared" si="36"/>
        <v>18.179711108129233</v>
      </c>
      <c r="H175" s="141">
        <f t="shared" si="32"/>
        <v>0.47081680428760936</v>
      </c>
      <c r="J175" s="141">
        <v>0.47081413400095773</v>
      </c>
      <c r="K175" s="149">
        <v>5</v>
      </c>
      <c r="L175" s="141">
        <f t="shared" si="37"/>
        <v>0.47081413400095773</v>
      </c>
      <c r="N175" s="152">
        <f t="shared" si="33"/>
        <v>18.179177527756881</v>
      </c>
      <c r="O175" s="152">
        <f t="shared" si="38"/>
        <v>90.895887638784401</v>
      </c>
      <c r="P175" s="216">
        <f t="shared" si="34"/>
        <v>1.0804963286432878</v>
      </c>
      <c r="Q175" s="121">
        <f t="shared" si="39"/>
        <v>98.212672882479353</v>
      </c>
      <c r="R175" s="121">
        <f t="shared" si="40"/>
        <v>7.3167852436949516</v>
      </c>
      <c r="S175" s="249">
        <f t="shared" si="41"/>
        <v>7.4499400423101908E-2</v>
      </c>
    </row>
    <row r="176" spans="1:30" ht="15" customHeight="1" x14ac:dyDescent="0.2">
      <c r="E176" s="148">
        <v>10</v>
      </c>
      <c r="F176" s="105">
        <f t="shared" si="35"/>
        <v>150.71151939984463</v>
      </c>
      <c r="G176" s="99">
        <f t="shared" si="36"/>
        <v>15.071151939984464</v>
      </c>
      <c r="H176" s="140">
        <f t="shared" si="32"/>
        <v>0.39031157047064163</v>
      </c>
      <c r="J176" s="140">
        <v>0.38949300334398668</v>
      </c>
      <c r="K176" s="154">
        <v>10</v>
      </c>
      <c r="L176" s="140">
        <f t="shared" si="37"/>
        <v>0.38949300334398668</v>
      </c>
      <c r="M176" s="84"/>
      <c r="N176" s="155">
        <f t="shared" si="33"/>
        <v>15.039188380855057</v>
      </c>
      <c r="O176" s="155">
        <f t="shared" si="38"/>
        <v>150.39188380855057</v>
      </c>
      <c r="P176" s="216">
        <f t="shared" si="34"/>
        <v>1.1202761412809346</v>
      </c>
      <c r="Q176" s="120">
        <f t="shared" si="39"/>
        <v>168.4804392730137</v>
      </c>
      <c r="R176" s="120">
        <f t="shared" si="40"/>
        <v>18.088555464463127</v>
      </c>
      <c r="S176" s="250">
        <f t="shared" si="41"/>
        <v>0.10736294101864</v>
      </c>
    </row>
    <row r="177" spans="2:19" ht="15" customHeight="1" x14ac:dyDescent="0.2">
      <c r="E177" s="148">
        <v>20</v>
      </c>
      <c r="F177" s="105">
        <f t="shared" si="35"/>
        <v>252.13714285714292</v>
      </c>
      <c r="G177" s="99">
        <f t="shared" si="36"/>
        <v>12.606857142857146</v>
      </c>
      <c r="H177" s="140">
        <f t="shared" si="32"/>
        <v>0.32649144735068414</v>
      </c>
      <c r="J177" s="140">
        <v>0.32692045573621309</v>
      </c>
      <c r="K177" s="148">
        <v>20</v>
      </c>
      <c r="L177" s="140">
        <f t="shared" si="37"/>
        <v>0.32692045573621309</v>
      </c>
      <c r="N177" s="151">
        <f t="shared" si="33"/>
        <v>12.62312359184976</v>
      </c>
      <c r="O177" s="151">
        <f t="shared" si="38"/>
        <v>252.46247183699521</v>
      </c>
      <c r="P177" s="216">
        <f t="shared" si="34"/>
        <v>1.1496526833469314</v>
      </c>
      <c r="Q177" s="120">
        <f t="shared" si="39"/>
        <v>290.24415819180064</v>
      </c>
      <c r="R177" s="120">
        <f t="shared" si="40"/>
        <v>37.78168635480543</v>
      </c>
      <c r="S177" s="250">
        <f t="shared" si="41"/>
        <v>0.13017208198153757</v>
      </c>
    </row>
    <row r="178" spans="2:19" ht="15" customHeight="1" x14ac:dyDescent="0.2">
      <c r="E178" s="148">
        <v>30</v>
      </c>
      <c r="F178" s="105">
        <f t="shared" si="35"/>
        <v>340.1942857142858</v>
      </c>
      <c r="G178" s="99">
        <f t="shared" si="36"/>
        <v>11.339809523809526</v>
      </c>
      <c r="H178" s="140">
        <f t="shared" si="32"/>
        <v>0.29367754247991462</v>
      </c>
      <c r="J178" s="140">
        <v>0.29375814052384225</v>
      </c>
      <c r="K178" s="148">
        <v>30</v>
      </c>
      <c r="L178" s="140">
        <f t="shared" si="37"/>
        <v>0.29375814052384225</v>
      </c>
      <c r="N178" s="151">
        <f t="shared" si="33"/>
        <v>11.342653079305853</v>
      </c>
      <c r="O178" s="151">
        <f t="shared" si="38"/>
        <v>340.2795923791756</v>
      </c>
      <c r="P178" s="216">
        <f t="shared" si="34"/>
        <v>1.1494998656230053</v>
      </c>
      <c r="Q178" s="120">
        <f t="shared" si="39"/>
        <v>391.15134571411335</v>
      </c>
      <c r="R178" s="120">
        <f t="shared" si="40"/>
        <v>50.87175333493775</v>
      </c>
      <c r="S178" s="250">
        <f t="shared" si="41"/>
        <v>0.13005644462775068</v>
      </c>
    </row>
    <row r="179" spans="2:19" ht="15" customHeight="1" x14ac:dyDescent="0.2">
      <c r="E179" s="148">
        <v>40</v>
      </c>
      <c r="F179" s="105">
        <f t="shared" si="35"/>
        <v>420.33714285714279</v>
      </c>
      <c r="G179" s="99">
        <f t="shared" si="36"/>
        <v>10.508428571428571</v>
      </c>
      <c r="H179" s="140">
        <f t="shared" si="32"/>
        <v>0.27214650049484373</v>
      </c>
      <c r="J179" s="140">
        <v>0.27190546017767836</v>
      </c>
      <c r="K179" s="148">
        <v>40</v>
      </c>
      <c r="L179" s="140">
        <f t="shared" si="37"/>
        <v>0.27190546017767836</v>
      </c>
      <c r="N179" s="151">
        <f t="shared" si="33"/>
        <v>10.498872642864178</v>
      </c>
      <c r="O179" s="151">
        <f t="shared" si="38"/>
        <v>419.95490571456713</v>
      </c>
      <c r="P179" s="216">
        <f t="shared" si="34"/>
        <v>1.1493253714705203</v>
      </c>
      <c r="Q179" s="120">
        <f t="shared" si="39"/>
        <v>482.66482801126216</v>
      </c>
      <c r="R179" s="120">
        <f t="shared" si="40"/>
        <v>62.709922296695026</v>
      </c>
      <c r="S179" s="250">
        <f t="shared" si="41"/>
        <v>0.12992436709150848</v>
      </c>
    </row>
    <row r="180" spans="2:19" ht="15" customHeight="1" thickBot="1" x14ac:dyDescent="0.25">
      <c r="E180" s="149">
        <v>50</v>
      </c>
      <c r="F180" s="116">
        <f t="shared" si="35"/>
        <v>498.01571428571424</v>
      </c>
      <c r="G180" s="100">
        <f t="shared" si="36"/>
        <v>9.9603142857142846</v>
      </c>
      <c r="H180" s="141">
        <f t="shared" si="32"/>
        <v>0.25795147754593717</v>
      </c>
      <c r="J180" s="141">
        <v>0.2579019274150065</v>
      </c>
      <c r="K180" s="149">
        <v>50</v>
      </c>
      <c r="L180" s="141">
        <f t="shared" si="37"/>
        <v>0.2579019274150065</v>
      </c>
      <c r="N180" s="152">
        <f t="shared" si="33"/>
        <v>9.9581651964988271</v>
      </c>
      <c r="O180" s="152">
        <f t="shared" si="38"/>
        <v>497.90825982494135</v>
      </c>
      <c r="P180" s="217">
        <f t="shared" si="34"/>
        <v>1.1494250038007978</v>
      </c>
      <c r="Q180" s="121">
        <f t="shared" si="39"/>
        <v>572.30820344173185</v>
      </c>
      <c r="R180" s="121">
        <f t="shared" si="40"/>
        <v>74.399943616790495</v>
      </c>
      <c r="S180" s="249">
        <f t="shared" si="41"/>
        <v>0.12999978537677093</v>
      </c>
    </row>
    <row r="181" spans="2:19" ht="15" customHeight="1" x14ac:dyDescent="0.2">
      <c r="E181" s="402"/>
      <c r="F181" s="403"/>
      <c r="G181" s="402"/>
      <c r="H181" s="404"/>
      <c r="I181" s="84"/>
      <c r="J181" s="404"/>
      <c r="K181" s="402"/>
      <c r="L181" s="404"/>
      <c r="M181" s="84"/>
      <c r="N181" s="403"/>
      <c r="O181" s="403"/>
      <c r="P181" s="405"/>
      <c r="Q181" s="403"/>
      <c r="R181" s="403"/>
      <c r="S181" s="406"/>
    </row>
    <row r="182" spans="2:19" ht="15" customHeight="1" x14ac:dyDescent="0.2">
      <c r="E182" s="402"/>
      <c r="F182" s="403"/>
      <c r="G182" s="402"/>
      <c r="H182" s="404"/>
      <c r="I182" s="84"/>
      <c r="J182" s="404"/>
      <c r="K182" s="402"/>
      <c r="L182" s="404"/>
      <c r="M182" s="84"/>
      <c r="N182" s="403"/>
      <c r="O182" s="403"/>
      <c r="P182" s="405"/>
      <c r="Q182" s="403"/>
      <c r="R182" s="390" t="s">
        <v>130</v>
      </c>
      <c r="S182" s="406"/>
    </row>
    <row r="183" spans="2:19" ht="15" customHeight="1" x14ac:dyDescent="0.2">
      <c r="E183" s="402"/>
      <c r="F183" s="403"/>
      <c r="G183" s="402"/>
      <c r="H183" s="404"/>
      <c r="I183" s="84"/>
      <c r="J183" s="404"/>
      <c r="K183" s="402"/>
      <c r="L183" s="404"/>
      <c r="M183" s="84"/>
      <c r="N183" s="403"/>
      <c r="O183" s="403"/>
      <c r="P183" s="405"/>
      <c r="Q183" s="403"/>
      <c r="R183" s="407">
        <f t="shared" ref="R183:R192" si="42">G101</f>
        <v>0.314</v>
      </c>
      <c r="S183" s="406"/>
    </row>
    <row r="184" spans="2:19" ht="15" customHeight="1" x14ac:dyDescent="0.2">
      <c r="E184" s="402"/>
      <c r="F184" s="403"/>
      <c r="G184" s="402"/>
      <c r="H184" s="404"/>
      <c r="I184" s="84"/>
      <c r="J184" s="404"/>
      <c r="K184" s="402"/>
      <c r="L184" s="404"/>
      <c r="M184" s="84"/>
      <c r="N184" s="403"/>
      <c r="O184" s="403"/>
      <c r="P184" s="405"/>
      <c r="Q184" s="403"/>
      <c r="R184" s="121">
        <f t="shared" si="42"/>
        <v>1.3680000000000001</v>
      </c>
      <c r="S184" s="406"/>
    </row>
    <row r="185" spans="2:19" ht="15" customHeight="1" x14ac:dyDescent="0.2">
      <c r="E185" s="402"/>
      <c r="F185" s="403"/>
      <c r="G185" s="402"/>
      <c r="H185" s="404"/>
      <c r="I185" s="84"/>
      <c r="J185" s="404"/>
      <c r="K185" s="402"/>
      <c r="L185" s="404"/>
      <c r="M185" s="84"/>
      <c r="N185" s="403"/>
      <c r="O185" s="403"/>
      <c r="P185" s="405"/>
      <c r="Q185" s="403"/>
      <c r="R185" s="120">
        <f t="shared" si="42"/>
        <v>2.9740000000000002</v>
      </c>
      <c r="S185" s="406"/>
    </row>
    <row r="186" spans="2:19" ht="15" customHeight="1" x14ac:dyDescent="0.2">
      <c r="E186" s="402"/>
      <c r="F186" s="403"/>
      <c r="G186" s="402"/>
      <c r="H186" s="404"/>
      <c r="I186" s="84"/>
      <c r="J186" s="404"/>
      <c r="K186" s="402"/>
      <c r="L186" s="404"/>
      <c r="M186" s="84"/>
      <c r="N186" s="403"/>
      <c r="O186" s="403"/>
      <c r="P186" s="405"/>
      <c r="Q186" s="403"/>
      <c r="R186" s="120">
        <f t="shared" si="42"/>
        <v>5.0540000000000003</v>
      </c>
      <c r="S186" s="406"/>
    </row>
    <row r="187" spans="2:19" ht="15" customHeight="1" x14ac:dyDescent="0.2">
      <c r="R187" s="121">
        <f t="shared" si="42"/>
        <v>7.3170000000000002</v>
      </c>
    </row>
    <row r="188" spans="2:19" ht="15" customHeight="1" x14ac:dyDescent="0.2">
      <c r="R188" s="120">
        <f t="shared" si="42"/>
        <v>18.126999999999999</v>
      </c>
    </row>
    <row r="189" spans="2:19" ht="15" customHeight="1" x14ac:dyDescent="0.2">
      <c r="R189" s="120">
        <f t="shared" si="42"/>
        <v>37.732999999999997</v>
      </c>
    </row>
    <row r="190" spans="2:19" ht="15" customHeight="1" x14ac:dyDescent="0.2">
      <c r="R190" s="120">
        <f t="shared" si="42"/>
        <v>50.859000000000002</v>
      </c>
    </row>
    <row r="191" spans="2:19" ht="15" customHeight="1" x14ac:dyDescent="0.2">
      <c r="F191" s="84"/>
      <c r="G191" s="84"/>
      <c r="H191" s="84"/>
      <c r="I191" s="84"/>
      <c r="J191" s="84"/>
      <c r="K191" s="84"/>
      <c r="L191" s="84"/>
      <c r="M191" s="84"/>
      <c r="N191" s="84"/>
      <c r="O191" s="84"/>
      <c r="P191" s="84"/>
      <c r="R191" s="120">
        <f t="shared" si="42"/>
        <v>62.767000000000003</v>
      </c>
    </row>
    <row r="192" spans="2:19" ht="15" customHeight="1" x14ac:dyDescent="0.2">
      <c r="B192" s="169"/>
      <c r="R192" s="121">
        <f t="shared" si="42"/>
        <v>74.415999999999997</v>
      </c>
    </row>
    <row r="193" spans="1:17" ht="15" customHeight="1" x14ac:dyDescent="0.2">
      <c r="A193" s="169" t="s">
        <v>172</v>
      </c>
      <c r="B193" s="143" t="s">
        <v>255</v>
      </c>
    </row>
    <row r="194" spans="1:17" ht="15" customHeight="1" x14ac:dyDescent="0.2"/>
    <row r="195" spans="1:17" ht="15" customHeight="1" x14ac:dyDescent="0.2">
      <c r="B195" s="169"/>
    </row>
    <row r="196" spans="1:17" ht="15" customHeight="1" x14ac:dyDescent="0.2">
      <c r="B196" s="143"/>
      <c r="J196" s="143" t="s">
        <v>165</v>
      </c>
    </row>
    <row r="197" spans="1:17" ht="15" customHeight="1" x14ac:dyDescent="0.2">
      <c r="B197" s="169"/>
      <c r="H197" s="386" t="s">
        <v>166</v>
      </c>
    </row>
    <row r="198" spans="1:17" ht="15" customHeight="1" x14ac:dyDescent="0.2">
      <c r="F198" s="196" t="s">
        <v>133</v>
      </c>
      <c r="L198" s="243" t="s">
        <v>167</v>
      </c>
    </row>
    <row r="199" spans="1:17" ht="15" customHeight="1" x14ac:dyDescent="0.2">
      <c r="F199" s="196" t="s">
        <v>112</v>
      </c>
      <c r="H199" s="252" t="s">
        <v>110</v>
      </c>
      <c r="L199" s="144">
        <v>1</v>
      </c>
      <c r="M199" s="109" t="s">
        <v>24</v>
      </c>
      <c r="N199" s="203" t="s">
        <v>104</v>
      </c>
      <c r="O199" s="260" t="s">
        <v>112</v>
      </c>
    </row>
    <row r="200" spans="1:17" ht="15" customHeight="1" x14ac:dyDescent="0.2">
      <c r="B200" s="348">
        <f>D149</f>
        <v>2.46</v>
      </c>
      <c r="C200" s="157" t="s">
        <v>6</v>
      </c>
      <c r="D200" s="22"/>
      <c r="E200" s="5" t="s">
        <v>2</v>
      </c>
      <c r="F200" s="196" t="s">
        <v>149</v>
      </c>
      <c r="G200" s="55" t="s">
        <v>37</v>
      </c>
      <c r="H200" s="6" t="s">
        <v>68</v>
      </c>
      <c r="J200" s="72" t="s">
        <v>137</v>
      </c>
      <c r="K200" s="5" t="s">
        <v>2</v>
      </c>
      <c r="L200" s="6" t="s">
        <v>68</v>
      </c>
      <c r="M200" s="38" t="s">
        <v>25</v>
      </c>
      <c r="N200" s="204" t="s">
        <v>138</v>
      </c>
      <c r="O200" s="38" t="s">
        <v>33</v>
      </c>
      <c r="Q200" s="390" t="s">
        <v>130</v>
      </c>
    </row>
    <row r="201" spans="1:17" ht="15" customHeight="1" x14ac:dyDescent="0.2">
      <c r="B201" s="349">
        <f>D150</f>
        <v>5</v>
      </c>
      <c r="C201" s="1" t="s">
        <v>0</v>
      </c>
      <c r="D201" s="39"/>
      <c r="E201" s="150">
        <v>1</v>
      </c>
      <c r="F201" s="245">
        <f t="shared" ref="F201:F210" si="43">G129</f>
        <v>0.314</v>
      </c>
      <c r="G201" s="104">
        <f>F201/E201</f>
        <v>0.314</v>
      </c>
      <c r="H201" s="257">
        <f>SQRT(12*32.2*G201^2/(4*$B$202*($B$201*56)*$B$200^2))</f>
        <v>8.1319486138700433E-3</v>
      </c>
      <c r="J201" s="257">
        <v>8.1319486138700433E-3</v>
      </c>
      <c r="K201" s="150">
        <v>1</v>
      </c>
      <c r="L201" s="257">
        <f>J201*$L$199</f>
        <v>8.1319486138700433E-3</v>
      </c>
      <c r="M201" s="14">
        <f>(B201*2.20462*25.4*12)</f>
        <v>3359.8408799999997</v>
      </c>
      <c r="N201" s="153">
        <f>L201*B$200*SQRT(4*B$202*M$201/32.2)/12</f>
        <v>0.31399256484054344</v>
      </c>
      <c r="O201" s="297">
        <f>K201*N201</f>
        <v>0.31399256484054344</v>
      </c>
      <c r="Q201" s="297">
        <f t="shared" ref="Q201:Q210" si="44">G101</f>
        <v>0.314</v>
      </c>
    </row>
    <row r="202" spans="1:17" ht="15" customHeight="1" x14ac:dyDescent="0.2">
      <c r="B202" s="350">
        <f>D151</f>
        <v>85</v>
      </c>
      <c r="C202" s="156" t="s">
        <v>1</v>
      </c>
      <c r="D202" s="31"/>
      <c r="E202" s="149">
        <v>2</v>
      </c>
      <c r="F202" s="246">
        <f t="shared" si="43"/>
        <v>1.3680000000000001</v>
      </c>
      <c r="G202" s="103">
        <f t="shared" ref="G202:G210" si="45">F202/E202</f>
        <v>0.68400000000000005</v>
      </c>
      <c r="H202" s="258">
        <f t="shared" ref="H202:H210" si="46">SQRT(12*32.2*G202^2/(4*$B$202*($B$201*56)*$B$200^2))</f>
        <v>1.7714181056965317E-2</v>
      </c>
      <c r="J202" s="258">
        <v>1.7714181056965317E-2</v>
      </c>
      <c r="K202" s="149">
        <v>2</v>
      </c>
      <c r="L202" s="258">
        <f t="shared" ref="L202:L210" si="47">J202*$L$199</f>
        <v>1.7714181056965317E-2</v>
      </c>
      <c r="N202" s="152">
        <f t="shared" ref="N202:N210" si="48">L202*B$200*SQRT(4*B$202*M$201/32.2)/12</f>
        <v>0.68398380366538758</v>
      </c>
      <c r="O202" s="298">
        <f t="shared" ref="O202" si="49">K202*N202</f>
        <v>1.3679676073307752</v>
      </c>
      <c r="Q202" s="298">
        <f t="shared" si="44"/>
        <v>1.3680000000000001</v>
      </c>
    </row>
    <row r="203" spans="1:17" ht="15" customHeight="1" x14ac:dyDescent="0.2">
      <c r="E203" s="148">
        <v>3</v>
      </c>
      <c r="F203" s="247">
        <f t="shared" si="43"/>
        <v>2.9740000000000002</v>
      </c>
      <c r="G203" s="102">
        <f t="shared" si="45"/>
        <v>0.9913333333333334</v>
      </c>
      <c r="H203" s="259">
        <f t="shared" si="46"/>
        <v>2.5673476834022834E-2</v>
      </c>
      <c r="J203" s="259">
        <v>2.5673476834022834E-2</v>
      </c>
      <c r="K203" s="148">
        <v>3</v>
      </c>
      <c r="L203" s="259">
        <f t="shared" si="47"/>
        <v>2.5673476834022834E-2</v>
      </c>
      <c r="N203" s="151">
        <f t="shared" si="48"/>
        <v>0.99130985969827623</v>
      </c>
      <c r="O203" s="299">
        <f>K203*N203</f>
        <v>2.9739295790948286</v>
      </c>
      <c r="Q203" s="299">
        <f t="shared" si="44"/>
        <v>2.9740000000000002</v>
      </c>
    </row>
    <row r="204" spans="1:17" ht="15" customHeight="1" x14ac:dyDescent="0.2">
      <c r="E204" s="148">
        <v>4</v>
      </c>
      <c r="F204" s="247">
        <f t="shared" si="43"/>
        <v>5.0540000000000003</v>
      </c>
      <c r="G204" s="102">
        <f t="shared" si="45"/>
        <v>1.2635000000000001</v>
      </c>
      <c r="H204" s="259">
        <f t="shared" si="46"/>
        <v>3.2722028896894267E-2</v>
      </c>
      <c r="J204" s="259">
        <v>3.2722028896894267E-2</v>
      </c>
      <c r="K204" s="148">
        <v>4</v>
      </c>
      <c r="L204" s="259">
        <f t="shared" si="47"/>
        <v>3.2722028896894267E-2</v>
      </c>
      <c r="N204" s="151">
        <f t="shared" si="48"/>
        <v>1.2634700817707856</v>
      </c>
      <c r="O204" s="299">
        <f t="shared" ref="O204:O210" si="50">K204*N204</f>
        <v>5.0538803270831423</v>
      </c>
      <c r="Q204" s="299">
        <f t="shared" si="44"/>
        <v>5.0540000000000003</v>
      </c>
    </row>
    <row r="205" spans="1:17" ht="15" customHeight="1" x14ac:dyDescent="0.2">
      <c r="E205" s="149">
        <v>5</v>
      </c>
      <c r="F205" s="246">
        <f t="shared" si="43"/>
        <v>7.3170000000000002</v>
      </c>
      <c r="G205" s="103">
        <f t="shared" si="45"/>
        <v>1.4634</v>
      </c>
      <c r="H205" s="258">
        <f t="shared" si="46"/>
        <v>3.7899024208717901E-2</v>
      </c>
      <c r="J205" s="258">
        <v>3.7899024208717901E-2</v>
      </c>
      <c r="K205" s="149">
        <v>5</v>
      </c>
      <c r="L205" s="258">
        <f t="shared" si="47"/>
        <v>3.7899024208717901E-2</v>
      </c>
      <c r="N205" s="152">
        <f t="shared" si="48"/>
        <v>1.463365348368316</v>
      </c>
      <c r="O205" s="298">
        <f t="shared" si="50"/>
        <v>7.31682674184158</v>
      </c>
      <c r="Q205" s="298">
        <f t="shared" si="44"/>
        <v>7.3170000000000002</v>
      </c>
    </row>
    <row r="206" spans="1:17" ht="15" customHeight="1" x14ac:dyDescent="0.2">
      <c r="E206" s="148">
        <v>10</v>
      </c>
      <c r="F206" s="247">
        <f t="shared" si="43"/>
        <v>18.126999999999999</v>
      </c>
      <c r="G206" s="102">
        <f t="shared" si="45"/>
        <v>1.8127</v>
      </c>
      <c r="H206" s="259">
        <f t="shared" si="46"/>
        <v>4.6945169593510271E-2</v>
      </c>
      <c r="J206" s="259">
        <v>4.6945169593510271E-2</v>
      </c>
      <c r="K206" s="154">
        <v>10</v>
      </c>
      <c r="L206" s="259">
        <f t="shared" si="47"/>
        <v>4.6945169593510271E-2</v>
      </c>
      <c r="M206" s="84"/>
      <c r="N206" s="155">
        <f t="shared" si="48"/>
        <v>1.8126570773453918</v>
      </c>
      <c r="O206" s="300">
        <f t="shared" si="50"/>
        <v>18.126570773453917</v>
      </c>
      <c r="Q206" s="300">
        <f t="shared" si="44"/>
        <v>18.126999999999999</v>
      </c>
    </row>
    <row r="207" spans="1:17" ht="15" customHeight="1" x14ac:dyDescent="0.2">
      <c r="E207" s="148">
        <v>20</v>
      </c>
      <c r="F207" s="247">
        <f t="shared" si="43"/>
        <v>37.732999999999997</v>
      </c>
      <c r="G207" s="102">
        <f t="shared" si="45"/>
        <v>1.8866499999999999</v>
      </c>
      <c r="H207" s="259">
        <f t="shared" si="46"/>
        <v>4.8860321185853234E-2</v>
      </c>
      <c r="J207" s="259">
        <v>4.8860321185853234E-2</v>
      </c>
      <c r="K207" s="148">
        <v>20</v>
      </c>
      <c r="L207" s="259">
        <f t="shared" si="47"/>
        <v>4.8860321185853234E-2</v>
      </c>
      <c r="N207" s="151">
        <f t="shared" si="48"/>
        <v>1.8866053262943032</v>
      </c>
      <c r="O207" s="299">
        <f t="shared" si="50"/>
        <v>37.732106525886067</v>
      </c>
      <c r="Q207" s="299">
        <f t="shared" si="44"/>
        <v>37.732999999999997</v>
      </c>
    </row>
    <row r="208" spans="1:17" ht="15" customHeight="1" x14ac:dyDescent="0.2">
      <c r="E208" s="148">
        <v>30</v>
      </c>
      <c r="F208" s="247">
        <f t="shared" si="43"/>
        <v>50.859000000000002</v>
      </c>
      <c r="G208" s="102">
        <f t="shared" si="45"/>
        <v>1.6953</v>
      </c>
      <c r="H208" s="259">
        <f t="shared" si="46"/>
        <v>4.3904753137241667E-2</v>
      </c>
      <c r="J208" s="259">
        <v>4.3904753137241667E-2</v>
      </c>
      <c r="K208" s="148">
        <v>30</v>
      </c>
      <c r="L208" s="259">
        <f t="shared" si="47"/>
        <v>4.3904753137241667E-2</v>
      </c>
      <c r="N208" s="151">
        <f t="shared" si="48"/>
        <v>1.6952598572425899</v>
      </c>
      <c r="O208" s="299">
        <f t="shared" si="50"/>
        <v>50.857795717277696</v>
      </c>
      <c r="Q208" s="299">
        <f t="shared" si="44"/>
        <v>50.859000000000002</v>
      </c>
    </row>
    <row r="209" spans="1:17" ht="15" customHeight="1" x14ac:dyDescent="0.2">
      <c r="E209" s="148">
        <v>40</v>
      </c>
      <c r="F209" s="247">
        <f t="shared" si="43"/>
        <v>62.767000000000003</v>
      </c>
      <c r="G209" s="102">
        <f t="shared" si="45"/>
        <v>1.569175</v>
      </c>
      <c r="H209" s="259">
        <f t="shared" si="46"/>
        <v>4.0638377280794662E-2</v>
      </c>
      <c r="J209" s="259">
        <v>4.0638377280794662E-2</v>
      </c>
      <c r="K209" s="148">
        <v>40</v>
      </c>
      <c r="L209" s="259">
        <f t="shared" si="47"/>
        <v>4.0638377280794662E-2</v>
      </c>
      <c r="N209" s="151">
        <f t="shared" si="48"/>
        <v>1.5691378437377697</v>
      </c>
      <c r="O209" s="299">
        <f t="shared" si="50"/>
        <v>62.765513749510788</v>
      </c>
      <c r="Q209" s="299">
        <f t="shared" si="44"/>
        <v>62.767000000000003</v>
      </c>
    </row>
    <row r="210" spans="1:17" ht="15" customHeight="1" x14ac:dyDescent="0.2">
      <c r="E210" s="149">
        <v>50</v>
      </c>
      <c r="F210" s="246">
        <f t="shared" si="43"/>
        <v>74.415999999999997</v>
      </c>
      <c r="G210" s="103">
        <f t="shared" si="45"/>
        <v>1.4883199999999999</v>
      </c>
      <c r="H210" s="258">
        <f t="shared" si="46"/>
        <v>3.8544400512723127E-2</v>
      </c>
      <c r="J210" s="258">
        <v>3.8544400512723127E-2</v>
      </c>
      <c r="K210" s="149">
        <v>50</v>
      </c>
      <c r="L210" s="258">
        <f t="shared" si="47"/>
        <v>3.8544400512723127E-2</v>
      </c>
      <c r="N210" s="152">
        <f t="shared" si="48"/>
        <v>1.4882847582913297</v>
      </c>
      <c r="O210" s="298">
        <f t="shared" si="50"/>
        <v>74.414237914566485</v>
      </c>
      <c r="Q210" s="298">
        <f t="shared" si="44"/>
        <v>74.415999999999997</v>
      </c>
    </row>
    <row r="211" spans="1:17" ht="15" customHeight="1" x14ac:dyDescent="0.2"/>
    <row r="212" spans="1:17" ht="15" customHeight="1" x14ac:dyDescent="0.2">
      <c r="O212" s="70"/>
    </row>
    <row r="213" spans="1:17" ht="15" customHeight="1" x14ac:dyDescent="0.2">
      <c r="O213" s="70"/>
    </row>
    <row r="214" spans="1:17" ht="15" customHeight="1" x14ac:dyDescent="0.2">
      <c r="O214" s="70"/>
    </row>
    <row r="215" spans="1:17" ht="15" customHeight="1" x14ac:dyDescent="0.2">
      <c r="O215" s="70"/>
    </row>
    <row r="216" spans="1:17" ht="15" customHeight="1" x14ac:dyDescent="0.2">
      <c r="O216" s="70"/>
    </row>
    <row r="217" spans="1:17" ht="15" customHeight="1" x14ac:dyDescent="0.2">
      <c r="A217" s="108"/>
      <c r="B217" s="21"/>
      <c r="C217" s="21"/>
      <c r="D217" s="21"/>
      <c r="E217" s="21"/>
      <c r="F217" s="21"/>
      <c r="G217" s="21"/>
      <c r="H217" s="21"/>
      <c r="I217" s="21"/>
      <c r="J217" s="21"/>
      <c r="K217" s="21"/>
      <c r="L217" s="21"/>
      <c r="M217" s="21"/>
      <c r="N217" s="21"/>
      <c r="O217" s="351"/>
      <c r="P217" s="22"/>
    </row>
    <row r="218" spans="1:17" ht="15" customHeight="1" x14ac:dyDescent="0.2">
      <c r="A218" s="63"/>
      <c r="B218" s="1"/>
      <c r="C218" s="1"/>
      <c r="D218" s="1"/>
      <c r="E218" s="1"/>
      <c r="F218" s="1"/>
      <c r="G218" s="1"/>
      <c r="H218" s="1"/>
      <c r="I218" s="1"/>
      <c r="J218" s="1"/>
      <c r="K218" s="1"/>
      <c r="L218" s="1"/>
      <c r="M218" s="1"/>
      <c r="N218" s="1"/>
      <c r="O218" s="413" t="s">
        <v>277</v>
      </c>
      <c r="P218" s="378"/>
    </row>
    <row r="219" spans="1:17" ht="15" customHeight="1" x14ac:dyDescent="0.2">
      <c r="A219" s="63"/>
      <c r="B219" s="1"/>
      <c r="C219" s="1"/>
      <c r="D219" s="1"/>
      <c r="E219" s="1"/>
      <c r="F219" s="1"/>
      <c r="G219" s="1"/>
      <c r="H219" s="1"/>
      <c r="I219" s="1"/>
      <c r="J219" s="1"/>
      <c r="K219" s="1"/>
      <c r="L219" s="1"/>
      <c r="M219" s="1"/>
      <c r="N219" s="1"/>
      <c r="O219" s="352"/>
      <c r="P219" s="39"/>
    </row>
    <row r="220" spans="1:17" ht="15" customHeight="1" x14ac:dyDescent="0.2">
      <c r="A220" s="353" t="s">
        <v>175</v>
      </c>
      <c r="B220" s="354" t="s">
        <v>264</v>
      </c>
      <c r="C220" s="1"/>
      <c r="D220" s="1"/>
      <c r="E220" s="1"/>
      <c r="F220" s="1"/>
      <c r="G220" s="1"/>
      <c r="H220" s="1"/>
      <c r="I220" s="1"/>
      <c r="J220" s="1"/>
      <c r="K220" s="355" t="s">
        <v>198</v>
      </c>
      <c r="L220" s="1"/>
      <c r="M220" s="1"/>
      <c r="N220" s="1"/>
      <c r="O220" s="409" t="s">
        <v>199</v>
      </c>
      <c r="P220" s="39"/>
    </row>
    <row r="221" spans="1:17" ht="15" customHeight="1" x14ac:dyDescent="0.2">
      <c r="A221" s="353"/>
      <c r="B221" s="354" t="str">
        <f>B9</f>
        <v xml:space="preserve"> 3075</v>
      </c>
      <c r="C221" s="1"/>
      <c r="D221" s="1"/>
      <c r="E221" s="1"/>
      <c r="F221" s="1"/>
      <c r="G221" s="1"/>
      <c r="H221" s="1"/>
      <c r="I221" s="1"/>
      <c r="J221" s="1"/>
      <c r="K221" s="355"/>
      <c r="L221" s="1"/>
      <c r="M221" s="1"/>
      <c r="N221" s="1"/>
      <c r="O221" s="409"/>
      <c r="P221" s="39"/>
    </row>
    <row r="222" spans="1:17" ht="15" customHeight="1" x14ac:dyDescent="0.2">
      <c r="A222" s="353"/>
      <c r="B222" s="354" t="str">
        <f>B10</f>
        <v xml:space="preserve"> 17 XCF 450</v>
      </c>
      <c r="C222" s="1"/>
      <c r="D222" s="1" t="str">
        <f>B5</f>
        <v xml:space="preserve">  We will use the exact spring rate from the test because a good test should have decent r-zeta and r/c ratio.</v>
      </c>
      <c r="E222" s="1"/>
      <c r="F222" s="1"/>
      <c r="G222" s="1"/>
      <c r="H222" s="1"/>
      <c r="I222" s="1"/>
      <c r="J222" s="1"/>
      <c r="K222" s="355"/>
      <c r="L222" s="1"/>
      <c r="M222" s="1"/>
      <c r="N222" s="1"/>
      <c r="O222" s="409"/>
      <c r="P222" s="39"/>
    </row>
    <row r="223" spans="1:17" ht="15" customHeight="1" x14ac:dyDescent="0.2">
      <c r="A223" s="353"/>
      <c r="B223" s="354" t="str">
        <f>B11</f>
        <v xml:space="preserve"> Mike Kirsch</v>
      </c>
      <c r="C223" s="1"/>
      <c r="D223" s="1" t="str">
        <f>B6</f>
        <v xml:space="preserve">  We are removing calc gas (73c and 69c) and displaying linear gas force (77 lbs and 73 lbs) for 12sxf450-psh and 16sxf250-psh respectively.</v>
      </c>
      <c r="E223" s="1"/>
      <c r="F223" s="1"/>
      <c r="G223" s="1"/>
      <c r="H223" s="1"/>
      <c r="I223" s="1"/>
      <c r="J223" s="1"/>
      <c r="K223" s="355"/>
      <c r="L223" s="1"/>
      <c r="M223" s="1"/>
      <c r="N223" s="1"/>
      <c r="O223" s="409"/>
      <c r="P223" s="39"/>
    </row>
    <row r="224" spans="1:17" ht="15" customHeight="1" x14ac:dyDescent="0.2">
      <c r="A224" s="353"/>
      <c r="B224" s="354" t="str">
        <f>B12</f>
        <v xml:space="preserve"> 12sxf450-psh</v>
      </c>
      <c r="C224" s="1"/>
      <c r="D224" s="1"/>
      <c r="E224" s="1"/>
      <c r="F224" s="1"/>
      <c r="G224" s="1"/>
      <c r="H224" s="1"/>
      <c r="I224" s="1"/>
      <c r="J224" s="1"/>
      <c r="K224" s="355"/>
      <c r="L224" s="1"/>
      <c r="M224" s="1"/>
      <c r="N224" s="1"/>
      <c r="O224" s="409"/>
      <c r="P224" s="39"/>
    </row>
    <row r="225" spans="1:16" ht="15" customHeight="1" x14ac:dyDescent="0.2">
      <c r="A225" s="63"/>
      <c r="B225" s="354" t="str">
        <f>B13</f>
        <v xml:space="preserve"> TRENDLINE</v>
      </c>
      <c r="C225" s="1"/>
      <c r="D225" s="1"/>
      <c r="E225" s="1"/>
      <c r="F225" s="1"/>
      <c r="G225" s="1"/>
      <c r="H225" s="1"/>
      <c r="I225" s="1"/>
      <c r="J225" s="1"/>
      <c r="K225" s="355"/>
      <c r="L225" s="1"/>
      <c r="M225" s="1"/>
      <c r="N225" s="1"/>
      <c r="O225" s="409"/>
      <c r="P225" s="39"/>
    </row>
    <row r="226" spans="1:16" ht="15" customHeight="1" x14ac:dyDescent="0.2">
      <c r="A226" s="63"/>
      <c r="B226" s="354"/>
      <c r="C226" s="1"/>
      <c r="D226" s="1"/>
      <c r="E226" s="1"/>
      <c r="F226" s="1"/>
      <c r="G226" s="1"/>
      <c r="H226" s="1"/>
      <c r="I226" s="1"/>
      <c r="J226" s="1"/>
      <c r="K226" s="1"/>
      <c r="L226" s="1"/>
      <c r="M226" s="1"/>
      <c r="N226" s="1"/>
      <c r="O226" s="1"/>
      <c r="P226" s="39"/>
    </row>
    <row r="227" spans="1:16" ht="15" customHeight="1" x14ac:dyDescent="0.2">
      <c r="A227" s="23"/>
      <c r="B227" s="358" t="s">
        <v>265</v>
      </c>
      <c r="C227" s="354"/>
      <c r="D227" s="1"/>
      <c r="E227" s="1"/>
      <c r="F227" s="1"/>
      <c r="G227" s="1"/>
      <c r="H227" s="1"/>
      <c r="I227" s="1"/>
      <c r="J227" s="1"/>
      <c r="K227" s="1"/>
      <c r="L227" s="1"/>
      <c r="M227" s="1"/>
      <c r="N227" s="1"/>
      <c r="O227" s="1"/>
      <c r="P227" s="39"/>
    </row>
    <row r="228" spans="1:16" ht="15" customHeight="1" x14ac:dyDescent="0.2">
      <c r="A228" s="63"/>
      <c r="B228" s="1"/>
      <c r="C228" s="1"/>
      <c r="D228" s="1"/>
      <c r="E228" s="1"/>
      <c r="F228" s="1"/>
      <c r="G228" s="1"/>
      <c r="H228" s="180" t="str">
        <f>J99</f>
        <v xml:space="preserve"> average</v>
      </c>
      <c r="I228" s="1"/>
      <c r="J228" s="1"/>
      <c r="K228" s="1"/>
      <c r="L228" s="1"/>
      <c r="M228" s="1"/>
      <c r="N228" s="1"/>
      <c r="O228" s="1"/>
      <c r="P228" s="39"/>
    </row>
    <row r="229" spans="1:16" ht="15" customHeight="1" x14ac:dyDescent="0.2">
      <c r="A229" s="379" t="s">
        <v>228</v>
      </c>
      <c r="B229" s="446">
        <f>D150</f>
        <v>5</v>
      </c>
      <c r="C229" s="180" t="s">
        <v>133</v>
      </c>
      <c r="D229" s="168" t="s">
        <v>133</v>
      </c>
      <c r="E229" s="170" t="s">
        <v>133</v>
      </c>
      <c r="F229" s="272" t="s">
        <v>110</v>
      </c>
      <c r="G229" s="278" t="s">
        <v>133</v>
      </c>
      <c r="H229" s="180" t="s">
        <v>124</v>
      </c>
      <c r="I229" s="180" t="s">
        <v>50</v>
      </c>
      <c r="J229" s="180" t="s">
        <v>50</v>
      </c>
      <c r="K229" s="279" t="s">
        <v>124</v>
      </c>
      <c r="L229" s="182" t="s">
        <v>117</v>
      </c>
      <c r="M229" s="182" t="s">
        <v>110</v>
      </c>
      <c r="N229" s="182" t="s">
        <v>112</v>
      </c>
      <c r="O229" s="1"/>
      <c r="P229" s="182" t="s">
        <v>117</v>
      </c>
    </row>
    <row r="230" spans="1:16" ht="15" customHeight="1" x14ac:dyDescent="0.2">
      <c r="A230" s="63"/>
      <c r="B230" s="186"/>
      <c r="C230" s="266" t="s">
        <v>117</v>
      </c>
      <c r="D230" s="264" t="s">
        <v>118</v>
      </c>
      <c r="E230" s="196" t="s">
        <v>109</v>
      </c>
      <c r="F230" s="273" t="s">
        <v>127</v>
      </c>
      <c r="G230" s="183" t="s">
        <v>110</v>
      </c>
      <c r="H230" s="181" t="s">
        <v>112</v>
      </c>
      <c r="I230" s="181" t="s">
        <v>114</v>
      </c>
      <c r="J230" s="181" t="s">
        <v>115</v>
      </c>
      <c r="K230" s="280" t="s">
        <v>105</v>
      </c>
      <c r="L230" s="183" t="s">
        <v>116</v>
      </c>
      <c r="M230" s="183" t="s">
        <v>116</v>
      </c>
      <c r="N230" s="183" t="s">
        <v>116</v>
      </c>
      <c r="O230" s="1"/>
      <c r="P230" s="183" t="s">
        <v>116</v>
      </c>
    </row>
    <row r="231" spans="1:16" ht="15" customHeight="1" x14ac:dyDescent="0.2">
      <c r="A231" s="63"/>
      <c r="B231" s="186" t="s">
        <v>39</v>
      </c>
      <c r="C231" s="267" t="s">
        <v>130</v>
      </c>
      <c r="D231" s="265" t="s">
        <v>130</v>
      </c>
      <c r="E231" s="192" t="s">
        <v>130</v>
      </c>
      <c r="F231" s="274" t="s">
        <v>131</v>
      </c>
      <c r="G231" s="267" t="s">
        <v>130</v>
      </c>
      <c r="H231" s="267" t="s">
        <v>130</v>
      </c>
      <c r="I231" s="267" t="s">
        <v>130</v>
      </c>
      <c r="J231" s="267" t="s">
        <v>130</v>
      </c>
      <c r="K231" s="281" t="s">
        <v>195</v>
      </c>
      <c r="L231" s="267" t="s">
        <v>130</v>
      </c>
      <c r="M231" s="267" t="s">
        <v>130</v>
      </c>
      <c r="N231" s="267" t="s">
        <v>130</v>
      </c>
      <c r="O231" s="1"/>
      <c r="P231" s="183" t="s">
        <v>128</v>
      </c>
    </row>
    <row r="232" spans="1:16" ht="15" customHeight="1" x14ac:dyDescent="0.2">
      <c r="A232" s="63"/>
      <c r="B232" s="186">
        <v>1</v>
      </c>
      <c r="C232" s="268">
        <f t="shared" ref="C232:C241" si="51">C129</f>
        <v>43.62272832324318</v>
      </c>
      <c r="D232" s="301">
        <f t="shared" ref="D232:E232" si="52">D129</f>
        <v>116.62272832324318</v>
      </c>
      <c r="E232" s="275">
        <f t="shared" si="52"/>
        <v>22.822728323243179</v>
      </c>
      <c r="F232" s="275">
        <f>G232+J232</f>
        <v>35.508728323243176</v>
      </c>
      <c r="G232" s="268">
        <f t="shared" ref="G232:H241" si="53">F129</f>
        <v>22.508728323243179</v>
      </c>
      <c r="H232" s="304">
        <f t="shared" si="53"/>
        <v>0.314</v>
      </c>
      <c r="I232" s="308">
        <f>M129</f>
        <v>77</v>
      </c>
      <c r="J232" s="308">
        <f t="shared" ref="J232:J241" si="54">L129</f>
        <v>13</v>
      </c>
      <c r="K232" s="373">
        <f>H232/E232</f>
        <v>1.3758214861639279E-2</v>
      </c>
      <c r="L232" s="312">
        <f t="shared" ref="L232:L241" si="55">F149</f>
        <v>1.1297647051527779</v>
      </c>
      <c r="M232" s="312">
        <f t="shared" ref="M232:M241" si="56">H171</f>
        <v>0.58292936970756293</v>
      </c>
      <c r="N232" s="312">
        <f t="shared" ref="N232:N241" si="57">H201</f>
        <v>8.1319486138700433E-3</v>
      </c>
      <c r="O232" s="1"/>
      <c r="P232" s="316">
        <f>L232</f>
        <v>1.1297647051527779</v>
      </c>
    </row>
    <row r="233" spans="1:16" ht="15" customHeight="1" x14ac:dyDescent="0.2">
      <c r="A233" s="63"/>
      <c r="B233" s="186">
        <v>2</v>
      </c>
      <c r="C233" s="269">
        <f t="shared" si="51"/>
        <v>66.08944469615048</v>
      </c>
      <c r="D233" s="302">
        <f t="shared" ref="D233:E241" si="58">D130</f>
        <v>139.08944469615048</v>
      </c>
      <c r="E233" s="276">
        <f t="shared" si="58"/>
        <v>45.589444696150473</v>
      </c>
      <c r="F233" s="276">
        <f t="shared" ref="F233:F241" si="59">G233+J233</f>
        <v>57.221444696150471</v>
      </c>
      <c r="G233" s="269">
        <f t="shared" si="53"/>
        <v>44.221444696150471</v>
      </c>
      <c r="H233" s="305">
        <f t="shared" si="53"/>
        <v>1.3680000000000001</v>
      </c>
      <c r="I233" s="309">
        <f t="shared" ref="I233:I241" si="60">M130</f>
        <v>77</v>
      </c>
      <c r="J233" s="309">
        <f t="shared" si="54"/>
        <v>13</v>
      </c>
      <c r="K233" s="374">
        <f t="shared" ref="K233:K241" si="61">H233/E233</f>
        <v>3.0006945886654167E-2</v>
      </c>
      <c r="L233" s="313">
        <f t="shared" si="55"/>
        <v>0.85580944407781101</v>
      </c>
      <c r="M233" s="313">
        <f t="shared" si="56"/>
        <v>0.57262184060540067</v>
      </c>
      <c r="N233" s="313">
        <f t="shared" si="57"/>
        <v>1.7714181056965317E-2</v>
      </c>
      <c r="O233" s="1"/>
      <c r="P233" s="317">
        <f t="shared" ref="P233:P241" si="62">L233</f>
        <v>0.85580944407781101</v>
      </c>
    </row>
    <row r="234" spans="1:16" ht="15" customHeight="1" x14ac:dyDescent="0.2">
      <c r="A234" s="63"/>
      <c r="B234" s="186">
        <v>3</v>
      </c>
      <c r="C234" s="270">
        <f t="shared" si="51"/>
        <v>85.347428262465371</v>
      </c>
      <c r="D234" s="303">
        <f t="shared" si="58"/>
        <v>158.34742826246537</v>
      </c>
      <c r="E234" s="277">
        <f t="shared" si="58"/>
        <v>65.347428262465357</v>
      </c>
      <c r="F234" s="277">
        <f t="shared" si="59"/>
        <v>75.373428262465353</v>
      </c>
      <c r="G234" s="270">
        <f t="shared" si="53"/>
        <v>62.373428262465353</v>
      </c>
      <c r="H234" s="306">
        <f t="shared" si="53"/>
        <v>2.9740000000000002</v>
      </c>
      <c r="I234" s="310">
        <f t="shared" si="60"/>
        <v>77</v>
      </c>
      <c r="J234" s="310">
        <f t="shared" si="54"/>
        <v>13</v>
      </c>
      <c r="K234" s="375">
        <f t="shared" si="61"/>
        <v>4.5510589767282762E-2</v>
      </c>
      <c r="L234" s="314">
        <f t="shared" si="55"/>
        <v>0.7367901193085139</v>
      </c>
      <c r="M234" s="314">
        <f t="shared" si="56"/>
        <v>0.53844746656186593</v>
      </c>
      <c r="N234" s="314">
        <f t="shared" si="57"/>
        <v>2.5673476834022834E-2</v>
      </c>
      <c r="O234" s="1"/>
      <c r="P234" s="318">
        <f t="shared" si="62"/>
        <v>0.7367901193085139</v>
      </c>
    </row>
    <row r="235" spans="1:16" ht="15" customHeight="1" x14ac:dyDescent="0.2">
      <c r="A235" s="63"/>
      <c r="B235" s="186">
        <v>4</v>
      </c>
      <c r="C235" s="270">
        <f t="shared" si="51"/>
        <v>102.44451866351989</v>
      </c>
      <c r="D235" s="303">
        <f t="shared" si="58"/>
        <v>175.44451866351989</v>
      </c>
      <c r="E235" s="277">
        <f t="shared" si="58"/>
        <v>82.744518663519898</v>
      </c>
      <c r="F235" s="277">
        <f t="shared" si="59"/>
        <v>90.690518663519896</v>
      </c>
      <c r="G235" s="270">
        <f t="shared" si="53"/>
        <v>77.690518663519896</v>
      </c>
      <c r="H235" s="306">
        <f t="shared" si="53"/>
        <v>5.0540000000000003</v>
      </c>
      <c r="I235" s="310">
        <f t="shared" si="60"/>
        <v>77</v>
      </c>
      <c r="J235" s="310">
        <f t="shared" si="54"/>
        <v>13</v>
      </c>
      <c r="K235" s="375">
        <f t="shared" si="61"/>
        <v>6.1079574594566942E-2</v>
      </c>
      <c r="L235" s="314">
        <f t="shared" si="55"/>
        <v>0.66328903033900899</v>
      </c>
      <c r="M235" s="314">
        <f t="shared" si="56"/>
        <v>0.50300581652599952</v>
      </c>
      <c r="N235" s="314">
        <f t="shared" si="57"/>
        <v>3.2722028896894267E-2</v>
      </c>
      <c r="O235" s="1"/>
      <c r="P235" s="318">
        <f t="shared" si="62"/>
        <v>0.66328903033900899</v>
      </c>
    </row>
    <row r="236" spans="1:16" ht="15" customHeight="1" x14ac:dyDescent="0.2">
      <c r="A236" s="63"/>
      <c r="B236" s="186">
        <v>5</v>
      </c>
      <c r="C236" s="269">
        <f t="shared" si="51"/>
        <v>117.81555554064616</v>
      </c>
      <c r="D236" s="302">
        <f t="shared" si="58"/>
        <v>190.81555554064616</v>
      </c>
      <c r="E236" s="276">
        <f t="shared" si="58"/>
        <v>98.215555540646164</v>
      </c>
      <c r="F236" s="276">
        <f t="shared" si="59"/>
        <v>103.89855554064616</v>
      </c>
      <c r="G236" s="269">
        <f t="shared" si="53"/>
        <v>90.898555540646157</v>
      </c>
      <c r="H236" s="305">
        <f t="shared" si="53"/>
        <v>7.3170000000000002</v>
      </c>
      <c r="I236" s="309">
        <f t="shared" si="60"/>
        <v>77</v>
      </c>
      <c r="J236" s="309">
        <f t="shared" si="54"/>
        <v>13</v>
      </c>
      <c r="K236" s="374">
        <f t="shared" si="61"/>
        <v>7.4499400423101866E-2</v>
      </c>
      <c r="L236" s="313">
        <f t="shared" si="55"/>
        <v>0.61024747621497555</v>
      </c>
      <c r="M236" s="313">
        <f t="shared" si="56"/>
        <v>0.47081680428760936</v>
      </c>
      <c r="N236" s="313">
        <f t="shared" si="57"/>
        <v>3.7899024208717901E-2</v>
      </c>
      <c r="O236" s="1"/>
      <c r="P236" s="317">
        <f t="shared" si="62"/>
        <v>0.61024747621497555</v>
      </c>
    </row>
    <row r="237" spans="1:16" ht="15" customHeight="1" x14ac:dyDescent="0.2">
      <c r="A237" s="63"/>
      <c r="B237" s="186">
        <v>10</v>
      </c>
      <c r="C237" s="270">
        <f t="shared" si="51"/>
        <v>188.53851939984463</v>
      </c>
      <c r="D237" s="303">
        <f t="shared" si="58"/>
        <v>261.53851939984463</v>
      </c>
      <c r="E237" s="277">
        <f t="shared" si="58"/>
        <v>168.83851939984464</v>
      </c>
      <c r="F237" s="277">
        <f t="shared" si="59"/>
        <v>163.71151939984463</v>
      </c>
      <c r="G237" s="270">
        <f t="shared" si="53"/>
        <v>150.71151939984463</v>
      </c>
      <c r="H237" s="306">
        <f t="shared" si="53"/>
        <v>18.126999999999999</v>
      </c>
      <c r="I237" s="310">
        <f t="shared" si="60"/>
        <v>77</v>
      </c>
      <c r="J237" s="310">
        <f t="shared" si="54"/>
        <v>13</v>
      </c>
      <c r="K237" s="375">
        <f t="shared" si="61"/>
        <v>0.10736294101863984</v>
      </c>
      <c r="L237" s="314">
        <f t="shared" si="55"/>
        <v>0.48746862891300663</v>
      </c>
      <c r="M237" s="314">
        <f t="shared" si="56"/>
        <v>0.39031157047064163</v>
      </c>
      <c r="N237" s="314">
        <f t="shared" si="57"/>
        <v>4.6945169593510271E-2</v>
      </c>
      <c r="O237" s="1"/>
      <c r="P237" s="318">
        <f t="shared" si="62"/>
        <v>0.48746862891300663</v>
      </c>
    </row>
    <row r="238" spans="1:16" ht="15" customHeight="1" x14ac:dyDescent="0.2">
      <c r="A238" s="63"/>
      <c r="B238" s="186">
        <v>20</v>
      </c>
      <c r="C238" s="270">
        <f t="shared" si="51"/>
        <v>309.47014285714295</v>
      </c>
      <c r="D238" s="303">
        <f t="shared" si="58"/>
        <v>382.47014285714295</v>
      </c>
      <c r="E238" s="277">
        <f t="shared" si="58"/>
        <v>289.87014285714292</v>
      </c>
      <c r="F238" s="277">
        <f t="shared" si="59"/>
        <v>265.13714285714292</v>
      </c>
      <c r="G238" s="270">
        <f t="shared" si="53"/>
        <v>252.13714285714292</v>
      </c>
      <c r="H238" s="306">
        <f t="shared" si="53"/>
        <v>37.732999999999997</v>
      </c>
      <c r="I238" s="310">
        <f t="shared" si="60"/>
        <v>77</v>
      </c>
      <c r="J238" s="310">
        <f t="shared" si="54"/>
        <v>13</v>
      </c>
      <c r="K238" s="375">
        <f t="shared" si="61"/>
        <v>0.13017208198153751</v>
      </c>
      <c r="L238" s="314">
        <f t="shared" si="55"/>
        <v>0.40117024318423189</v>
      </c>
      <c r="M238" s="314">
        <f t="shared" si="56"/>
        <v>0.32649144735068414</v>
      </c>
      <c r="N238" s="314">
        <f t="shared" si="57"/>
        <v>4.8860321185853234E-2</v>
      </c>
      <c r="O238" s="1"/>
      <c r="P238" s="318">
        <f t="shared" si="62"/>
        <v>0.40117024318423189</v>
      </c>
    </row>
    <row r="239" spans="1:16" ht="15" customHeight="1" x14ac:dyDescent="0.2">
      <c r="A239" s="63"/>
      <c r="B239" s="186">
        <v>30</v>
      </c>
      <c r="C239" s="270">
        <f t="shared" si="51"/>
        <v>411.05328571428578</v>
      </c>
      <c r="D239" s="303">
        <f t="shared" si="58"/>
        <v>484.05328571428578</v>
      </c>
      <c r="E239" s="277">
        <f t="shared" si="58"/>
        <v>391.05328571428578</v>
      </c>
      <c r="F239" s="277">
        <f t="shared" si="59"/>
        <v>353.1942857142858</v>
      </c>
      <c r="G239" s="270">
        <f t="shared" si="53"/>
        <v>340.1942857142858</v>
      </c>
      <c r="H239" s="306">
        <f t="shared" si="53"/>
        <v>50.859000000000002</v>
      </c>
      <c r="I239" s="310">
        <f t="shared" si="60"/>
        <v>77</v>
      </c>
      <c r="J239" s="310">
        <f t="shared" si="54"/>
        <v>13</v>
      </c>
      <c r="K239" s="375">
        <f t="shared" si="61"/>
        <v>0.13005644462775076</v>
      </c>
      <c r="L239" s="314">
        <f t="shared" si="55"/>
        <v>0.35493658183304655</v>
      </c>
      <c r="M239" s="314">
        <f t="shared" si="56"/>
        <v>0.29367754247991462</v>
      </c>
      <c r="N239" s="314">
        <f t="shared" si="57"/>
        <v>4.3904753137241667E-2</v>
      </c>
      <c r="O239" s="1"/>
      <c r="P239" s="318">
        <f t="shared" si="62"/>
        <v>0.35493658183304655</v>
      </c>
    </row>
    <row r="240" spans="1:16" ht="15" customHeight="1" x14ac:dyDescent="0.2">
      <c r="A240" s="63"/>
      <c r="B240" s="186">
        <v>40</v>
      </c>
      <c r="C240" s="270">
        <f t="shared" si="51"/>
        <v>504.20414285714276</v>
      </c>
      <c r="D240" s="303">
        <f t="shared" si="58"/>
        <v>577.20414285714276</v>
      </c>
      <c r="E240" s="277">
        <f t="shared" si="58"/>
        <v>483.10414285714279</v>
      </c>
      <c r="F240" s="277">
        <f t="shared" si="59"/>
        <v>433.33714285714279</v>
      </c>
      <c r="G240" s="270">
        <f t="shared" si="53"/>
        <v>420.33714285714279</v>
      </c>
      <c r="H240" s="306">
        <f t="shared" si="53"/>
        <v>62.767000000000003</v>
      </c>
      <c r="I240" s="310">
        <f t="shared" si="60"/>
        <v>78</v>
      </c>
      <c r="J240" s="310">
        <f t="shared" si="54"/>
        <v>13</v>
      </c>
      <c r="K240" s="375">
        <f t="shared" si="61"/>
        <v>0.12992436709150854</v>
      </c>
      <c r="L240" s="314">
        <f t="shared" si="55"/>
        <v>0.32621271751384867</v>
      </c>
      <c r="M240" s="314">
        <f t="shared" si="56"/>
        <v>0.27214650049484373</v>
      </c>
      <c r="N240" s="314">
        <f t="shared" si="57"/>
        <v>4.0638377280794662E-2</v>
      </c>
      <c r="O240" s="1"/>
      <c r="P240" s="318">
        <f t="shared" si="62"/>
        <v>0.32621271751384867</v>
      </c>
    </row>
    <row r="241" spans="1:16" ht="15" customHeight="1" x14ac:dyDescent="0.2">
      <c r="A241" s="63"/>
      <c r="B241" s="186">
        <v>50</v>
      </c>
      <c r="C241" s="271">
        <f t="shared" si="51"/>
        <v>595.13171428571422</v>
      </c>
      <c r="D241" s="302">
        <f t="shared" si="58"/>
        <v>668.13171428571422</v>
      </c>
      <c r="E241" s="276">
        <f t="shared" si="58"/>
        <v>572.43171428571418</v>
      </c>
      <c r="F241" s="276">
        <f t="shared" si="59"/>
        <v>511.01571428571424</v>
      </c>
      <c r="G241" s="271">
        <f t="shared" si="53"/>
        <v>498.01571428571424</v>
      </c>
      <c r="H241" s="307">
        <f t="shared" si="53"/>
        <v>74.415999999999997</v>
      </c>
      <c r="I241" s="311">
        <f t="shared" si="60"/>
        <v>79</v>
      </c>
      <c r="J241" s="311">
        <f t="shared" si="54"/>
        <v>13</v>
      </c>
      <c r="K241" s="376">
        <f t="shared" si="61"/>
        <v>0.12999978537677109</v>
      </c>
      <c r="L241" s="315">
        <f t="shared" si="55"/>
        <v>0.30821128420397603</v>
      </c>
      <c r="M241" s="315">
        <f t="shared" si="56"/>
        <v>0.25795147754593717</v>
      </c>
      <c r="N241" s="315">
        <f t="shared" si="57"/>
        <v>3.8544400512723127E-2</v>
      </c>
      <c r="O241" s="1"/>
      <c r="P241" s="319">
        <f t="shared" si="62"/>
        <v>0.30821128420397603</v>
      </c>
    </row>
    <row r="242" spans="1:16" ht="15" customHeight="1" x14ac:dyDescent="0.2">
      <c r="A242" s="63"/>
      <c r="B242" s="1"/>
      <c r="C242" s="1"/>
      <c r="D242" s="1"/>
      <c r="E242" s="1"/>
      <c r="F242" s="1"/>
      <c r="G242" s="1"/>
      <c r="H242" s="1"/>
      <c r="I242" s="1"/>
      <c r="J242" s="1"/>
      <c r="K242" s="1"/>
      <c r="L242" s="1"/>
      <c r="M242" s="1"/>
      <c r="N242" s="1"/>
      <c r="O242" s="1"/>
      <c r="P242" s="39"/>
    </row>
    <row r="243" spans="1:16" ht="15" customHeight="1" x14ac:dyDescent="0.2">
      <c r="A243" s="63"/>
      <c r="B243" s="1"/>
      <c r="C243" s="1"/>
      <c r="D243" s="1"/>
      <c r="E243" s="1"/>
      <c r="F243" s="1"/>
      <c r="G243" s="1"/>
      <c r="H243" s="1"/>
      <c r="I243" s="1"/>
      <c r="J243" s="1"/>
      <c r="K243" s="1"/>
      <c r="L243" s="357" t="s">
        <v>210</v>
      </c>
      <c r="M243" s="360" t="s">
        <v>280</v>
      </c>
      <c r="N243" s="1"/>
      <c r="O243" s="1"/>
      <c r="P243" s="39"/>
    </row>
    <row r="244" spans="1:16" ht="15" customHeight="1" x14ac:dyDescent="0.2">
      <c r="A244" s="63"/>
      <c r="B244" s="1"/>
      <c r="C244" s="1"/>
      <c r="D244" s="1"/>
      <c r="E244" s="1"/>
      <c r="F244" s="1"/>
      <c r="G244" s="1"/>
      <c r="H244" s="1"/>
      <c r="I244" s="1"/>
      <c r="J244" s="1"/>
      <c r="K244" s="1"/>
      <c r="L244" s="1"/>
      <c r="M244" s="1"/>
      <c r="N244" s="1"/>
      <c r="O244" s="1"/>
      <c r="P244" s="39"/>
    </row>
    <row r="245" spans="1:16" ht="15" customHeight="1" x14ac:dyDescent="0.2">
      <c r="A245" s="63"/>
      <c r="B245" s="1"/>
      <c r="C245" s="1"/>
      <c r="D245" s="1"/>
      <c r="E245" s="1"/>
      <c r="F245" s="1"/>
      <c r="G245" s="1"/>
      <c r="H245" s="1"/>
      <c r="I245" s="1"/>
      <c r="J245" s="1"/>
      <c r="K245" s="1"/>
      <c r="L245" s="1"/>
      <c r="M245" s="359"/>
      <c r="N245" s="1"/>
      <c r="O245" s="1"/>
      <c r="P245" s="39"/>
    </row>
    <row r="246" spans="1:16" ht="15" customHeight="1" x14ac:dyDescent="0.2">
      <c r="A246" s="64"/>
      <c r="B246" s="42"/>
      <c r="C246" s="42"/>
      <c r="D246" s="42"/>
      <c r="E246" s="42"/>
      <c r="F246" s="42"/>
      <c r="G246" s="42"/>
      <c r="H246" s="42"/>
      <c r="I246" s="42"/>
      <c r="J246" s="42"/>
      <c r="K246" s="42"/>
      <c r="L246" s="42"/>
      <c r="M246" s="42"/>
      <c r="N246" s="42"/>
      <c r="O246" s="42"/>
      <c r="P246" s="31"/>
    </row>
    <row r="247" spans="1:16" ht="15" customHeight="1" x14ac:dyDescent="0.2"/>
    <row r="248" spans="1:16" ht="15" customHeight="1" x14ac:dyDescent="0.2"/>
    <row r="249" spans="1:16" ht="15" customHeight="1" x14ac:dyDescent="0.2"/>
    <row r="250" spans="1:16" ht="15" customHeight="1" x14ac:dyDescent="0.2"/>
    <row r="251" spans="1:16" ht="15" customHeight="1" x14ac:dyDescent="0.2"/>
    <row r="252" spans="1:16" ht="15" customHeight="1" x14ac:dyDescent="0.2"/>
    <row r="253" spans="1:16" ht="15" customHeight="1" x14ac:dyDescent="0.2"/>
    <row r="254" spans="1:16" ht="15" customHeight="1" x14ac:dyDescent="0.2"/>
    <row r="255" spans="1:16" ht="15" customHeight="1" x14ac:dyDescent="0.2"/>
    <row r="256" spans="1:16" ht="15" customHeight="1" x14ac:dyDescent="0.2"/>
    <row r="257" spans="1:21" ht="15" customHeight="1" x14ac:dyDescent="0.2"/>
    <row r="258" spans="1:21" ht="15" customHeight="1" x14ac:dyDescent="0.2"/>
    <row r="259" spans="1:21" ht="15" customHeight="1" x14ac:dyDescent="0.2"/>
    <row r="260" spans="1:21" ht="15" customHeight="1" x14ac:dyDescent="0.2"/>
    <row r="261" spans="1:21" ht="15" customHeight="1" x14ac:dyDescent="0.2"/>
    <row r="262" spans="1:21" ht="15" customHeight="1" x14ac:dyDescent="0.2"/>
    <row r="263" spans="1:21" ht="15" customHeight="1" x14ac:dyDescent="0.2"/>
    <row r="264" spans="1:21" ht="15" customHeight="1" x14ac:dyDescent="0.2"/>
    <row r="265" spans="1:21" ht="15" customHeight="1" x14ac:dyDescent="0.2"/>
    <row r="266" spans="1:21" ht="15" customHeight="1" x14ac:dyDescent="0.2">
      <c r="A266" s="42"/>
      <c r="B266" s="42"/>
      <c r="C266" s="42"/>
      <c r="D266" s="42"/>
      <c r="E266" s="42"/>
      <c r="F266" s="42"/>
      <c r="G266" s="42"/>
      <c r="H266" s="42"/>
      <c r="I266" s="42"/>
      <c r="J266" s="42"/>
      <c r="K266" s="42"/>
      <c r="L266" s="42"/>
      <c r="M266" s="42"/>
      <c r="N266" s="42"/>
      <c r="O266" s="42"/>
      <c r="P266" s="42"/>
      <c r="Q266" s="42"/>
      <c r="R266" s="42"/>
      <c r="S266" s="42"/>
      <c r="T266" s="42"/>
      <c r="U266" s="42"/>
    </row>
    <row r="267" spans="1:21" ht="15" customHeight="1" x14ac:dyDescent="0.2"/>
    <row r="268" spans="1:21" ht="15" customHeight="1" x14ac:dyDescent="0.2"/>
    <row r="269" spans="1:21" ht="15" customHeight="1" x14ac:dyDescent="0.2"/>
    <row r="270" spans="1:21" ht="15" customHeight="1" x14ac:dyDescent="0.2"/>
    <row r="271" spans="1:21" ht="15" customHeight="1" x14ac:dyDescent="0.2"/>
    <row r="272" spans="1:21"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sheetData>
  <pageMargins left="0.2" right="0.2" top="0.5" bottom="0.5" header="0.3" footer="0.3"/>
  <pageSetup scale="81"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1">
    <tabColor theme="6" tint="0.59999389629810485"/>
    <pageSetUpPr fitToPage="1"/>
  </sheetPr>
  <dimension ref="A1:AD340"/>
  <sheetViews>
    <sheetView showGridLines="0" topLeftCell="A52" zoomScale="86" zoomScaleNormal="86" workbookViewId="0">
      <selection activeCell="F25" sqref="F25"/>
    </sheetView>
  </sheetViews>
  <sheetFormatPr defaultRowHeight="12.75" x14ac:dyDescent="0.2"/>
  <cols>
    <col min="2" max="2" width="11.42578125" customWidth="1"/>
    <col min="3" max="4" width="10.5703125" customWidth="1"/>
    <col min="5" max="5" width="10.7109375" customWidth="1"/>
    <col min="6" max="6" width="10.5703125" customWidth="1"/>
    <col min="7" max="7" width="10.7109375" customWidth="1"/>
    <col min="8" max="10" width="10.5703125" customWidth="1"/>
    <col min="11" max="12" width="10.7109375" customWidth="1"/>
    <col min="13" max="13" width="10.5703125" customWidth="1"/>
    <col min="14" max="16" width="10.7109375" customWidth="1"/>
    <col min="17" max="17" width="11.7109375" customWidth="1"/>
    <col min="18" max="18" width="11.5703125" customWidth="1"/>
    <col min="20" max="20" width="9.140625" customWidth="1"/>
    <col min="29" max="29" width="9.140625" customWidth="1"/>
  </cols>
  <sheetData>
    <row r="1" spans="1:29" ht="15" customHeight="1" x14ac:dyDescent="0.2">
      <c r="K1" t="s">
        <v>73</v>
      </c>
    </row>
    <row r="2" spans="1:29" ht="15" customHeight="1" x14ac:dyDescent="0.2">
      <c r="A2" s="411" t="s">
        <v>266</v>
      </c>
      <c r="B2" s="410" t="s">
        <v>267</v>
      </c>
      <c r="C2" s="411"/>
      <c r="D2" s="411"/>
      <c r="E2" s="411"/>
      <c r="F2" s="411"/>
    </row>
    <row r="3" spans="1:29" ht="15" customHeight="1" x14ac:dyDescent="0.2">
      <c r="A3" s="411"/>
      <c r="B3" s="427" t="s">
        <v>376</v>
      </c>
      <c r="C3" s="411"/>
      <c r="D3" s="411"/>
      <c r="E3" s="411"/>
      <c r="F3" s="411"/>
    </row>
    <row r="4" spans="1:29" ht="15" customHeight="1" x14ac:dyDescent="0.2">
      <c r="A4" s="411"/>
      <c r="B4" s="427" t="s">
        <v>377</v>
      </c>
      <c r="C4" s="411"/>
      <c r="D4" s="411"/>
      <c r="E4" s="411"/>
      <c r="F4" s="411"/>
      <c r="G4" s="411"/>
    </row>
    <row r="5" spans="1:29" ht="15" customHeight="1" x14ac:dyDescent="0.2">
      <c r="A5" s="411"/>
      <c r="B5" s="412" t="s">
        <v>268</v>
      </c>
      <c r="C5" s="411"/>
      <c r="D5" s="411"/>
      <c r="E5" s="411"/>
      <c r="F5" s="411"/>
      <c r="G5" s="411"/>
    </row>
    <row r="6" spans="1:29" ht="15" customHeight="1" x14ac:dyDescent="0.2">
      <c r="A6" s="411"/>
      <c r="B6" s="412" t="s">
        <v>278</v>
      </c>
      <c r="C6" s="411"/>
      <c r="D6" s="411"/>
      <c r="E6" s="411"/>
      <c r="F6" s="411"/>
    </row>
    <row r="7" spans="1:29" ht="15" customHeight="1" x14ac:dyDescent="0.2">
      <c r="A7" s="411"/>
      <c r="B7" s="411"/>
      <c r="C7" s="411"/>
      <c r="D7" s="411"/>
      <c r="E7" s="411"/>
      <c r="F7" s="411"/>
      <c r="P7" s="289" t="s">
        <v>183</v>
      </c>
      <c r="Q7" s="289" t="s">
        <v>184</v>
      </c>
    </row>
    <row r="8" spans="1:29" ht="15" customHeight="1" x14ac:dyDescent="0.2">
      <c r="B8" s="17" t="s">
        <v>14</v>
      </c>
      <c r="C8" s="18"/>
      <c r="D8" s="18"/>
      <c r="E8" s="18"/>
      <c r="F8" s="18"/>
      <c r="G8" s="18"/>
      <c r="H8" s="18"/>
      <c r="I8" s="18"/>
      <c r="J8" s="18"/>
      <c r="K8" s="18"/>
      <c r="L8" s="19"/>
      <c r="O8" s="291" t="s">
        <v>185</v>
      </c>
      <c r="P8">
        <v>77</v>
      </c>
      <c r="Q8">
        <v>73</v>
      </c>
      <c r="Y8" s="428"/>
      <c r="Z8" s="428"/>
      <c r="AA8" s="428"/>
      <c r="AB8" s="428"/>
      <c r="AC8" s="428"/>
    </row>
    <row r="9" spans="1:29" ht="15" customHeight="1" x14ac:dyDescent="0.2">
      <c r="A9" t="s">
        <v>263</v>
      </c>
      <c r="B9" s="287" t="s">
        <v>364</v>
      </c>
      <c r="C9" s="237"/>
      <c r="D9" s="237"/>
      <c r="E9" s="237"/>
      <c r="F9" s="237"/>
      <c r="G9" s="237"/>
      <c r="H9" s="237"/>
      <c r="I9" s="237"/>
      <c r="J9" s="237"/>
      <c r="K9" s="237"/>
      <c r="L9" s="237"/>
      <c r="O9" s="291" t="s">
        <v>187</v>
      </c>
      <c r="P9" s="292">
        <v>73</v>
      </c>
      <c r="Q9" s="292">
        <v>69</v>
      </c>
      <c r="Y9" s="428"/>
      <c r="Z9" s="428"/>
      <c r="AA9" s="428"/>
      <c r="AB9" s="428"/>
      <c r="AC9" s="428"/>
    </row>
    <row r="10" spans="1:29" ht="15" customHeight="1" x14ac:dyDescent="0.2">
      <c r="A10" t="s">
        <v>263</v>
      </c>
      <c r="B10" s="399" t="s">
        <v>258</v>
      </c>
      <c r="C10" s="237"/>
      <c r="D10" s="237"/>
      <c r="E10" s="237" t="s">
        <v>395</v>
      </c>
      <c r="F10" s="237"/>
      <c r="G10" s="237"/>
      <c r="H10" s="237"/>
      <c r="I10" s="237"/>
      <c r="J10" s="237"/>
      <c r="K10" s="237"/>
      <c r="L10" s="237"/>
      <c r="O10" s="290" t="s">
        <v>186</v>
      </c>
      <c r="P10">
        <f>P8-P9</f>
        <v>4</v>
      </c>
      <c r="Q10">
        <f>Q8-Q9</f>
        <v>4</v>
      </c>
      <c r="Y10" s="428"/>
      <c r="Z10" s="428"/>
      <c r="AA10" s="428"/>
      <c r="AB10" s="428"/>
      <c r="AC10" s="428"/>
    </row>
    <row r="11" spans="1:29" ht="15" customHeight="1" x14ac:dyDescent="0.2">
      <c r="A11" t="s">
        <v>263</v>
      </c>
      <c r="B11" s="399" t="s">
        <v>259</v>
      </c>
      <c r="C11" s="237"/>
      <c r="D11" s="237"/>
      <c r="E11" s="237"/>
      <c r="F11" s="237"/>
      <c r="G11" s="237"/>
      <c r="H11" s="237"/>
      <c r="I11" s="237"/>
      <c r="J11" s="237"/>
      <c r="K11" s="237"/>
      <c r="L11" s="237"/>
      <c r="Y11" s="428"/>
      <c r="Z11" s="428"/>
      <c r="AA11" s="428"/>
      <c r="AB11" s="428"/>
      <c r="AC11" s="428"/>
    </row>
    <row r="12" spans="1:29" ht="15" customHeight="1" x14ac:dyDescent="0.2">
      <c r="A12" t="s">
        <v>263</v>
      </c>
      <c r="B12" s="399" t="s">
        <v>242</v>
      </c>
      <c r="C12" s="237"/>
      <c r="D12" s="237"/>
      <c r="E12" s="237"/>
      <c r="F12" s="237"/>
      <c r="G12" s="237"/>
      <c r="H12" s="237"/>
      <c r="I12" s="237"/>
      <c r="J12" s="237"/>
      <c r="K12" s="237"/>
      <c r="L12" s="237"/>
      <c r="M12" s="84"/>
      <c r="Y12" s="428"/>
      <c r="Z12" s="428"/>
      <c r="AA12" s="428"/>
      <c r="AB12" s="428"/>
      <c r="AC12" s="428"/>
    </row>
    <row r="13" spans="1:29" ht="15" customHeight="1" x14ac:dyDescent="0.2">
      <c r="A13" t="s">
        <v>263</v>
      </c>
      <c r="B13" s="287" t="s">
        <v>262</v>
      </c>
      <c r="C13" s="287" t="s">
        <v>352</v>
      </c>
      <c r="D13" s="426" t="s">
        <v>392</v>
      </c>
      <c r="E13" s="237" t="s">
        <v>358</v>
      </c>
      <c r="F13" s="237"/>
      <c r="G13" s="237"/>
      <c r="H13" s="237"/>
      <c r="I13" s="237"/>
      <c r="J13" s="237"/>
      <c r="K13" s="237"/>
      <c r="L13" s="237"/>
      <c r="M13" s="84"/>
      <c r="U13" s="169" t="s">
        <v>395</v>
      </c>
      <c r="Y13" s="428"/>
      <c r="Z13" s="428"/>
      <c r="AA13" s="428"/>
      <c r="AB13" s="428"/>
      <c r="AC13" s="428"/>
    </row>
    <row r="14" spans="1:29" ht="15" customHeight="1" x14ac:dyDescent="0.2">
      <c r="A14" s="84"/>
      <c r="B14" s="288" t="s">
        <v>365</v>
      </c>
      <c r="C14" s="83"/>
      <c r="D14" s="83"/>
      <c r="E14" s="83"/>
      <c r="F14" s="83"/>
      <c r="G14" s="83"/>
      <c r="H14" s="83"/>
      <c r="I14" s="83"/>
      <c r="J14" s="83"/>
      <c r="K14" s="83"/>
      <c r="L14" s="83"/>
      <c r="M14" s="84"/>
      <c r="Y14" s="428"/>
      <c r="Z14" s="428"/>
      <c r="AA14" s="428"/>
      <c r="AB14" s="428"/>
      <c r="AC14" s="428"/>
    </row>
    <row r="15" spans="1:29" ht="15" customHeight="1" x14ac:dyDescent="0.2">
      <c r="A15" s="84"/>
      <c r="B15" s="288"/>
      <c r="C15" s="83"/>
      <c r="D15" s="83"/>
      <c r="E15" s="83"/>
      <c r="F15" s="83"/>
      <c r="G15" s="83"/>
      <c r="H15" s="83"/>
      <c r="I15" s="83"/>
      <c r="J15" s="83"/>
      <c r="K15" s="83"/>
      <c r="L15" s="83"/>
      <c r="M15" s="84"/>
      <c r="U15" s="410" t="s">
        <v>380</v>
      </c>
      <c r="V15" s="411" t="s">
        <v>286</v>
      </c>
      <c r="W15" s="411"/>
      <c r="X15" s="428"/>
      <c r="Y15" s="428"/>
      <c r="Z15" s="428"/>
      <c r="AA15" s="428"/>
      <c r="AB15" s="428"/>
      <c r="AC15" s="428"/>
    </row>
    <row r="16" spans="1:29" ht="15" customHeight="1" x14ac:dyDescent="0.2">
      <c r="A16" s="84"/>
      <c r="B16" s="288"/>
      <c r="C16" s="83"/>
      <c r="D16" s="83"/>
      <c r="E16" s="83"/>
      <c r="F16" s="83"/>
      <c r="G16" s="83"/>
      <c r="H16" s="83"/>
      <c r="I16" s="83"/>
      <c r="J16" s="83"/>
      <c r="K16" s="83"/>
      <c r="L16" s="83"/>
      <c r="M16" s="84"/>
      <c r="U16" s="184" t="s">
        <v>121</v>
      </c>
      <c r="V16" s="411" t="s">
        <v>287</v>
      </c>
      <c r="W16" s="411"/>
      <c r="X16" s="428"/>
      <c r="Y16" s="428"/>
      <c r="Z16" s="428"/>
      <c r="AA16" s="428"/>
      <c r="AB16" s="428"/>
      <c r="AC16" s="428"/>
    </row>
    <row r="17" spans="1:29" ht="15" customHeight="1" x14ac:dyDescent="0.2">
      <c r="A17" s="84"/>
      <c r="B17" s="408"/>
      <c r="M17" s="84"/>
      <c r="U17" s="184" t="s">
        <v>122</v>
      </c>
      <c r="V17" s="422" t="s">
        <v>305</v>
      </c>
      <c r="W17" s="411"/>
      <c r="X17" s="428"/>
      <c r="Y17" s="428"/>
      <c r="Z17" s="428"/>
      <c r="AA17" s="428"/>
      <c r="AB17" s="428"/>
      <c r="AC17" s="428"/>
    </row>
    <row r="18" spans="1:29" ht="15" customHeight="1" x14ac:dyDescent="0.2">
      <c r="A18" s="84"/>
      <c r="B18" s="437" t="s">
        <v>381</v>
      </c>
      <c r="C18" s="83"/>
      <c r="D18" s="83"/>
      <c r="E18" s="83"/>
      <c r="F18" s="83"/>
      <c r="G18" s="83"/>
      <c r="H18" s="83"/>
      <c r="I18" s="83"/>
      <c r="J18" s="83"/>
      <c r="K18" s="83"/>
      <c r="L18" s="83"/>
      <c r="M18" s="84"/>
      <c r="U18" s="184" t="s">
        <v>125</v>
      </c>
      <c r="V18" s="422" t="s">
        <v>299</v>
      </c>
      <c r="W18" s="411"/>
      <c r="X18" s="428"/>
      <c r="Y18" s="428"/>
      <c r="Z18" s="428"/>
      <c r="AA18" s="428"/>
      <c r="AB18" s="428"/>
      <c r="AC18" s="428"/>
    </row>
    <row r="19" spans="1:29" ht="15" customHeight="1" x14ac:dyDescent="0.2">
      <c r="A19" s="84"/>
      <c r="B19" s="415" t="s">
        <v>279</v>
      </c>
      <c r="C19" s="416"/>
      <c r="D19" s="21"/>
      <c r="E19" s="511">
        <v>8</v>
      </c>
      <c r="F19" s="420"/>
      <c r="G19" s="83"/>
      <c r="H19" s="83"/>
      <c r="I19" s="83"/>
      <c r="J19" s="83"/>
      <c r="K19" s="83"/>
      <c r="L19" s="83"/>
      <c r="M19" s="84"/>
      <c r="U19" s="184" t="s">
        <v>152</v>
      </c>
      <c r="V19" s="422" t="s">
        <v>296</v>
      </c>
      <c r="W19" s="411"/>
      <c r="X19" s="428"/>
      <c r="Y19" s="428"/>
      <c r="Z19" s="428"/>
      <c r="AA19" s="428"/>
      <c r="AB19" s="428"/>
      <c r="AC19" s="428"/>
    </row>
    <row r="20" spans="1:29" ht="15" customHeight="1" x14ac:dyDescent="0.2">
      <c r="A20" s="84"/>
      <c r="B20" s="417"/>
      <c r="C20" s="414" t="str">
        <f>L243</f>
        <v>C-ZETA CURVE</v>
      </c>
      <c r="D20" s="83" t="str">
        <f>M243</f>
        <v xml:space="preserve"> 139_76_36a</v>
      </c>
      <c r="E20" s="83"/>
      <c r="F20" s="418"/>
      <c r="G20" s="83"/>
      <c r="H20" s="83"/>
      <c r="I20" s="83"/>
      <c r="J20" s="83"/>
      <c r="K20" s="83"/>
      <c r="L20" s="83"/>
      <c r="M20" s="84"/>
      <c r="U20" s="184" t="s">
        <v>157</v>
      </c>
      <c r="V20" s="422" t="s">
        <v>379</v>
      </c>
      <c r="W20" s="411"/>
      <c r="X20" s="428"/>
      <c r="Y20" s="428"/>
      <c r="Z20" s="428"/>
      <c r="AA20" s="428"/>
      <c r="AB20" s="428"/>
      <c r="AC20" s="428"/>
    </row>
    <row r="21" spans="1:29" ht="15" customHeight="1" x14ac:dyDescent="0.2">
      <c r="B21" s="419" t="s">
        <v>390</v>
      </c>
      <c r="C21" s="42"/>
      <c r="D21" s="42"/>
      <c r="E21" s="42"/>
      <c r="F21" s="31"/>
      <c r="U21" s="184"/>
      <c r="V21" s="422" t="s">
        <v>306</v>
      </c>
      <c r="W21" s="411"/>
      <c r="X21" s="428"/>
      <c r="Y21" s="428"/>
      <c r="Z21" s="428"/>
      <c r="AA21" s="428"/>
      <c r="AB21" s="428"/>
      <c r="AC21" s="428"/>
    </row>
    <row r="22" spans="1:29" ht="15" customHeight="1" x14ac:dyDescent="0.2">
      <c r="A22" s="169" t="s">
        <v>121</v>
      </c>
      <c r="B22" s="143" t="s">
        <v>139</v>
      </c>
      <c r="U22" s="184"/>
      <c r="V22" s="411" t="s">
        <v>290</v>
      </c>
      <c r="W22" s="411"/>
      <c r="X22" s="428"/>
      <c r="Y22" s="428"/>
      <c r="Z22" s="428"/>
      <c r="AA22" s="428"/>
      <c r="AB22" s="428"/>
      <c r="AC22" s="428"/>
    </row>
    <row r="23" spans="1:29" ht="15" customHeight="1" x14ac:dyDescent="0.2">
      <c r="U23" s="184" t="s">
        <v>159</v>
      </c>
      <c r="V23" s="411" t="s">
        <v>291</v>
      </c>
      <c r="W23" s="411"/>
      <c r="X23" s="428"/>
      <c r="Y23" s="428"/>
      <c r="Z23" s="428"/>
      <c r="AA23" s="428"/>
      <c r="AB23" s="428"/>
      <c r="AC23" s="428"/>
    </row>
    <row r="24" spans="1:29" ht="15" customHeight="1" x14ac:dyDescent="0.2">
      <c r="B24" s="54" t="s">
        <v>140</v>
      </c>
      <c r="U24" s="184" t="s">
        <v>162</v>
      </c>
      <c r="V24" s="411" t="s">
        <v>292</v>
      </c>
      <c r="W24" s="411"/>
      <c r="X24" s="428"/>
      <c r="Y24" s="428"/>
      <c r="Z24" s="428"/>
      <c r="AA24" s="428"/>
      <c r="AB24" s="428"/>
      <c r="AC24" s="428"/>
    </row>
    <row r="25" spans="1:29" ht="15" customHeight="1" x14ac:dyDescent="0.2">
      <c r="B25" s="54" t="s">
        <v>204</v>
      </c>
      <c r="U25" s="184" t="s">
        <v>172</v>
      </c>
      <c r="V25" s="422" t="s">
        <v>293</v>
      </c>
      <c r="W25" s="411"/>
      <c r="X25" s="428"/>
      <c r="Y25" s="428"/>
      <c r="Z25" s="428"/>
      <c r="AA25" s="428"/>
      <c r="AB25" s="428"/>
      <c r="AC25" s="428"/>
    </row>
    <row r="26" spans="1:29" ht="15" customHeight="1" x14ac:dyDescent="0.2">
      <c r="I26" s="1"/>
      <c r="J26" s="1"/>
      <c r="U26" s="184" t="s">
        <v>175</v>
      </c>
      <c r="V26" s="422" t="s">
        <v>294</v>
      </c>
      <c r="W26" s="411"/>
      <c r="X26" s="428"/>
    </row>
    <row r="27" spans="1:29" ht="15" customHeight="1" x14ac:dyDescent="0.2">
      <c r="B27" s="146"/>
      <c r="C27" s="476" t="s">
        <v>105</v>
      </c>
      <c r="D27" s="476" t="s">
        <v>105</v>
      </c>
      <c r="E27" s="480" t="s">
        <v>105</v>
      </c>
      <c r="G27" s="462" t="s">
        <v>202</v>
      </c>
      <c r="I27" s="1"/>
      <c r="J27" s="1"/>
      <c r="U27" s="184"/>
      <c r="V27" s="411"/>
      <c r="W27" s="411"/>
      <c r="X27" s="428"/>
    </row>
    <row r="28" spans="1:29" ht="15" customHeight="1" x14ac:dyDescent="0.2">
      <c r="B28" s="146"/>
      <c r="C28" s="468" t="s">
        <v>342</v>
      </c>
      <c r="D28" s="468" t="s">
        <v>343</v>
      </c>
      <c r="E28" s="468" t="s">
        <v>108</v>
      </c>
      <c r="G28" s="463" t="s">
        <v>111</v>
      </c>
      <c r="U28" s="422" t="s">
        <v>308</v>
      </c>
      <c r="V28" s="411"/>
      <c r="W28" s="411"/>
      <c r="X28" s="428"/>
    </row>
    <row r="29" spans="1:29" ht="15" customHeight="1" x14ac:dyDescent="0.2">
      <c r="B29" s="147" t="s">
        <v>39</v>
      </c>
      <c r="C29" s="477" t="s">
        <v>106</v>
      </c>
      <c r="D29" s="477" t="s">
        <v>107</v>
      </c>
      <c r="E29" s="475" t="s">
        <v>151</v>
      </c>
      <c r="G29" s="463" t="s">
        <v>112</v>
      </c>
      <c r="U29" s="422" t="s">
        <v>382</v>
      </c>
      <c r="V29" s="411"/>
      <c r="W29" s="411"/>
      <c r="X29" s="428"/>
    </row>
    <row r="30" spans="1:29" ht="15" customHeight="1" x14ac:dyDescent="0.2">
      <c r="B30" s="147">
        <v>1</v>
      </c>
      <c r="C30" s="478">
        <v>2</v>
      </c>
      <c r="D30" s="478">
        <v>0.75</v>
      </c>
      <c r="E30" s="469">
        <f>SUM(C30:D30)/2</f>
        <v>1.375</v>
      </c>
      <c r="G30" s="464">
        <v>0.8</v>
      </c>
      <c r="I30" s="54" t="s">
        <v>367</v>
      </c>
      <c r="U30" s="429"/>
      <c r="V30" s="428"/>
      <c r="W30" s="428"/>
      <c r="X30" s="428"/>
    </row>
    <row r="31" spans="1:29" ht="15" customHeight="1" x14ac:dyDescent="0.2">
      <c r="B31" s="147">
        <v>2</v>
      </c>
      <c r="C31" s="478">
        <v>4</v>
      </c>
      <c r="D31" s="478">
        <v>2</v>
      </c>
      <c r="E31" s="469">
        <f t="shared" ref="E31:E39" si="0">SUM(C31:D31)/2</f>
        <v>3</v>
      </c>
      <c r="G31" s="465">
        <v>2.5</v>
      </c>
      <c r="I31" t="s">
        <v>366</v>
      </c>
      <c r="U31" s="429"/>
      <c r="V31" s="428"/>
      <c r="W31" s="428"/>
      <c r="X31" s="428"/>
    </row>
    <row r="32" spans="1:29" ht="15" customHeight="1" x14ac:dyDescent="0.2">
      <c r="B32" s="147">
        <v>3</v>
      </c>
      <c r="C32" s="478">
        <v>5.8</v>
      </c>
      <c r="D32" s="478">
        <v>3.3</v>
      </c>
      <c r="E32" s="469">
        <f t="shared" si="0"/>
        <v>4.55</v>
      </c>
      <c r="G32" s="466">
        <v>4.8</v>
      </c>
    </row>
    <row r="33" spans="1:8" ht="15" customHeight="1" x14ac:dyDescent="0.2">
      <c r="B33" s="147">
        <v>4</v>
      </c>
      <c r="C33" s="478">
        <v>7.51</v>
      </c>
      <c r="D33" s="478">
        <v>4.7</v>
      </c>
      <c r="E33" s="469">
        <f t="shared" si="0"/>
        <v>6.1050000000000004</v>
      </c>
      <c r="G33" s="466">
        <v>7.4</v>
      </c>
    </row>
    <row r="34" spans="1:8" ht="15" customHeight="1" x14ac:dyDescent="0.2">
      <c r="B34" s="147">
        <v>5</v>
      </c>
      <c r="C34" s="478">
        <v>9</v>
      </c>
      <c r="D34" s="478">
        <v>5.9</v>
      </c>
      <c r="E34" s="469">
        <f t="shared" si="0"/>
        <v>7.45</v>
      </c>
      <c r="G34" s="465">
        <v>9.8000000000000007</v>
      </c>
    </row>
    <row r="35" spans="1:8" ht="15" customHeight="1" x14ac:dyDescent="0.2">
      <c r="B35" s="147">
        <v>10</v>
      </c>
      <c r="C35" s="478">
        <v>11.51</v>
      </c>
      <c r="D35" s="478">
        <v>10</v>
      </c>
      <c r="E35" s="469">
        <f t="shared" si="0"/>
        <v>10.754999999999999</v>
      </c>
      <c r="G35" s="466">
        <v>20.6</v>
      </c>
    </row>
    <row r="36" spans="1:8" ht="15" customHeight="1" x14ac:dyDescent="0.2">
      <c r="B36" s="147">
        <v>20</v>
      </c>
      <c r="C36" s="478">
        <v>13</v>
      </c>
      <c r="D36" s="478">
        <v>13</v>
      </c>
      <c r="E36" s="469">
        <f t="shared" si="0"/>
        <v>13</v>
      </c>
      <c r="G36" s="466">
        <v>36.4</v>
      </c>
    </row>
    <row r="37" spans="1:8" ht="15" customHeight="1" x14ac:dyDescent="0.2">
      <c r="B37" s="147">
        <v>30</v>
      </c>
      <c r="C37" s="478">
        <v>13</v>
      </c>
      <c r="D37" s="478">
        <v>13</v>
      </c>
      <c r="E37" s="469">
        <f t="shared" si="0"/>
        <v>13</v>
      </c>
      <c r="G37" s="466">
        <v>50</v>
      </c>
    </row>
    <row r="38" spans="1:8" ht="15" customHeight="1" x14ac:dyDescent="0.2">
      <c r="B38" s="147">
        <v>40</v>
      </c>
      <c r="C38" s="478">
        <v>13</v>
      </c>
      <c r="D38" s="478">
        <v>13</v>
      </c>
      <c r="E38" s="469">
        <f t="shared" si="0"/>
        <v>13</v>
      </c>
      <c r="G38" s="466">
        <v>63.3</v>
      </c>
      <c r="H38" s="1"/>
    </row>
    <row r="39" spans="1:8" ht="15" customHeight="1" x14ac:dyDescent="0.2">
      <c r="B39" s="147">
        <v>50</v>
      </c>
      <c r="C39" s="479">
        <v>13</v>
      </c>
      <c r="D39" s="479">
        <v>13</v>
      </c>
      <c r="E39" s="470">
        <f t="shared" si="0"/>
        <v>13</v>
      </c>
      <c r="G39" s="467">
        <v>74.7</v>
      </c>
    </row>
    <row r="40" spans="1:8" ht="15" customHeight="1" x14ac:dyDescent="0.2"/>
    <row r="41" spans="1:8" ht="15" customHeight="1" x14ac:dyDescent="0.2"/>
    <row r="42" spans="1:8" ht="15" customHeight="1" x14ac:dyDescent="0.2"/>
    <row r="43" spans="1:8" ht="15" customHeight="1" x14ac:dyDescent="0.2"/>
    <row r="44" spans="1:8" ht="15" customHeight="1" x14ac:dyDescent="0.2">
      <c r="A44" s="143" t="s">
        <v>122</v>
      </c>
      <c r="B44" s="143" t="s">
        <v>190</v>
      </c>
    </row>
    <row r="45" spans="1:8" ht="15" customHeight="1" x14ac:dyDescent="0.2">
      <c r="B45" s="169" t="s">
        <v>142</v>
      </c>
    </row>
    <row r="46" spans="1:8" ht="15" customHeight="1" x14ac:dyDescent="0.2">
      <c r="B46" s="169" t="s">
        <v>144</v>
      </c>
    </row>
    <row r="47" spans="1:8" ht="15" customHeight="1" x14ac:dyDescent="0.2"/>
    <row r="48" spans="1:8" ht="15" customHeight="1" x14ac:dyDescent="0.2">
      <c r="B48" s="196" t="s">
        <v>202</v>
      </c>
      <c r="C48" s="196"/>
      <c r="D48" s="196"/>
    </row>
    <row r="49" spans="2:17" ht="15" customHeight="1" x14ac:dyDescent="0.2">
      <c r="B49" s="196" t="s">
        <v>111</v>
      </c>
      <c r="C49" s="196"/>
      <c r="D49" s="196" t="s">
        <v>111</v>
      </c>
    </row>
    <row r="50" spans="2:17" ht="15" customHeight="1" x14ac:dyDescent="0.2">
      <c r="B50" s="196" t="s">
        <v>119</v>
      </c>
      <c r="C50" s="196"/>
      <c r="D50" s="196" t="s">
        <v>119</v>
      </c>
    </row>
    <row r="51" spans="2:17" ht="15" customHeight="1" x14ac:dyDescent="0.2">
      <c r="B51" s="196" t="s">
        <v>120</v>
      </c>
      <c r="C51" s="196" t="s">
        <v>39</v>
      </c>
      <c r="D51" s="196" t="s">
        <v>120</v>
      </c>
      <c r="N51" t="s">
        <v>397</v>
      </c>
      <c r="O51" t="s">
        <v>398</v>
      </c>
    </row>
    <row r="52" spans="2:17" ht="15" customHeight="1" x14ac:dyDescent="0.2">
      <c r="B52" s="326">
        <v>27.5</v>
      </c>
      <c r="C52" s="185">
        <v>1</v>
      </c>
      <c r="D52" s="188">
        <v>27.5</v>
      </c>
      <c r="N52" s="326">
        <v>27.5</v>
      </c>
      <c r="O52" s="326">
        <v>29.7</v>
      </c>
      <c r="P52">
        <f>O52-N52</f>
        <v>2.1999999999999993</v>
      </c>
      <c r="Q52" s="512">
        <f>O52/N52</f>
        <v>1.08</v>
      </c>
    </row>
    <row r="53" spans="2:17" ht="15" customHeight="1" x14ac:dyDescent="0.2">
      <c r="B53" s="327">
        <v>50.9</v>
      </c>
      <c r="C53" s="185">
        <v>2</v>
      </c>
      <c r="D53" s="189">
        <v>50.9</v>
      </c>
      <c r="N53" s="327">
        <v>50.9</v>
      </c>
      <c r="O53" s="327">
        <v>57.5</v>
      </c>
      <c r="P53">
        <f t="shared" ref="P53:P61" si="1">O53-N53</f>
        <v>6.6000000000000014</v>
      </c>
      <c r="Q53" s="512">
        <f t="shared" ref="Q53:Q61" si="2">O53/N53</f>
        <v>1.1296660117878192</v>
      </c>
    </row>
    <row r="54" spans="2:17" ht="15" customHeight="1" x14ac:dyDescent="0.2">
      <c r="B54" s="94">
        <v>70.2</v>
      </c>
      <c r="C54" s="185">
        <v>3</v>
      </c>
      <c r="D54" s="184">
        <v>70.2</v>
      </c>
      <c r="N54" s="94">
        <v>70.2</v>
      </c>
      <c r="O54" s="94">
        <v>79.5</v>
      </c>
      <c r="P54">
        <f t="shared" si="1"/>
        <v>9.2999999999999972</v>
      </c>
      <c r="Q54" s="512">
        <f t="shared" si="2"/>
        <v>1.1324786324786325</v>
      </c>
    </row>
    <row r="55" spans="2:17" ht="15" customHeight="1" x14ac:dyDescent="0.2">
      <c r="B55" s="94">
        <v>88.2</v>
      </c>
      <c r="C55" s="185">
        <v>4</v>
      </c>
      <c r="D55" s="184">
        <v>88.2</v>
      </c>
      <c r="N55" s="94">
        <v>88.2</v>
      </c>
      <c r="O55" s="94">
        <v>96.4</v>
      </c>
      <c r="P55">
        <f t="shared" si="1"/>
        <v>8.2000000000000028</v>
      </c>
      <c r="Q55" s="512">
        <f t="shared" si="2"/>
        <v>1.0929705215419501</v>
      </c>
    </row>
    <row r="56" spans="2:17" ht="15" customHeight="1" x14ac:dyDescent="0.2">
      <c r="B56" s="327">
        <v>104.6</v>
      </c>
      <c r="C56" s="185">
        <v>5</v>
      </c>
      <c r="D56" s="189">
        <v>104.6</v>
      </c>
      <c r="N56" s="327">
        <v>104.6</v>
      </c>
      <c r="O56" s="327">
        <v>113.4</v>
      </c>
      <c r="P56">
        <f t="shared" si="1"/>
        <v>8.8000000000000114</v>
      </c>
      <c r="Q56" s="512">
        <f t="shared" si="2"/>
        <v>1.084130019120459</v>
      </c>
    </row>
    <row r="57" spans="2:17" ht="15" customHeight="1" x14ac:dyDescent="0.2">
      <c r="B57" s="94">
        <v>169.8</v>
      </c>
      <c r="C57" s="185">
        <v>10</v>
      </c>
      <c r="D57" s="184">
        <v>169.8</v>
      </c>
      <c r="N57" s="94">
        <v>169.8</v>
      </c>
      <c r="O57" s="94">
        <v>182</v>
      </c>
      <c r="P57">
        <f t="shared" si="1"/>
        <v>12.199999999999989</v>
      </c>
      <c r="Q57" s="512">
        <f t="shared" si="2"/>
        <v>1.0718492343934038</v>
      </c>
    </row>
    <row r="58" spans="2:17" ht="15" customHeight="1" x14ac:dyDescent="0.2">
      <c r="B58" s="94">
        <v>276.8</v>
      </c>
      <c r="C58" s="185">
        <v>20</v>
      </c>
      <c r="D58" s="184">
        <v>276.8</v>
      </c>
      <c r="N58" s="94">
        <v>276.8</v>
      </c>
      <c r="O58" s="94">
        <v>301.5</v>
      </c>
      <c r="P58">
        <f t="shared" si="1"/>
        <v>24.699999999999989</v>
      </c>
      <c r="Q58" s="512">
        <f t="shared" si="2"/>
        <v>1.0892341040462428</v>
      </c>
    </row>
    <row r="59" spans="2:17" ht="15" customHeight="1" x14ac:dyDescent="0.2">
      <c r="B59" s="94">
        <v>372.2</v>
      </c>
      <c r="C59" s="185">
        <v>30</v>
      </c>
      <c r="D59" s="184">
        <v>372.2</v>
      </c>
      <c r="N59" s="94">
        <v>372.2</v>
      </c>
      <c r="O59" s="94">
        <v>415.9</v>
      </c>
      <c r="P59">
        <f t="shared" si="1"/>
        <v>43.699999999999989</v>
      </c>
      <c r="Q59" s="512">
        <f t="shared" si="2"/>
        <v>1.1174099946265448</v>
      </c>
    </row>
    <row r="60" spans="2:17" ht="15" customHeight="1" x14ac:dyDescent="0.2">
      <c r="B60" s="94">
        <v>462</v>
      </c>
      <c r="C60" s="185">
        <v>40</v>
      </c>
      <c r="D60" s="184">
        <v>462</v>
      </c>
      <c r="N60" s="94">
        <v>462</v>
      </c>
      <c r="O60" s="94">
        <v>521.1</v>
      </c>
      <c r="P60">
        <f t="shared" si="1"/>
        <v>59.100000000000023</v>
      </c>
      <c r="Q60" s="512">
        <f t="shared" si="2"/>
        <v>1.127922077922078</v>
      </c>
    </row>
    <row r="61" spans="2:17" ht="15" customHeight="1" x14ac:dyDescent="0.2">
      <c r="B61" s="327">
        <v>538.29999999999995</v>
      </c>
      <c r="C61" s="185">
        <v>50</v>
      </c>
      <c r="D61" s="189">
        <v>538.29999999999995</v>
      </c>
      <c r="N61" s="327">
        <v>538.29999999999995</v>
      </c>
      <c r="O61" s="327">
        <v>618.79999999999995</v>
      </c>
      <c r="P61">
        <f t="shared" si="1"/>
        <v>80.5</v>
      </c>
      <c r="Q61" s="512">
        <f t="shared" si="2"/>
        <v>1.1495448634590377</v>
      </c>
    </row>
    <row r="62" spans="2:17" ht="15" customHeight="1" x14ac:dyDescent="0.2"/>
    <row r="63" spans="2:17" ht="15" customHeight="1" x14ac:dyDescent="0.2">
      <c r="C63" s="394" t="s">
        <v>203</v>
      </c>
    </row>
    <row r="64" spans="2:17" ht="15" customHeight="1" x14ac:dyDescent="0.2"/>
    <row r="65" spans="1:11" ht="15" customHeight="1" x14ac:dyDescent="0.2"/>
    <row r="66" spans="1:11" ht="15" customHeight="1" x14ac:dyDescent="0.2">
      <c r="A66" s="143" t="s">
        <v>125</v>
      </c>
      <c r="B66" s="143" t="s">
        <v>145</v>
      </c>
    </row>
    <row r="67" spans="1:11" ht="15" customHeight="1" x14ac:dyDescent="0.2">
      <c r="B67" s="169" t="s">
        <v>147</v>
      </c>
    </row>
    <row r="68" spans="1:11" ht="15" customHeight="1" x14ac:dyDescent="0.2">
      <c r="B68" s="169"/>
    </row>
    <row r="69" spans="1:11" ht="15" customHeight="1" x14ac:dyDescent="0.2"/>
    <row r="70" spans="1:11" ht="15" customHeight="1" x14ac:dyDescent="0.2">
      <c r="E70" s="504">
        <f>INDEX(LINEST(D$78:D$83,($C$78:$C$83)^{1,2,3}),1)</f>
        <v>6.2385120753118369E-2</v>
      </c>
      <c r="F70" s="503">
        <f>INDEX(LINEST(D$83:D$87,($C$83:$C$87)^{1,2,3}),1)</f>
        <v>-1.5833333333333403E-4</v>
      </c>
      <c r="H70" t="s">
        <v>387</v>
      </c>
    </row>
    <row r="71" spans="1:11" ht="15" customHeight="1" x14ac:dyDescent="0.2">
      <c r="E71" s="504">
        <f>INDEX(LINEST(D$78:D$83,($C$78:$C$83)^{1,2,3}),2)</f>
        <v>-1.6764270942687316</v>
      </c>
      <c r="F71" s="503">
        <f>INDEX(LINEST(D$83:D$87,($C$83:$C$87)^{1,2,3}),2)</f>
        <v>-3.3607142857142863E-2</v>
      </c>
      <c r="H71" t="s">
        <v>388</v>
      </c>
    </row>
    <row r="72" spans="1:11" ht="15" customHeight="1" x14ac:dyDescent="0.2">
      <c r="E72" s="504">
        <f>INDEX(LINEST(D$78:D$83,($C$78:$C$83)^{1,2,3}),3)</f>
        <v>27.307446003794009</v>
      </c>
      <c r="F72" s="503">
        <f>INDEX(LINEST(D$83:D$87,($C$83:$C$87)^{1,2,3}),3)</f>
        <v>11.719761904761903</v>
      </c>
    </row>
    <row r="73" spans="1:11" ht="15" customHeight="1" x14ac:dyDescent="0.2">
      <c r="E73" s="504">
        <f>INDEX(LINEST(D$78:D$83,($C$78:$C$83)^{1,2,3}),4)</f>
        <v>1.9897127657055194</v>
      </c>
      <c r="F73" s="503">
        <f>INDEX(LINEST(D$83:D$87,($C$83:$C$87)^{1,2,3}),4)</f>
        <v>56.320000000000071</v>
      </c>
    </row>
    <row r="74" spans="1:11" ht="15" customHeight="1" x14ac:dyDescent="0.2">
      <c r="E74" s="1"/>
      <c r="F74" s="1"/>
    </row>
    <row r="75" spans="1:11" ht="15" customHeight="1" x14ac:dyDescent="0.2">
      <c r="C75" s="195"/>
      <c r="D75" s="196" t="s">
        <v>146</v>
      </c>
      <c r="E75" s="196"/>
      <c r="F75" s="1"/>
      <c r="H75" s="212"/>
      <c r="I75" s="471" t="s">
        <v>133</v>
      </c>
      <c r="J75" s="212"/>
      <c r="K75" s="212"/>
    </row>
    <row r="76" spans="1:11" ht="15" customHeight="1" x14ac:dyDescent="0.2">
      <c r="C76" s="195"/>
      <c r="D76" s="196" t="s">
        <v>119</v>
      </c>
      <c r="E76" s="196"/>
      <c r="F76" s="1"/>
      <c r="H76" s="212"/>
      <c r="I76" s="472" t="s">
        <v>110</v>
      </c>
      <c r="J76" s="212" t="s">
        <v>111</v>
      </c>
      <c r="K76" s="508" t="s">
        <v>385</v>
      </c>
    </row>
    <row r="77" spans="1:11" ht="15" customHeight="1" x14ac:dyDescent="0.2">
      <c r="C77" s="195" t="s">
        <v>39</v>
      </c>
      <c r="D77" s="196" t="s">
        <v>120</v>
      </c>
      <c r="E77" s="196"/>
      <c r="F77" s="1"/>
      <c r="H77" s="212" t="s">
        <v>39</v>
      </c>
      <c r="I77" s="472" t="s">
        <v>149</v>
      </c>
      <c r="J77" s="212" t="s">
        <v>346</v>
      </c>
      <c r="K77" s="509" t="s">
        <v>386</v>
      </c>
    </row>
    <row r="78" spans="1:11" ht="15" customHeight="1" x14ac:dyDescent="0.2">
      <c r="C78" s="185">
        <v>1</v>
      </c>
      <c r="D78" s="188">
        <f>D52</f>
        <v>27.5</v>
      </c>
      <c r="E78" s="193">
        <f>(E$70*($C78)^3)+(E$71*($C78)^2)+(E$72*($C78)^1)+(E$73)</f>
        <v>27.683116795983914</v>
      </c>
      <c r="F78" s="3"/>
      <c r="H78" s="185">
        <v>1</v>
      </c>
      <c r="I78" s="473">
        <f>E78</f>
        <v>27.683116795983914</v>
      </c>
      <c r="J78" s="188">
        <f>B52</f>
        <v>27.5</v>
      </c>
      <c r="K78" s="505">
        <f>I78-J78</f>
        <v>0.18311679598391351</v>
      </c>
    </row>
    <row r="79" spans="1:11" ht="15" customHeight="1" x14ac:dyDescent="0.2">
      <c r="C79" s="185">
        <v>2</v>
      </c>
      <c r="D79" s="189">
        <f t="shared" ref="D79:D87" si="3">D53</f>
        <v>50.9</v>
      </c>
      <c r="E79" s="193">
        <f t="shared" ref="E79:E83" si="4">(E$70*($C79)^3)+(E$71*($C79)^2)+(E$72*($C79)^1)+(E$73)</f>
        <v>50.397977362243559</v>
      </c>
      <c r="F79" s="3"/>
      <c r="H79" s="185">
        <v>2</v>
      </c>
      <c r="I79" s="473">
        <f>E79</f>
        <v>50.397977362243559</v>
      </c>
      <c r="J79" s="189">
        <f t="shared" ref="J79:J87" si="5">B53</f>
        <v>50.9</v>
      </c>
      <c r="K79" s="506">
        <f t="shared" ref="K79:K87" si="6">I79-J79</f>
        <v>-0.50202263775643985</v>
      </c>
    </row>
    <row r="80" spans="1:11" ht="15" customHeight="1" x14ac:dyDescent="0.2">
      <c r="B80" t="s">
        <v>383</v>
      </c>
      <c r="C80" s="185">
        <v>3</v>
      </c>
      <c r="D80" s="184">
        <f t="shared" si="3"/>
        <v>70.2</v>
      </c>
      <c r="E80" s="193">
        <f t="shared" si="4"/>
        <v>70.508605189003163</v>
      </c>
      <c r="F80" s="3"/>
      <c r="H80" s="185">
        <v>3</v>
      </c>
      <c r="I80" s="473">
        <f>E80</f>
        <v>70.508605189003163</v>
      </c>
      <c r="J80" s="184">
        <f t="shared" si="5"/>
        <v>70.2</v>
      </c>
      <c r="K80" s="507">
        <f t="shared" si="6"/>
        <v>0.30860518900315981</v>
      </c>
    </row>
    <row r="81" spans="1:11" ht="15" customHeight="1" x14ac:dyDescent="0.2">
      <c r="C81" s="185">
        <v>4</v>
      </c>
      <c r="D81" s="184">
        <f t="shared" si="3"/>
        <v>88.2</v>
      </c>
      <c r="E81" s="193">
        <f t="shared" si="4"/>
        <v>88.389311000781419</v>
      </c>
      <c r="F81" s="3"/>
      <c r="H81" s="185">
        <v>4</v>
      </c>
      <c r="I81" s="473">
        <f>E81</f>
        <v>88.389311000781419</v>
      </c>
      <c r="J81" s="184">
        <f t="shared" si="5"/>
        <v>88.2</v>
      </c>
      <c r="K81" s="507">
        <f t="shared" si="6"/>
        <v>0.18931100078141583</v>
      </c>
    </row>
    <row r="82" spans="1:11" ht="15" customHeight="1" x14ac:dyDescent="0.2">
      <c r="C82" s="185">
        <v>5</v>
      </c>
      <c r="D82" s="189">
        <f t="shared" si="3"/>
        <v>104.6</v>
      </c>
      <c r="E82" s="193">
        <f t="shared" si="4"/>
        <v>104.41440552209707</v>
      </c>
      <c r="F82" s="3"/>
      <c r="H82" s="185">
        <v>5</v>
      </c>
      <c r="I82" s="473">
        <f>E82</f>
        <v>104.41440552209707</v>
      </c>
      <c r="J82" s="189">
        <f t="shared" si="5"/>
        <v>104.6</v>
      </c>
      <c r="K82" s="506">
        <f t="shared" si="6"/>
        <v>-0.18559447790292438</v>
      </c>
    </row>
    <row r="83" spans="1:11" ht="15" customHeight="1" x14ac:dyDescent="0.2">
      <c r="C83" s="185">
        <v>10</v>
      </c>
      <c r="D83" s="184">
        <f t="shared" si="3"/>
        <v>169.8</v>
      </c>
      <c r="E83" s="193">
        <f t="shared" si="4"/>
        <v>169.80658412989081</v>
      </c>
      <c r="F83" s="194">
        <f>(F$70*($C83)^3)+(F$71*($C83)^2)+(F$72*($C83)^1)+(F$73)</f>
        <v>169.99857142857147</v>
      </c>
      <c r="H83" s="185">
        <v>10</v>
      </c>
      <c r="I83" s="473">
        <f>(E83+F83)/2</f>
        <v>169.90257777923114</v>
      </c>
      <c r="J83" s="184">
        <f t="shared" si="5"/>
        <v>169.8</v>
      </c>
      <c r="K83" s="507">
        <f t="shared" si="6"/>
        <v>0.10257777923112599</v>
      </c>
    </row>
    <row r="84" spans="1:11" ht="15" customHeight="1" x14ac:dyDescent="0.2">
      <c r="C84" s="185">
        <v>20</v>
      </c>
      <c r="D84" s="184">
        <f t="shared" si="3"/>
        <v>276.8</v>
      </c>
      <c r="E84" s="3"/>
      <c r="F84" s="194">
        <f t="shared" ref="F84:F87" si="7">(F$70*($C84)^3)+(F$71*($C84)^2)+(F$72*($C84)^1)+(F$73)</f>
        <v>276.0057142857143</v>
      </c>
      <c r="H84" s="185">
        <v>20</v>
      </c>
      <c r="I84" s="473">
        <f>F84</f>
        <v>276.0057142857143</v>
      </c>
      <c r="J84" s="184">
        <f t="shared" si="5"/>
        <v>276.8</v>
      </c>
      <c r="K84" s="507">
        <f t="shared" si="6"/>
        <v>-0.79428571428570649</v>
      </c>
    </row>
    <row r="85" spans="1:11" ht="15" customHeight="1" x14ac:dyDescent="0.2">
      <c r="B85" s="54" t="s">
        <v>384</v>
      </c>
      <c r="C85" s="185">
        <v>30</v>
      </c>
      <c r="D85" s="184">
        <f t="shared" si="3"/>
        <v>372.2</v>
      </c>
      <c r="E85" s="3"/>
      <c r="F85" s="194">
        <f t="shared" si="7"/>
        <v>373.39142857142855</v>
      </c>
      <c r="H85" s="185">
        <v>30</v>
      </c>
      <c r="I85" s="473">
        <f>F85</f>
        <v>373.39142857142855</v>
      </c>
      <c r="J85" s="184">
        <f t="shared" si="5"/>
        <v>372.2</v>
      </c>
      <c r="K85" s="507">
        <f t="shared" si="6"/>
        <v>1.1914285714285597</v>
      </c>
    </row>
    <row r="86" spans="1:11" ht="15" customHeight="1" x14ac:dyDescent="0.2">
      <c r="C86" s="185">
        <v>40</v>
      </c>
      <c r="D86" s="184">
        <f t="shared" si="3"/>
        <v>462</v>
      </c>
      <c r="E86" s="3"/>
      <c r="F86" s="194">
        <f t="shared" si="7"/>
        <v>461.20571428571418</v>
      </c>
      <c r="H86" s="185">
        <v>40</v>
      </c>
      <c r="I86" s="473">
        <f>F86</f>
        <v>461.20571428571418</v>
      </c>
      <c r="J86" s="184">
        <f t="shared" si="5"/>
        <v>462</v>
      </c>
      <c r="K86" s="507">
        <f t="shared" si="6"/>
        <v>-0.79428571428582018</v>
      </c>
    </row>
    <row r="87" spans="1:11" ht="15" customHeight="1" x14ac:dyDescent="0.2">
      <c r="C87" s="185">
        <v>50</v>
      </c>
      <c r="D87" s="189">
        <f t="shared" si="3"/>
        <v>538.29999999999995</v>
      </c>
      <c r="E87" s="3"/>
      <c r="F87" s="194">
        <f t="shared" si="7"/>
        <v>538.49857142857138</v>
      </c>
      <c r="H87" s="185">
        <v>50</v>
      </c>
      <c r="I87" s="474">
        <f>F87</f>
        <v>538.49857142857138</v>
      </c>
      <c r="J87" s="189">
        <f t="shared" si="5"/>
        <v>538.29999999999995</v>
      </c>
      <c r="K87" s="506">
        <f t="shared" si="6"/>
        <v>0.19857142857142662</v>
      </c>
    </row>
    <row r="88" spans="1:11" ht="15" customHeight="1" x14ac:dyDescent="0.2">
      <c r="I88" s="72"/>
    </row>
    <row r="89" spans="1:11" ht="15" customHeight="1" x14ac:dyDescent="0.2"/>
    <row r="90" spans="1:11" ht="15" customHeight="1" x14ac:dyDescent="0.2"/>
    <row r="91" spans="1:11" ht="15" customHeight="1" x14ac:dyDescent="0.2">
      <c r="I91" s="72"/>
    </row>
    <row r="92" spans="1:11" ht="15" customHeight="1" x14ac:dyDescent="0.2">
      <c r="A92" s="143" t="s">
        <v>152</v>
      </c>
      <c r="B92" s="143" t="s">
        <v>150</v>
      </c>
    </row>
    <row r="93" spans="1:11" ht="15" customHeight="1" x14ac:dyDescent="0.2">
      <c r="A93" s="143"/>
      <c r="B93" s="143"/>
    </row>
    <row r="94" spans="1:11" ht="15" customHeight="1" x14ac:dyDescent="0.2">
      <c r="A94" s="143"/>
      <c r="B94" s="143" t="s">
        <v>153</v>
      </c>
    </row>
    <row r="95" spans="1:11" ht="15" customHeight="1" x14ac:dyDescent="0.2">
      <c r="A95" s="143"/>
      <c r="B95" s="143"/>
      <c r="K95" s="169" t="s">
        <v>155</v>
      </c>
    </row>
    <row r="96" spans="1:11" ht="15" customHeight="1" x14ac:dyDescent="0.2">
      <c r="I96" s="72"/>
    </row>
    <row r="97" spans="2:18" ht="15" customHeight="1" x14ac:dyDescent="0.2">
      <c r="G97" s="448"/>
      <c r="H97" s="449" t="s">
        <v>112</v>
      </c>
      <c r="I97" s="72"/>
      <c r="J97" s="50"/>
      <c r="M97" t="s">
        <v>171</v>
      </c>
    </row>
    <row r="98" spans="2:18" ht="15" customHeight="1" x14ac:dyDescent="0.2">
      <c r="B98" s="212"/>
      <c r="C98" s="392"/>
      <c r="D98" s="471" t="s">
        <v>133</v>
      </c>
      <c r="E98" s="471" t="s">
        <v>133</v>
      </c>
      <c r="F98" s="212"/>
      <c r="G98" s="450" t="s">
        <v>111</v>
      </c>
      <c r="H98" s="451" t="s">
        <v>368</v>
      </c>
      <c r="J98" s="498" t="s">
        <v>105</v>
      </c>
      <c r="K98" s="226"/>
      <c r="M98" s="498"/>
      <c r="N98" s="218" t="s">
        <v>156</v>
      </c>
    </row>
    <row r="99" spans="2:18" ht="15" customHeight="1" x14ac:dyDescent="0.2">
      <c r="B99" s="212"/>
      <c r="C99" s="196" t="s">
        <v>109</v>
      </c>
      <c r="D99" s="472" t="s">
        <v>110</v>
      </c>
      <c r="E99" s="472" t="s">
        <v>112</v>
      </c>
      <c r="F99" s="212" t="s">
        <v>105</v>
      </c>
      <c r="G99" s="450" t="s">
        <v>112</v>
      </c>
      <c r="H99" s="451" t="s">
        <v>369</v>
      </c>
      <c r="J99" s="499" t="s">
        <v>342</v>
      </c>
      <c r="K99" s="227" t="s">
        <v>154</v>
      </c>
      <c r="M99" s="181" t="s">
        <v>129</v>
      </c>
      <c r="N99" s="219" t="s">
        <v>119</v>
      </c>
    </row>
    <row r="100" spans="2:18" ht="15" customHeight="1" x14ac:dyDescent="0.2">
      <c r="B100" s="212" t="s">
        <v>39</v>
      </c>
      <c r="C100" s="502" t="s">
        <v>130</v>
      </c>
      <c r="D100" s="331" t="s">
        <v>130</v>
      </c>
      <c r="E100" s="331" t="s">
        <v>237</v>
      </c>
      <c r="F100" s="447" t="s">
        <v>235</v>
      </c>
      <c r="G100" s="452" t="s">
        <v>130</v>
      </c>
      <c r="H100" s="453" t="s">
        <v>235</v>
      </c>
      <c r="J100" s="500" t="s">
        <v>151</v>
      </c>
      <c r="K100" s="501" t="s">
        <v>375</v>
      </c>
      <c r="M100" s="181" t="s">
        <v>113</v>
      </c>
      <c r="N100" s="219"/>
      <c r="O100" s="344" t="s">
        <v>205</v>
      </c>
      <c r="P100" s="72" t="s">
        <v>213</v>
      </c>
      <c r="Q100" s="293" t="s">
        <v>214</v>
      </c>
    </row>
    <row r="101" spans="2:18" ht="15" customHeight="1" x14ac:dyDescent="0.2">
      <c r="B101" s="185">
        <v>1</v>
      </c>
      <c r="C101" s="198">
        <f>D101+E101</f>
        <v>28.249116795983912</v>
      </c>
      <c r="D101" s="198">
        <f t="shared" ref="D101:D110" si="8">I78</f>
        <v>27.683116795983914</v>
      </c>
      <c r="E101" s="197">
        <v>0.56599999999999995</v>
      </c>
      <c r="F101" s="231">
        <f>E101/C101</f>
        <v>2.0036024633537087E-2</v>
      </c>
      <c r="G101" s="454">
        <f t="shared" ref="G101:G110" si="9">G30</f>
        <v>0.8</v>
      </c>
      <c r="H101" s="455">
        <f>E101-G101</f>
        <v>-0.2340000000000001</v>
      </c>
      <c r="J101" s="496">
        <f>C30/100</f>
        <v>0.02</v>
      </c>
      <c r="K101" s="229">
        <f t="shared" ref="K101:K110" si="10">J101-F101</f>
        <v>-3.6024633537086459E-5</v>
      </c>
      <c r="M101" s="496">
        <f t="shared" ref="M101:M110" si="11">C101/D101</f>
        <v>1.0204456746749742</v>
      </c>
      <c r="N101" s="222">
        <f t="shared" ref="N101:N110" si="12">D101*M101</f>
        <v>28.249116795983912</v>
      </c>
      <c r="O101" s="366">
        <f t="shared" ref="O101:O110" si="13">N101-C101</f>
        <v>0</v>
      </c>
      <c r="P101" s="367">
        <f t="shared" ref="P101:P110" si="14">J101/F101</f>
        <v>0.99820200692522676</v>
      </c>
      <c r="Q101" s="368">
        <f t="shared" ref="Q101:Q110" si="15">P101*E101</f>
        <v>0.56498233591967828</v>
      </c>
      <c r="R101" s="346" t="s">
        <v>282</v>
      </c>
    </row>
    <row r="102" spans="2:18" ht="15" customHeight="1" x14ac:dyDescent="0.2">
      <c r="B102" s="185">
        <v>2</v>
      </c>
      <c r="C102" s="199">
        <f t="shared" ref="C102:C110" si="16">D102+E102</f>
        <v>52.49797736224356</v>
      </c>
      <c r="D102" s="199">
        <f t="shared" si="8"/>
        <v>50.397977362243559</v>
      </c>
      <c r="E102" s="197">
        <v>2.1</v>
      </c>
      <c r="F102" s="232">
        <f t="shared" ref="F102:F110" si="17">E102/C102</f>
        <v>4.0001541116711975E-2</v>
      </c>
      <c r="G102" s="456">
        <f t="shared" si="9"/>
        <v>2.5</v>
      </c>
      <c r="H102" s="457">
        <f t="shared" ref="H102:H110" si="18">E102-G102</f>
        <v>-0.39999999999999991</v>
      </c>
      <c r="J102" s="496">
        <f t="shared" ref="J102:J110" si="19">C31/100</f>
        <v>0.04</v>
      </c>
      <c r="K102" s="229">
        <f t="shared" si="10"/>
        <v>-1.5411167119741553E-6</v>
      </c>
      <c r="M102" s="496">
        <f t="shared" si="11"/>
        <v>1.0416683388880057</v>
      </c>
      <c r="N102" s="223">
        <f t="shared" si="12"/>
        <v>52.49797736224356</v>
      </c>
      <c r="O102" s="366">
        <f t="shared" si="13"/>
        <v>0</v>
      </c>
      <c r="P102" s="367">
        <f t="shared" si="14"/>
        <v>0.99996147356654386</v>
      </c>
      <c r="Q102" s="369">
        <f t="shared" si="15"/>
        <v>2.0999190944897421</v>
      </c>
      <c r="R102" s="346" t="s">
        <v>218</v>
      </c>
    </row>
    <row r="103" spans="2:18" ht="15" customHeight="1" x14ac:dyDescent="0.2">
      <c r="B103" s="185">
        <v>3</v>
      </c>
      <c r="C103" s="200">
        <f t="shared" si="16"/>
        <v>74.851605189003166</v>
      </c>
      <c r="D103" s="200">
        <f t="shared" si="8"/>
        <v>70.508605189003163</v>
      </c>
      <c r="E103" s="197">
        <v>4.343</v>
      </c>
      <c r="F103" s="233">
        <f t="shared" si="17"/>
        <v>5.8021467796632538E-2</v>
      </c>
      <c r="G103" s="458">
        <f t="shared" si="9"/>
        <v>4.8</v>
      </c>
      <c r="H103" s="459">
        <f t="shared" si="18"/>
        <v>-0.45699999999999985</v>
      </c>
      <c r="J103" s="496">
        <f t="shared" si="19"/>
        <v>5.7999999999999996E-2</v>
      </c>
      <c r="K103" s="229">
        <f t="shared" si="10"/>
        <v>-2.1467796632541891E-5</v>
      </c>
      <c r="M103" s="496">
        <f t="shared" si="11"/>
        <v>1.0615953185906641</v>
      </c>
      <c r="N103" s="224">
        <f t="shared" si="12"/>
        <v>74.851605189003166</v>
      </c>
      <c r="O103" s="366">
        <f t="shared" si="13"/>
        <v>0</v>
      </c>
      <c r="P103" s="367">
        <f t="shared" si="14"/>
        <v>0.99963000252410383</v>
      </c>
      <c r="Q103" s="367">
        <f t="shared" si="15"/>
        <v>4.3413931009621827</v>
      </c>
      <c r="R103" s="346" t="s">
        <v>220</v>
      </c>
    </row>
    <row r="104" spans="2:18" ht="15" customHeight="1" x14ac:dyDescent="0.2">
      <c r="B104" s="185">
        <v>4</v>
      </c>
      <c r="C104" s="200">
        <f t="shared" si="16"/>
        <v>95.571311000781421</v>
      </c>
      <c r="D104" s="200">
        <f t="shared" si="8"/>
        <v>88.389311000781419</v>
      </c>
      <c r="E104" s="197">
        <v>7.1820000000000004</v>
      </c>
      <c r="F104" s="233">
        <f t="shared" si="17"/>
        <v>7.5148074508900251E-2</v>
      </c>
      <c r="G104" s="458">
        <f t="shared" si="9"/>
        <v>7.4</v>
      </c>
      <c r="H104" s="459">
        <f t="shared" si="18"/>
        <v>-0.21799999999999997</v>
      </c>
      <c r="J104" s="496">
        <f t="shared" si="19"/>
        <v>7.51E-2</v>
      </c>
      <c r="K104" s="229">
        <f t="shared" si="10"/>
        <v>-4.8074508900250446E-5</v>
      </c>
      <c r="M104" s="496">
        <f t="shared" si="11"/>
        <v>1.0812541688432951</v>
      </c>
      <c r="N104" s="224">
        <f t="shared" si="12"/>
        <v>95.571311000781435</v>
      </c>
      <c r="O104" s="366">
        <f t="shared" si="13"/>
        <v>0</v>
      </c>
      <c r="P104" s="367">
        <f t="shared" si="14"/>
        <v>0.99936026958489066</v>
      </c>
      <c r="Q104" s="367">
        <f t="shared" si="15"/>
        <v>7.1774054561586853</v>
      </c>
      <c r="R104" s="167" t="s">
        <v>219</v>
      </c>
    </row>
    <row r="105" spans="2:18" ht="15" customHeight="1" x14ac:dyDescent="0.2">
      <c r="B105" s="185">
        <v>5</v>
      </c>
      <c r="C105" s="199">
        <f t="shared" si="16"/>
        <v>114.74140552209707</v>
      </c>
      <c r="D105" s="199">
        <f t="shared" si="8"/>
        <v>104.41440552209707</v>
      </c>
      <c r="E105" s="197">
        <v>10.327</v>
      </c>
      <c r="F105" s="232">
        <f t="shared" si="17"/>
        <v>9.0002383647036735E-2</v>
      </c>
      <c r="G105" s="456">
        <f t="shared" si="9"/>
        <v>9.8000000000000007</v>
      </c>
      <c r="H105" s="457">
        <f t="shared" si="18"/>
        <v>0.52699999999999925</v>
      </c>
      <c r="J105" s="496">
        <f t="shared" si="19"/>
        <v>0.09</v>
      </c>
      <c r="K105" s="229">
        <f t="shared" si="10"/>
        <v>-2.3836470367383233E-6</v>
      </c>
      <c r="M105" s="496">
        <f t="shared" si="11"/>
        <v>1.0989039773617684</v>
      </c>
      <c r="N105" s="223">
        <f t="shared" si="12"/>
        <v>114.74140552209705</v>
      </c>
      <c r="O105" s="366">
        <f t="shared" si="13"/>
        <v>0</v>
      </c>
      <c r="P105" s="367">
        <f t="shared" si="14"/>
        <v>0.99997351573436</v>
      </c>
      <c r="Q105" s="369">
        <f t="shared" si="15"/>
        <v>10.326726496988735</v>
      </c>
    </row>
    <row r="106" spans="2:18" ht="15" customHeight="1" x14ac:dyDescent="0.2">
      <c r="B106" s="185">
        <v>10</v>
      </c>
      <c r="C106" s="200">
        <f t="shared" si="16"/>
        <v>192.00057777923115</v>
      </c>
      <c r="D106" s="200">
        <f t="shared" si="8"/>
        <v>169.90257777923114</v>
      </c>
      <c r="E106" s="197">
        <v>22.097999999999999</v>
      </c>
      <c r="F106" s="233">
        <f t="shared" si="17"/>
        <v>0.11509340365323815</v>
      </c>
      <c r="G106" s="458">
        <f t="shared" si="9"/>
        <v>20.6</v>
      </c>
      <c r="H106" s="459">
        <f t="shared" si="18"/>
        <v>1.4979999999999976</v>
      </c>
      <c r="J106" s="496">
        <f t="shared" si="19"/>
        <v>0.11509999999999999</v>
      </c>
      <c r="K106" s="229">
        <f t="shared" si="10"/>
        <v>6.596346761839067E-6</v>
      </c>
      <c r="M106" s="496">
        <f t="shared" si="11"/>
        <v>1.1300627706114843</v>
      </c>
      <c r="N106" s="224">
        <f t="shared" si="12"/>
        <v>192.00057777923115</v>
      </c>
      <c r="O106" s="366">
        <f t="shared" si="13"/>
        <v>0</v>
      </c>
      <c r="P106" s="367">
        <f t="shared" si="14"/>
        <v>1.0000573129871257</v>
      </c>
      <c r="Q106" s="367">
        <f t="shared" si="15"/>
        <v>22.099266502389504</v>
      </c>
    </row>
    <row r="107" spans="2:18" ht="15" customHeight="1" x14ac:dyDescent="0.2">
      <c r="B107" s="185">
        <v>20</v>
      </c>
      <c r="C107" s="200">
        <f t="shared" si="16"/>
        <v>317.2437142857143</v>
      </c>
      <c r="D107" s="200">
        <f t="shared" si="8"/>
        <v>276.0057142857143</v>
      </c>
      <c r="E107" s="197">
        <v>41.238</v>
      </c>
      <c r="F107" s="233">
        <f t="shared" si="17"/>
        <v>0.12998839107923335</v>
      </c>
      <c r="G107" s="458">
        <f t="shared" si="9"/>
        <v>36.4</v>
      </c>
      <c r="H107" s="459">
        <f t="shared" si="18"/>
        <v>4.838000000000001</v>
      </c>
      <c r="J107" s="496">
        <f t="shared" si="19"/>
        <v>0.13</v>
      </c>
      <c r="K107" s="229">
        <f t="shared" si="10"/>
        <v>1.1608920766653652E-5</v>
      </c>
      <c r="M107" s="496">
        <f t="shared" si="11"/>
        <v>1.1494099501045527</v>
      </c>
      <c r="N107" s="224">
        <f t="shared" si="12"/>
        <v>317.2437142857143</v>
      </c>
      <c r="O107" s="366">
        <f t="shared" si="13"/>
        <v>0</v>
      </c>
      <c r="P107" s="367">
        <f t="shared" si="14"/>
        <v>1.0000893073656061</v>
      </c>
      <c r="Q107" s="367">
        <f t="shared" si="15"/>
        <v>41.241682857142862</v>
      </c>
    </row>
    <row r="108" spans="2:18" ht="15" customHeight="1" x14ac:dyDescent="0.2">
      <c r="B108" s="185">
        <v>30</v>
      </c>
      <c r="C108" s="200">
        <f>D108+E108</f>
        <v>429.18742857142854</v>
      </c>
      <c r="D108" s="200">
        <f t="shared" si="8"/>
        <v>373.39142857142855</v>
      </c>
      <c r="E108" s="197">
        <v>55.795999999999999</v>
      </c>
      <c r="F108" s="233">
        <f t="shared" si="17"/>
        <v>0.13000380786016899</v>
      </c>
      <c r="G108" s="458">
        <f t="shared" si="9"/>
        <v>50</v>
      </c>
      <c r="H108" s="459">
        <f t="shared" si="18"/>
        <v>5.7959999999999994</v>
      </c>
      <c r="J108" s="496">
        <f t="shared" si="19"/>
        <v>0.13</v>
      </c>
      <c r="K108" s="229">
        <f t="shared" si="10"/>
        <v>-3.8078601689861546E-6</v>
      </c>
      <c r="M108" s="496">
        <f t="shared" si="11"/>
        <v>1.1494303182412942</v>
      </c>
      <c r="N108" s="224">
        <f t="shared" si="12"/>
        <v>429.1874285714286</v>
      </c>
      <c r="O108" s="366">
        <f t="shared" si="13"/>
        <v>0</v>
      </c>
      <c r="P108" s="367">
        <f t="shared" si="14"/>
        <v>0.99997070962588197</v>
      </c>
      <c r="Q108" s="367">
        <f t="shared" si="15"/>
        <v>55.794365714285711</v>
      </c>
    </row>
    <row r="109" spans="2:18" ht="15" customHeight="1" x14ac:dyDescent="0.2">
      <c r="B109" s="185">
        <v>40</v>
      </c>
      <c r="C109" s="200">
        <f t="shared" si="16"/>
        <v>530.10271428571423</v>
      </c>
      <c r="D109" s="200">
        <f t="shared" si="8"/>
        <v>461.20571428571418</v>
      </c>
      <c r="E109" s="197">
        <v>68.897000000000006</v>
      </c>
      <c r="F109" s="233">
        <f t="shared" si="17"/>
        <v>0.1299691515310106</v>
      </c>
      <c r="G109" s="458">
        <f t="shared" si="9"/>
        <v>63.3</v>
      </c>
      <c r="H109" s="459">
        <f t="shared" si="18"/>
        <v>5.5970000000000084</v>
      </c>
      <c r="J109" s="496">
        <f t="shared" si="19"/>
        <v>0.13</v>
      </c>
      <c r="K109" s="229">
        <f t="shared" si="10"/>
        <v>3.0848468989402855E-5</v>
      </c>
      <c r="M109" s="496">
        <f t="shared" si="11"/>
        <v>1.1493845324676935</v>
      </c>
      <c r="N109" s="224">
        <f t="shared" si="12"/>
        <v>530.10271428571423</v>
      </c>
      <c r="O109" s="366">
        <f t="shared" si="13"/>
        <v>0</v>
      </c>
      <c r="P109" s="367">
        <f t="shared" si="14"/>
        <v>1.0002373522380197</v>
      </c>
      <c r="Q109" s="367">
        <f t="shared" si="15"/>
        <v>68.913352857142854</v>
      </c>
    </row>
    <row r="110" spans="2:18" ht="15" customHeight="1" x14ac:dyDescent="0.2">
      <c r="B110" s="185">
        <v>50</v>
      </c>
      <c r="C110" s="199">
        <f t="shared" si="16"/>
        <v>618.97757142857142</v>
      </c>
      <c r="D110" s="199">
        <f t="shared" si="8"/>
        <v>538.49857142857138</v>
      </c>
      <c r="E110" s="197">
        <v>80.478999999999999</v>
      </c>
      <c r="F110" s="232">
        <f t="shared" si="17"/>
        <v>0.13001925063982239</v>
      </c>
      <c r="G110" s="460">
        <f t="shared" si="9"/>
        <v>74.7</v>
      </c>
      <c r="H110" s="461">
        <f t="shared" si="18"/>
        <v>5.7789999999999964</v>
      </c>
      <c r="J110" s="497">
        <f t="shared" si="19"/>
        <v>0.13</v>
      </c>
      <c r="K110" s="230">
        <f t="shared" si="10"/>
        <v>-1.9250639822387949E-5</v>
      </c>
      <c r="M110" s="497">
        <f t="shared" si="11"/>
        <v>1.149450721450382</v>
      </c>
      <c r="N110" s="225">
        <f t="shared" si="12"/>
        <v>618.97757142857142</v>
      </c>
      <c r="O110" s="366">
        <f t="shared" si="13"/>
        <v>0</v>
      </c>
      <c r="P110" s="367">
        <f t="shared" si="14"/>
        <v>0.99985194008019851</v>
      </c>
      <c r="Q110" s="369">
        <f t="shared" si="15"/>
        <v>80.467084285714293</v>
      </c>
    </row>
    <row r="111" spans="2:18" ht="15" customHeight="1" x14ac:dyDescent="0.2">
      <c r="K111" s="72"/>
    </row>
    <row r="112" spans="2:18" ht="15" customHeight="1" x14ac:dyDescent="0.2">
      <c r="K112" s="72"/>
    </row>
    <row r="113" spans="1:19" ht="15" customHeight="1" x14ac:dyDescent="0.2">
      <c r="A113" s="169" t="s">
        <v>157</v>
      </c>
      <c r="B113" s="143" t="s">
        <v>158</v>
      </c>
      <c r="I113" s="72"/>
    </row>
    <row r="114" spans="1:19" ht="15" customHeight="1" x14ac:dyDescent="0.2">
      <c r="A114" s="169"/>
      <c r="B114" s="54" t="s">
        <v>272</v>
      </c>
      <c r="I114" s="72"/>
    </row>
    <row r="115" spans="1:19" ht="15" customHeight="1" x14ac:dyDescent="0.2">
      <c r="A115" s="169"/>
      <c r="B115" s="54" t="s">
        <v>271</v>
      </c>
      <c r="I115" s="72"/>
    </row>
    <row r="116" spans="1:19" ht="15" customHeight="1" x14ac:dyDescent="0.2">
      <c r="A116" s="169"/>
      <c r="B116" s="54" t="s">
        <v>270</v>
      </c>
      <c r="I116" s="72"/>
    </row>
    <row r="117" spans="1:19" ht="15" customHeight="1" x14ac:dyDescent="0.2">
      <c r="A117" s="169"/>
      <c r="B117" s="54" t="s">
        <v>269</v>
      </c>
      <c r="I117" s="72"/>
    </row>
    <row r="118" spans="1:19" ht="15" customHeight="1" x14ac:dyDescent="0.2">
      <c r="A118" s="169"/>
      <c r="B118" s="54" t="s">
        <v>273</v>
      </c>
      <c r="I118" s="72"/>
    </row>
    <row r="119" spans="1:19" ht="15" customHeight="1" x14ac:dyDescent="0.2">
      <c r="A119" s="169"/>
      <c r="B119" s="54" t="s">
        <v>274</v>
      </c>
      <c r="I119" s="72"/>
    </row>
    <row r="120" spans="1:19" ht="15" customHeight="1" x14ac:dyDescent="0.2">
      <c r="B120" s="54" t="s">
        <v>275</v>
      </c>
      <c r="I120" s="72"/>
    </row>
    <row r="121" spans="1:19" ht="15" customHeight="1" x14ac:dyDescent="0.2">
      <c r="B121" s="54" t="s">
        <v>241</v>
      </c>
      <c r="I121" s="72"/>
    </row>
    <row r="122" spans="1:19" ht="15" customHeight="1" x14ac:dyDescent="0.2">
      <c r="I122" s="72"/>
      <c r="P122" s="387" t="s">
        <v>231</v>
      </c>
    </row>
    <row r="123" spans="1:19" ht="15" customHeight="1" x14ac:dyDescent="0.2">
      <c r="I123" s="72"/>
      <c r="M123" s="386" t="s">
        <v>229</v>
      </c>
    </row>
    <row r="124" spans="1:19" ht="15" customHeight="1" x14ac:dyDescent="0.2">
      <c r="D124" s="293" t="s">
        <v>240</v>
      </c>
      <c r="I124" s="72"/>
    </row>
    <row r="125" spans="1:19" ht="15" customHeight="1" x14ac:dyDescent="0.2">
      <c r="F125" s="72"/>
      <c r="G125" s="72"/>
      <c r="H125" s="72"/>
      <c r="I125" s="72"/>
      <c r="J125" s="439" t="s">
        <v>351</v>
      </c>
      <c r="K125" s="293"/>
      <c r="L125" s="293"/>
      <c r="M125" s="196" t="s">
        <v>276</v>
      </c>
      <c r="O125" s="72"/>
      <c r="P125" s="72"/>
      <c r="Q125" s="72"/>
    </row>
    <row r="126" spans="1:19" ht="15" customHeight="1" x14ac:dyDescent="0.2">
      <c r="B126" s="195"/>
      <c r="C126" s="170" t="s">
        <v>133</v>
      </c>
      <c r="D126" s="170" t="s">
        <v>133</v>
      </c>
      <c r="E126" s="284" t="s">
        <v>133</v>
      </c>
      <c r="F126" s="278" t="s">
        <v>133</v>
      </c>
      <c r="G126" s="278" t="s">
        <v>133</v>
      </c>
      <c r="H126" s="332" t="str">
        <f>J99</f>
        <v>stiff</v>
      </c>
      <c r="I126" s="196" t="s">
        <v>111</v>
      </c>
      <c r="J126" s="388" t="s">
        <v>180</v>
      </c>
      <c r="K126" s="388" t="s">
        <v>181</v>
      </c>
      <c r="L126" s="170" t="s">
        <v>50</v>
      </c>
      <c r="M126" s="196" t="s">
        <v>50</v>
      </c>
      <c r="O126" s="170" t="s">
        <v>111</v>
      </c>
      <c r="P126" s="170" t="s">
        <v>111</v>
      </c>
      <c r="Q126" s="284" t="s">
        <v>111</v>
      </c>
      <c r="R126" s="495" t="s">
        <v>374</v>
      </c>
      <c r="S126" s="482" t="s">
        <v>372</v>
      </c>
    </row>
    <row r="127" spans="1:19" ht="15" customHeight="1" x14ac:dyDescent="0.2">
      <c r="B127" s="195"/>
      <c r="C127" s="174" t="s">
        <v>117</v>
      </c>
      <c r="D127" s="163" t="s">
        <v>118</v>
      </c>
      <c r="E127" s="196" t="s">
        <v>109</v>
      </c>
      <c r="F127" s="183" t="s">
        <v>110</v>
      </c>
      <c r="G127" s="183" t="s">
        <v>112</v>
      </c>
      <c r="H127" s="332" t="s">
        <v>105</v>
      </c>
      <c r="I127" s="388" t="s">
        <v>232</v>
      </c>
      <c r="J127" s="388" t="s">
        <v>232</v>
      </c>
      <c r="K127" s="388" t="s">
        <v>239</v>
      </c>
      <c r="L127" s="174" t="s">
        <v>233</v>
      </c>
      <c r="M127" s="196" t="s">
        <v>232</v>
      </c>
      <c r="O127" s="174" t="s">
        <v>232</v>
      </c>
      <c r="P127" s="174" t="s">
        <v>233</v>
      </c>
      <c r="Q127" s="481" t="s">
        <v>118</v>
      </c>
      <c r="R127" s="483" t="s">
        <v>370</v>
      </c>
      <c r="S127" s="484" t="s">
        <v>112</v>
      </c>
    </row>
    <row r="128" spans="1:19" ht="15" customHeight="1" x14ac:dyDescent="0.2">
      <c r="B128" s="195" t="s">
        <v>39</v>
      </c>
      <c r="C128" s="192" t="s">
        <v>235</v>
      </c>
      <c r="D128" s="192" t="s">
        <v>235</v>
      </c>
      <c r="E128" s="192" t="s">
        <v>235</v>
      </c>
      <c r="F128" s="331" t="s">
        <v>130</v>
      </c>
      <c r="G128" s="331" t="s">
        <v>130</v>
      </c>
      <c r="H128" s="391" t="s">
        <v>235</v>
      </c>
      <c r="I128" s="192" t="s">
        <v>234</v>
      </c>
      <c r="J128" s="192" t="s">
        <v>238</v>
      </c>
      <c r="K128" s="192" t="s">
        <v>235</v>
      </c>
      <c r="L128" s="192" t="s">
        <v>238</v>
      </c>
      <c r="M128" s="192" t="s">
        <v>238</v>
      </c>
      <c r="O128" s="192" t="s">
        <v>234</v>
      </c>
      <c r="P128" s="192" t="s">
        <v>234</v>
      </c>
      <c r="Q128" s="285" t="s">
        <v>234</v>
      </c>
      <c r="R128" s="485" t="s">
        <v>371</v>
      </c>
      <c r="S128" s="486" t="s">
        <v>373</v>
      </c>
    </row>
    <row r="129" spans="1:23" ht="15" customHeight="1" x14ac:dyDescent="0.2">
      <c r="B129" s="185">
        <v>1</v>
      </c>
      <c r="C129" s="198">
        <f>(D129-J129)</f>
        <v>49.349116795983917</v>
      </c>
      <c r="D129" s="198">
        <f>(F129+G129+J129+K129+L129)</f>
        <v>122.34911679598392</v>
      </c>
      <c r="E129" s="198">
        <f>F129+G129</f>
        <v>28.249116795983912</v>
      </c>
      <c r="F129" s="198">
        <f t="shared" ref="F129:F138" si="20">D101</f>
        <v>27.683116795983914</v>
      </c>
      <c r="G129" s="254">
        <f t="shared" ref="G129:G138" si="21">E101</f>
        <v>0.56599999999999995</v>
      </c>
      <c r="H129" s="234">
        <f>G129/E129</f>
        <v>2.0036024633537087E-2</v>
      </c>
      <c r="I129" s="198">
        <f>O129</f>
        <v>77.900000000000006</v>
      </c>
      <c r="J129" s="320">
        <v>73</v>
      </c>
      <c r="K129" s="395">
        <f>I129-J129</f>
        <v>4.9000000000000057</v>
      </c>
      <c r="L129" s="320">
        <v>16.2</v>
      </c>
      <c r="M129" s="320">
        <v>77</v>
      </c>
      <c r="O129" s="389">
        <v>77.900000000000006</v>
      </c>
      <c r="P129" s="320">
        <v>14.8</v>
      </c>
      <c r="Q129" s="323">
        <v>121</v>
      </c>
      <c r="R129" s="487">
        <f>D129-Q129</f>
        <v>1.3491167959839174</v>
      </c>
      <c r="S129" s="488">
        <f>G129-G30</f>
        <v>-0.2340000000000001</v>
      </c>
    </row>
    <row r="130" spans="1:23" ht="15" customHeight="1" x14ac:dyDescent="0.2">
      <c r="B130" s="185">
        <v>2</v>
      </c>
      <c r="C130" s="199">
        <f t="shared" ref="C130:C138" si="22">(D130-J130)</f>
        <v>73.197977362243563</v>
      </c>
      <c r="D130" s="199">
        <f t="shared" ref="D130:D138" si="23">(F130+G130+J130+K130+L130)</f>
        <v>146.19797736224356</v>
      </c>
      <c r="E130" s="199">
        <f t="shared" ref="E130:E135" si="24">F130+G130</f>
        <v>52.49797736224356</v>
      </c>
      <c r="F130" s="199">
        <f t="shared" si="20"/>
        <v>50.397977362243559</v>
      </c>
      <c r="G130" s="255">
        <f t="shared" si="21"/>
        <v>2.1</v>
      </c>
      <c r="H130" s="235">
        <f t="shared" ref="H130:H138" si="25">G130/E130</f>
        <v>4.0001541116711975E-2</v>
      </c>
      <c r="I130" s="199">
        <f t="shared" ref="I130:I138" si="26">O130</f>
        <v>77.7</v>
      </c>
      <c r="J130" s="321">
        <v>73</v>
      </c>
      <c r="K130" s="396">
        <f t="shared" ref="K130:K138" si="27">I130-J130</f>
        <v>4.7000000000000028</v>
      </c>
      <c r="L130" s="321">
        <v>16</v>
      </c>
      <c r="M130" s="321">
        <v>77</v>
      </c>
      <c r="O130" s="321">
        <v>77.7</v>
      </c>
      <c r="P130" s="321">
        <v>16</v>
      </c>
      <c r="Q130" s="324">
        <v>147</v>
      </c>
      <c r="R130" s="489">
        <f t="shared" ref="R130:R138" si="28">D130-Q130</f>
        <v>-0.80202263775643701</v>
      </c>
      <c r="S130" s="490">
        <f t="shared" ref="S130:S138" si="29">G130-G31</f>
        <v>-0.39999999999999991</v>
      </c>
    </row>
    <row r="131" spans="1:23" ht="15" customHeight="1" x14ac:dyDescent="0.2">
      <c r="B131" s="185">
        <v>3</v>
      </c>
      <c r="C131" s="200">
        <f t="shared" si="22"/>
        <v>95.251605189003186</v>
      </c>
      <c r="D131" s="200">
        <f t="shared" si="23"/>
        <v>168.25160518900319</v>
      </c>
      <c r="E131" s="200">
        <f t="shared" si="24"/>
        <v>74.851605189003166</v>
      </c>
      <c r="F131" s="200">
        <f t="shared" si="20"/>
        <v>70.508605189003163</v>
      </c>
      <c r="G131" s="256">
        <f t="shared" si="21"/>
        <v>4.343</v>
      </c>
      <c r="H131" s="236">
        <f t="shared" si="25"/>
        <v>5.8021467796632538E-2</v>
      </c>
      <c r="I131" s="200">
        <f t="shared" si="26"/>
        <v>77.400000000000006</v>
      </c>
      <c r="J131" s="322">
        <v>73</v>
      </c>
      <c r="K131" s="397">
        <f t="shared" si="27"/>
        <v>4.4000000000000057</v>
      </c>
      <c r="L131" s="322">
        <v>16</v>
      </c>
      <c r="M131" s="322">
        <v>77</v>
      </c>
      <c r="O131" s="322">
        <v>77.400000000000006</v>
      </c>
      <c r="P131" s="322">
        <v>17.600000000000001</v>
      </c>
      <c r="Q131" s="325">
        <v>170</v>
      </c>
      <c r="R131" s="491">
        <f t="shared" si="28"/>
        <v>-1.7483948109968139</v>
      </c>
      <c r="S131" s="492">
        <f t="shared" si="29"/>
        <v>-0.45699999999999985</v>
      </c>
    </row>
    <row r="132" spans="1:23" ht="15" customHeight="1" x14ac:dyDescent="0.2">
      <c r="B132" s="185">
        <v>4</v>
      </c>
      <c r="C132" s="200">
        <f t="shared" si="22"/>
        <v>115.7713110007814</v>
      </c>
      <c r="D132" s="200">
        <f t="shared" si="23"/>
        <v>188.7713110007814</v>
      </c>
      <c r="E132" s="200">
        <f t="shared" si="24"/>
        <v>95.571311000781421</v>
      </c>
      <c r="F132" s="200">
        <f t="shared" si="20"/>
        <v>88.389311000781419</v>
      </c>
      <c r="G132" s="256">
        <f t="shared" si="21"/>
        <v>7.1820000000000004</v>
      </c>
      <c r="H132" s="236">
        <f t="shared" si="25"/>
        <v>7.5148074508900251E-2</v>
      </c>
      <c r="I132" s="200">
        <f t="shared" si="26"/>
        <v>77.2</v>
      </c>
      <c r="J132" s="322">
        <v>73</v>
      </c>
      <c r="K132" s="397">
        <f t="shared" si="27"/>
        <v>4.2000000000000028</v>
      </c>
      <c r="L132" s="322">
        <v>16</v>
      </c>
      <c r="M132" s="322">
        <v>77</v>
      </c>
      <c r="O132" s="322">
        <v>77.2</v>
      </c>
      <c r="P132" s="322">
        <v>16.2</v>
      </c>
      <c r="Q132" s="325">
        <v>189</v>
      </c>
      <c r="R132" s="491">
        <f t="shared" si="28"/>
        <v>-0.22868899921860475</v>
      </c>
      <c r="S132" s="492">
        <f t="shared" si="29"/>
        <v>-0.21799999999999997</v>
      </c>
    </row>
    <row r="133" spans="1:23" ht="15" customHeight="1" x14ac:dyDescent="0.2">
      <c r="B133" s="185">
        <v>5</v>
      </c>
      <c r="C133" s="199">
        <f t="shared" si="22"/>
        <v>134.94140552209706</v>
      </c>
      <c r="D133" s="199">
        <f t="shared" si="23"/>
        <v>207.94140552209706</v>
      </c>
      <c r="E133" s="199">
        <f t="shared" si="24"/>
        <v>114.74140552209707</v>
      </c>
      <c r="F133" s="199">
        <f t="shared" si="20"/>
        <v>104.41440552209707</v>
      </c>
      <c r="G133" s="255">
        <f t="shared" si="21"/>
        <v>10.327</v>
      </c>
      <c r="H133" s="235">
        <f t="shared" si="25"/>
        <v>9.0002383647036735E-2</v>
      </c>
      <c r="I133" s="199">
        <f t="shared" si="26"/>
        <v>77.2</v>
      </c>
      <c r="J133" s="321">
        <v>73</v>
      </c>
      <c r="K133" s="396">
        <f t="shared" si="27"/>
        <v>4.2000000000000028</v>
      </c>
      <c r="L133" s="321">
        <v>16</v>
      </c>
      <c r="M133" s="321">
        <v>77</v>
      </c>
      <c r="O133" s="321">
        <v>77.2</v>
      </c>
      <c r="P133" s="321">
        <v>16.399999999999999</v>
      </c>
      <c r="Q133" s="324">
        <v>208</v>
      </c>
      <c r="R133" s="489">
        <f t="shared" si="28"/>
        <v>-5.8594477902943254E-2</v>
      </c>
      <c r="S133" s="490">
        <f t="shared" si="29"/>
        <v>0.52699999999999925</v>
      </c>
    </row>
    <row r="134" spans="1:23" ht="15" customHeight="1" x14ac:dyDescent="0.2">
      <c r="B134" s="185">
        <v>10</v>
      </c>
      <c r="C134" s="200">
        <f t="shared" si="22"/>
        <v>212.40057777923118</v>
      </c>
      <c r="D134" s="200">
        <f t="shared" si="23"/>
        <v>285.40057777923118</v>
      </c>
      <c r="E134" s="200">
        <f t="shared" si="24"/>
        <v>192.00057777923115</v>
      </c>
      <c r="F134" s="200">
        <f t="shared" si="20"/>
        <v>169.90257777923114</v>
      </c>
      <c r="G134" s="256">
        <f t="shared" si="21"/>
        <v>22.097999999999999</v>
      </c>
      <c r="H134" s="236">
        <f t="shared" si="25"/>
        <v>0.11509340365323815</v>
      </c>
      <c r="I134" s="200">
        <f t="shared" si="26"/>
        <v>77.400000000000006</v>
      </c>
      <c r="J134" s="322">
        <v>73</v>
      </c>
      <c r="K134" s="397">
        <f t="shared" si="27"/>
        <v>4.4000000000000057</v>
      </c>
      <c r="L134" s="322">
        <v>16</v>
      </c>
      <c r="M134" s="322">
        <v>77</v>
      </c>
      <c r="O134" s="322">
        <v>77.400000000000006</v>
      </c>
      <c r="P134" s="322">
        <v>19.2</v>
      </c>
      <c r="Q134" s="325">
        <v>287</v>
      </c>
      <c r="R134" s="491">
        <f t="shared" si="28"/>
        <v>-1.5994222207688154</v>
      </c>
      <c r="S134" s="492">
        <f t="shared" si="29"/>
        <v>1.4979999999999976</v>
      </c>
    </row>
    <row r="135" spans="1:23" ht="15" customHeight="1" x14ac:dyDescent="0.2">
      <c r="B135" s="185">
        <v>20</v>
      </c>
      <c r="C135" s="200">
        <f t="shared" si="22"/>
        <v>337.54371428571432</v>
      </c>
      <c r="D135" s="200">
        <f t="shared" si="23"/>
        <v>410.54371428571432</v>
      </c>
      <c r="E135" s="200">
        <f t="shared" si="24"/>
        <v>317.2437142857143</v>
      </c>
      <c r="F135" s="200">
        <f t="shared" si="20"/>
        <v>276.0057142857143</v>
      </c>
      <c r="G135" s="256">
        <f t="shared" si="21"/>
        <v>41.238</v>
      </c>
      <c r="H135" s="236">
        <f t="shared" si="25"/>
        <v>0.12998839107923335</v>
      </c>
      <c r="I135" s="200">
        <f t="shared" si="26"/>
        <v>77.3</v>
      </c>
      <c r="J135" s="322">
        <v>73</v>
      </c>
      <c r="K135" s="397">
        <f t="shared" si="27"/>
        <v>4.2999999999999972</v>
      </c>
      <c r="L135" s="322">
        <v>16</v>
      </c>
      <c r="M135" s="322">
        <v>77</v>
      </c>
      <c r="O135" s="322">
        <v>77.3</v>
      </c>
      <c r="P135" s="322">
        <v>23.4</v>
      </c>
      <c r="Q135" s="325">
        <v>414</v>
      </c>
      <c r="R135" s="491">
        <f t="shared" si="28"/>
        <v>-3.4562857142856842</v>
      </c>
      <c r="S135" s="492">
        <f t="shared" si="29"/>
        <v>4.838000000000001</v>
      </c>
    </row>
    <row r="136" spans="1:23" ht="15" customHeight="1" x14ac:dyDescent="0.2">
      <c r="B136" s="185">
        <v>30</v>
      </c>
      <c r="C136" s="200">
        <f t="shared" si="22"/>
        <v>450.08742857142852</v>
      </c>
      <c r="D136" s="200">
        <f t="shared" si="23"/>
        <v>523.08742857142852</v>
      </c>
      <c r="E136" s="200">
        <f>F136+G136</f>
        <v>429.18742857142854</v>
      </c>
      <c r="F136" s="200">
        <f t="shared" si="20"/>
        <v>373.39142857142855</v>
      </c>
      <c r="G136" s="256">
        <f t="shared" si="21"/>
        <v>55.795999999999999</v>
      </c>
      <c r="H136" s="236">
        <f t="shared" si="25"/>
        <v>0.13000380786016899</v>
      </c>
      <c r="I136" s="200">
        <f t="shared" si="26"/>
        <v>77.900000000000006</v>
      </c>
      <c r="J136" s="322">
        <v>73</v>
      </c>
      <c r="K136" s="397">
        <f t="shared" si="27"/>
        <v>4.9000000000000057</v>
      </c>
      <c r="L136" s="322">
        <v>16</v>
      </c>
      <c r="M136" s="322">
        <v>77</v>
      </c>
      <c r="O136" s="322">
        <v>77.900000000000006</v>
      </c>
      <c r="P136" s="322">
        <v>24.9</v>
      </c>
      <c r="Q136" s="325">
        <v>525</v>
      </c>
      <c r="R136" s="491">
        <f t="shared" si="28"/>
        <v>-1.9125714285714821</v>
      </c>
      <c r="S136" s="492">
        <f t="shared" si="29"/>
        <v>5.7959999999999994</v>
      </c>
    </row>
    <row r="137" spans="1:23" ht="15" customHeight="1" x14ac:dyDescent="0.2">
      <c r="B137" s="185">
        <v>40</v>
      </c>
      <c r="C137" s="200">
        <f t="shared" si="22"/>
        <v>551.40271428571418</v>
      </c>
      <c r="D137" s="200">
        <f t="shared" si="23"/>
        <v>624.40271428571418</v>
      </c>
      <c r="E137" s="200">
        <f t="shared" ref="E137:E138" si="30">F137+G137</f>
        <v>530.10271428571423</v>
      </c>
      <c r="F137" s="200">
        <f t="shared" si="20"/>
        <v>461.20571428571418</v>
      </c>
      <c r="G137" s="256">
        <f t="shared" si="21"/>
        <v>68.897000000000006</v>
      </c>
      <c r="H137" s="236">
        <f t="shared" si="25"/>
        <v>0.1299691515310106</v>
      </c>
      <c r="I137" s="200">
        <f t="shared" si="26"/>
        <v>78.3</v>
      </c>
      <c r="J137" s="322">
        <v>73</v>
      </c>
      <c r="K137" s="397">
        <f t="shared" si="27"/>
        <v>5.2999999999999972</v>
      </c>
      <c r="L137" s="322">
        <v>16</v>
      </c>
      <c r="M137" s="322">
        <v>78</v>
      </c>
      <c r="O137" s="322">
        <v>78.3</v>
      </c>
      <c r="P137" s="322">
        <v>25.4</v>
      </c>
      <c r="Q137" s="325">
        <v>629</v>
      </c>
      <c r="R137" s="491">
        <f t="shared" si="28"/>
        <v>-4.5972857142858174</v>
      </c>
      <c r="S137" s="492">
        <f t="shared" si="29"/>
        <v>5.5970000000000084</v>
      </c>
    </row>
    <row r="138" spans="1:23" ht="15" customHeight="1" x14ac:dyDescent="0.2">
      <c r="B138" s="185">
        <v>50</v>
      </c>
      <c r="C138" s="199">
        <f t="shared" si="22"/>
        <v>641.57757142857145</v>
      </c>
      <c r="D138" s="199">
        <f t="shared" si="23"/>
        <v>714.57757142857145</v>
      </c>
      <c r="E138" s="199">
        <f t="shared" si="30"/>
        <v>618.97757142857142</v>
      </c>
      <c r="F138" s="199">
        <f t="shared" si="20"/>
        <v>538.49857142857138</v>
      </c>
      <c r="G138" s="255">
        <f t="shared" si="21"/>
        <v>80.478999999999999</v>
      </c>
      <c r="H138" s="235">
        <f t="shared" si="25"/>
        <v>0.13001925063982239</v>
      </c>
      <c r="I138" s="199">
        <f t="shared" si="26"/>
        <v>79.599999999999994</v>
      </c>
      <c r="J138" s="321">
        <v>73</v>
      </c>
      <c r="K138" s="396">
        <f t="shared" si="27"/>
        <v>6.5999999999999943</v>
      </c>
      <c r="L138" s="321">
        <v>16</v>
      </c>
      <c r="M138" s="321">
        <v>79</v>
      </c>
      <c r="O138" s="321">
        <v>79.599999999999994</v>
      </c>
      <c r="P138" s="321">
        <v>26.4</v>
      </c>
      <c r="Q138" s="324">
        <v>719</v>
      </c>
      <c r="R138" s="493">
        <f t="shared" si="28"/>
        <v>-4.4224285714285543</v>
      </c>
      <c r="S138" s="494">
        <f t="shared" si="29"/>
        <v>5.7789999999999964</v>
      </c>
    </row>
    <row r="139" spans="1:23" ht="15" customHeight="1" x14ac:dyDescent="0.2">
      <c r="I139" s="72"/>
    </row>
    <row r="140" spans="1:23" ht="15" customHeight="1" x14ac:dyDescent="0.2">
      <c r="I140" s="72"/>
      <c r="P140" s="513">
        <f>SUM(P129:P133)/5</f>
        <v>16.2</v>
      </c>
      <c r="Q140" s="510" t="s">
        <v>389</v>
      </c>
    </row>
    <row r="141" spans="1:23" x14ac:dyDescent="0.2">
      <c r="A141" s="169" t="s">
        <v>159</v>
      </c>
      <c r="B141" s="143" t="s">
        <v>160</v>
      </c>
      <c r="I141" s="72"/>
    </row>
    <row r="142" spans="1:23" ht="15" customHeight="1" x14ac:dyDescent="0.2">
      <c r="Q142" s="50" t="s">
        <v>247</v>
      </c>
    </row>
    <row r="143" spans="1:23" ht="15" customHeight="1" x14ac:dyDescent="0.2">
      <c r="B143" s="169" t="s">
        <v>168</v>
      </c>
      <c r="C143" s="83"/>
      <c r="I143" s="72"/>
      <c r="W143" t="s">
        <v>254</v>
      </c>
    </row>
    <row r="144" spans="1:23" ht="15" customHeight="1" x14ac:dyDescent="0.2">
      <c r="B144" s="143" t="s">
        <v>169</v>
      </c>
      <c r="C144" s="83"/>
      <c r="D144" s="83"/>
      <c r="E144" s="83"/>
      <c r="F144" s="83"/>
      <c r="G144" s="83"/>
      <c r="H144" s="83"/>
      <c r="I144" s="83"/>
      <c r="J144" s="83"/>
      <c r="K144" s="83"/>
      <c r="L144" s="83"/>
      <c r="Q144" s="54" t="s">
        <v>245</v>
      </c>
    </row>
    <row r="145" spans="2:30" ht="15" customHeight="1" x14ac:dyDescent="0.2">
      <c r="B145" s="169" t="s">
        <v>170</v>
      </c>
      <c r="C145" s="83"/>
      <c r="D145" s="83"/>
      <c r="E145" s="83"/>
      <c r="F145" s="385" t="s">
        <v>230</v>
      </c>
      <c r="G145" s="83"/>
      <c r="H145" s="83"/>
      <c r="I145" s="54" t="s">
        <v>62</v>
      </c>
      <c r="J145" s="83"/>
      <c r="K145" s="83"/>
      <c r="Q145" s="54" t="s">
        <v>246</v>
      </c>
    </row>
    <row r="146" spans="2:30" ht="15" customHeight="1" x14ac:dyDescent="0.2">
      <c r="D146" s="118"/>
      <c r="H146" s="59" t="s">
        <v>23</v>
      </c>
      <c r="I146" s="60"/>
      <c r="J146" s="60"/>
      <c r="K146" s="61"/>
      <c r="L146" s="59" t="s">
        <v>29</v>
      </c>
      <c r="M146" s="60"/>
      <c r="N146" s="61"/>
      <c r="O146" s="163"/>
      <c r="P146" s="170" t="s">
        <v>133</v>
      </c>
      <c r="Q146" t="s">
        <v>194</v>
      </c>
    </row>
    <row r="147" spans="2:30" ht="15" customHeight="1" x14ac:dyDescent="0.2">
      <c r="C147" s="84"/>
      <c r="D147" s="119"/>
      <c r="F147" s="383" t="s">
        <v>161</v>
      </c>
      <c r="G147" s="380" t="s">
        <v>196</v>
      </c>
      <c r="H147" s="35" t="s">
        <v>24</v>
      </c>
      <c r="I147" s="238" t="s">
        <v>104</v>
      </c>
      <c r="J147" s="21"/>
      <c r="K147" s="22"/>
      <c r="L147" s="35" t="s">
        <v>30</v>
      </c>
      <c r="M147" s="238" t="s">
        <v>117</v>
      </c>
      <c r="N147" s="43"/>
      <c r="O147" s="163"/>
      <c r="P147" s="174" t="s">
        <v>117</v>
      </c>
      <c r="Q147" s="333" t="e">
        <f>P147/M147</f>
        <v>#DIV/0!</v>
      </c>
      <c r="R147" s="333" t="e">
        <f>G147*Q147</f>
        <v>#DIV/0!</v>
      </c>
      <c r="S147" s="346" t="s">
        <v>207</v>
      </c>
      <c r="W147" t="s">
        <v>251</v>
      </c>
      <c r="Y147" t="s">
        <v>252</v>
      </c>
      <c r="AA147" t="s">
        <v>253</v>
      </c>
    </row>
    <row r="148" spans="2:30" ht="15" customHeight="1" x14ac:dyDescent="0.2">
      <c r="B148" s="335" t="s">
        <v>15</v>
      </c>
      <c r="C148" s="336"/>
      <c r="D148" s="337"/>
      <c r="E148" s="382" t="s">
        <v>39</v>
      </c>
      <c r="F148" s="384" t="s">
        <v>61</v>
      </c>
      <c r="G148" s="381" t="s">
        <v>197</v>
      </c>
      <c r="H148" s="37" t="s">
        <v>25</v>
      </c>
      <c r="I148" s="38" t="s">
        <v>27</v>
      </c>
      <c r="J148" s="1"/>
      <c r="K148" s="39"/>
      <c r="L148" s="37" t="s">
        <v>31</v>
      </c>
      <c r="M148" s="38" t="s">
        <v>33</v>
      </c>
      <c r="N148" s="25"/>
      <c r="O148" s="163" t="s">
        <v>39</v>
      </c>
      <c r="P148" s="192" t="s">
        <v>131</v>
      </c>
      <c r="Q148" s="344" t="s">
        <v>192</v>
      </c>
      <c r="R148" s="344" t="s">
        <v>193</v>
      </c>
      <c r="W148" t="s">
        <v>248</v>
      </c>
      <c r="Y148" t="s">
        <v>249</v>
      </c>
      <c r="AA148" t="s">
        <v>250</v>
      </c>
    </row>
    <row r="149" spans="2:30" ht="15" customHeight="1" x14ac:dyDescent="0.2">
      <c r="B149" s="338" t="s">
        <v>16</v>
      </c>
      <c r="C149" s="24" t="s">
        <v>19</v>
      </c>
      <c r="D149" s="339">
        <v>2.46</v>
      </c>
      <c r="E149" s="334">
        <v>1</v>
      </c>
      <c r="F149" s="328">
        <v>1.3888371862908135</v>
      </c>
      <c r="G149" s="201">
        <v>1.3888618609602241</v>
      </c>
      <c r="H149" s="62">
        <f>(D150*2.20462*25.4*12)</f>
        <v>2822.2663391999999</v>
      </c>
      <c r="I149" s="14">
        <f>F149*D$149*SQRT(4*D$151*H$149/32.2)/12</f>
        <v>49.149116795983922</v>
      </c>
      <c r="J149" s="1"/>
      <c r="K149" s="39"/>
      <c r="L149" s="175">
        <v>1</v>
      </c>
      <c r="M149" s="171">
        <f>L149*I149</f>
        <v>49.149116795983922</v>
      </c>
      <c r="N149" s="25"/>
      <c r="O149" s="163">
        <v>1</v>
      </c>
      <c r="P149" s="171">
        <f>C129</f>
        <v>49.349116795983917</v>
      </c>
      <c r="Q149" s="333">
        <v>0.99998223389229401</v>
      </c>
      <c r="R149" s="333">
        <v>1.3888371862908135</v>
      </c>
      <c r="S149" s="346" t="s">
        <v>215</v>
      </c>
      <c r="W149" s="58">
        <v>1</v>
      </c>
      <c r="X149" s="328">
        <v>1.2719377964304703</v>
      </c>
      <c r="Y149" s="334">
        <v>1</v>
      </c>
      <c r="Z149" s="328">
        <v>1.214204604920285</v>
      </c>
      <c r="AA149" s="334">
        <v>1</v>
      </c>
      <c r="AB149" s="328">
        <v>1.0520690888441584</v>
      </c>
    </row>
    <row r="150" spans="2:30" ht="15" customHeight="1" x14ac:dyDescent="0.2">
      <c r="B150" s="338" t="s">
        <v>17</v>
      </c>
      <c r="C150" s="24" t="s">
        <v>20</v>
      </c>
      <c r="D150" s="339">
        <v>4.2</v>
      </c>
      <c r="E150" s="334">
        <v>2</v>
      </c>
      <c r="F150" s="329">
        <v>1.0342004042915363</v>
      </c>
      <c r="G150" s="202">
        <v>1.0341717600731097</v>
      </c>
      <c r="H150" s="63"/>
      <c r="I150" s="14">
        <f t="shared" ref="I150:I158" si="31">F150*D$149*SQRT(4*D$151*H$149/32.2)/12</f>
        <v>36.598988681121774</v>
      </c>
      <c r="J150" s="1"/>
      <c r="K150" s="39"/>
      <c r="L150" s="176">
        <v>2</v>
      </c>
      <c r="M150" s="172">
        <f>L150*I150</f>
        <v>73.197977362243549</v>
      </c>
      <c r="N150" s="25"/>
      <c r="O150" s="163">
        <v>2</v>
      </c>
      <c r="P150" s="172">
        <f t="shared" ref="P150:P158" si="32">C130</f>
        <v>73.197977362243563</v>
      </c>
      <c r="Q150" s="333">
        <v>1.0000276977379701</v>
      </c>
      <c r="R150" s="333">
        <v>1.0342004042915363</v>
      </c>
      <c r="S150" s="346" t="s">
        <v>216</v>
      </c>
      <c r="W150" s="58">
        <v>2</v>
      </c>
      <c r="X150" s="329">
        <v>0.96145357598157333</v>
      </c>
      <c r="Y150" s="334">
        <v>2</v>
      </c>
      <c r="Z150" s="329">
        <v>0.94178558278660662</v>
      </c>
      <c r="AA150" s="334">
        <v>2</v>
      </c>
      <c r="AB150" s="329">
        <v>0.81696163592350124</v>
      </c>
    </row>
    <row r="151" spans="2:30" ht="15" customHeight="1" x14ac:dyDescent="0.2">
      <c r="B151" s="340" t="s">
        <v>18</v>
      </c>
      <c r="C151" s="341" t="s">
        <v>28</v>
      </c>
      <c r="D151" s="342">
        <v>85</v>
      </c>
      <c r="E151" s="334">
        <v>3</v>
      </c>
      <c r="F151" s="328">
        <v>0.89719463247261089</v>
      </c>
      <c r="G151" s="201">
        <v>0.89719788031893288</v>
      </c>
      <c r="H151" s="63"/>
      <c r="I151" s="14">
        <f t="shared" si="31"/>
        <v>31.750535063001063</v>
      </c>
      <c r="J151" s="1"/>
      <c r="K151" s="39"/>
      <c r="L151" s="177">
        <v>3</v>
      </c>
      <c r="M151" s="173">
        <f t="shared" ref="M151:M157" si="33">L151*I151</f>
        <v>95.251605189003186</v>
      </c>
      <c r="N151" s="25"/>
      <c r="O151" s="163">
        <v>3</v>
      </c>
      <c r="P151" s="173">
        <f t="shared" si="32"/>
        <v>95.251605189003186</v>
      </c>
      <c r="Q151" s="333">
        <v>0.9999963800111511</v>
      </c>
      <c r="R151" s="333">
        <v>0.89719463247261089</v>
      </c>
      <c r="W151" s="58">
        <v>3</v>
      </c>
      <c r="X151" s="328">
        <v>0.82946548223307215</v>
      </c>
      <c r="Y151" s="334">
        <v>3</v>
      </c>
      <c r="Z151" s="328">
        <v>0.83143438654578949</v>
      </c>
      <c r="AA151" s="334">
        <v>3</v>
      </c>
      <c r="AB151" s="328">
        <v>0.71089158053897417</v>
      </c>
    </row>
    <row r="152" spans="2:30" ht="15" customHeight="1" x14ac:dyDescent="0.2">
      <c r="E152" s="58">
        <v>4</v>
      </c>
      <c r="F152" s="328">
        <v>0.81785549927044798</v>
      </c>
      <c r="G152" s="201">
        <v>0.81787315321455523</v>
      </c>
      <c r="H152" s="63"/>
      <c r="I152" s="14">
        <f t="shared" si="31"/>
        <v>28.942827750195352</v>
      </c>
      <c r="J152" s="1"/>
      <c r="K152" s="39"/>
      <c r="L152" s="177">
        <v>4</v>
      </c>
      <c r="M152" s="173">
        <f t="shared" si="33"/>
        <v>115.77131100078141</v>
      </c>
      <c r="N152" s="25"/>
      <c r="O152" s="163">
        <v>4</v>
      </c>
      <c r="P152" s="173">
        <f t="shared" si="32"/>
        <v>115.7713110007814</v>
      </c>
      <c r="Q152" s="333">
        <v>0.99997841481403582</v>
      </c>
      <c r="R152" s="333">
        <v>0.81785549927044798</v>
      </c>
      <c r="W152" s="58">
        <v>4</v>
      </c>
      <c r="X152" s="328">
        <v>0.74932421258594284</v>
      </c>
      <c r="Y152" s="58">
        <v>4</v>
      </c>
      <c r="Z152" s="328">
        <v>0.76534004310976567</v>
      </c>
      <c r="AA152" s="58">
        <v>4</v>
      </c>
      <c r="AB152" s="328">
        <v>0.64386512626185421</v>
      </c>
    </row>
    <row r="153" spans="2:30" ht="15" customHeight="1" x14ac:dyDescent="0.2">
      <c r="B153" s="347" t="s">
        <v>209</v>
      </c>
      <c r="E153" s="58">
        <v>5</v>
      </c>
      <c r="F153" s="329">
        <v>0.76262465808846736</v>
      </c>
      <c r="G153" s="202">
        <v>0.7626186927794858</v>
      </c>
      <c r="H153" s="63"/>
      <c r="I153" s="14">
        <f t="shared" si="31"/>
        <v>26.988281104419411</v>
      </c>
      <c r="J153" s="1"/>
      <c r="K153" s="39"/>
      <c r="L153" s="176">
        <v>5</v>
      </c>
      <c r="M153" s="172">
        <f t="shared" si="33"/>
        <v>134.94140552209706</v>
      </c>
      <c r="N153" s="25"/>
      <c r="O153" s="163">
        <v>5</v>
      </c>
      <c r="P153" s="172">
        <f t="shared" si="32"/>
        <v>134.94140552209706</v>
      </c>
      <c r="Q153" s="333">
        <v>1.0000078221384265</v>
      </c>
      <c r="R153" s="333">
        <v>0.76262465808846736</v>
      </c>
      <c r="W153" s="58">
        <v>5</v>
      </c>
      <c r="X153" s="329">
        <v>0.69127712745711423</v>
      </c>
      <c r="Y153" s="58">
        <v>5</v>
      </c>
      <c r="Z153" s="329">
        <v>0.71786624837291457</v>
      </c>
      <c r="AA153" s="58">
        <v>5</v>
      </c>
      <c r="AB153" s="329">
        <v>0.59470835295325186</v>
      </c>
    </row>
    <row r="154" spans="2:30" ht="15" customHeight="1" x14ac:dyDescent="0.2">
      <c r="B154" s="85" t="s">
        <v>208</v>
      </c>
      <c r="E154" s="58">
        <v>10</v>
      </c>
      <c r="F154" s="328">
        <v>0.60019353355614069</v>
      </c>
      <c r="G154" s="201">
        <v>0.59973405676161784</v>
      </c>
      <c r="H154" s="63"/>
      <c r="I154" s="14">
        <f t="shared" si="31"/>
        <v>21.240057777923116</v>
      </c>
      <c r="J154" s="1"/>
      <c r="K154" s="39"/>
      <c r="L154" s="177">
        <v>10</v>
      </c>
      <c r="M154" s="173">
        <f t="shared" si="33"/>
        <v>212.40057777923116</v>
      </c>
      <c r="N154" s="25"/>
      <c r="O154" s="163">
        <v>10</v>
      </c>
      <c r="P154" s="173">
        <f t="shared" si="32"/>
        <v>212.40057777923118</v>
      </c>
      <c r="Q154" s="333">
        <v>1.0007661342379053</v>
      </c>
      <c r="R154" s="333">
        <v>0.60019353355614069</v>
      </c>
      <c r="W154" s="58">
        <v>10</v>
      </c>
      <c r="X154" s="328">
        <v>0.53698545571268352</v>
      </c>
      <c r="Y154" s="58">
        <v>10</v>
      </c>
      <c r="Z154" s="328">
        <v>0.57439876697917092</v>
      </c>
      <c r="AA154" s="58">
        <v>10</v>
      </c>
      <c r="AB154" s="328">
        <v>0.47969906728214473</v>
      </c>
    </row>
    <row r="155" spans="2:30" ht="15" customHeight="1" x14ac:dyDescent="0.2">
      <c r="E155" s="58">
        <v>20</v>
      </c>
      <c r="F155" s="328">
        <v>0.47690914197366402</v>
      </c>
      <c r="G155" s="201">
        <v>0.47917233128710701</v>
      </c>
      <c r="H155" s="63"/>
      <c r="I155" s="14">
        <f t="shared" si="31"/>
        <v>16.877185714285716</v>
      </c>
      <c r="J155" s="1"/>
      <c r="K155" s="39"/>
      <c r="L155" s="177">
        <v>20</v>
      </c>
      <c r="M155" s="173">
        <f t="shared" si="33"/>
        <v>337.54371428571432</v>
      </c>
      <c r="N155" s="25"/>
      <c r="O155" s="163">
        <v>20</v>
      </c>
      <c r="P155" s="173">
        <f t="shared" si="32"/>
        <v>337.54371428571432</v>
      </c>
      <c r="Q155" s="333">
        <v>0.99527687813826016</v>
      </c>
      <c r="R155" s="333">
        <v>0.47690914197366402</v>
      </c>
      <c r="W155" s="58">
        <v>20</v>
      </c>
      <c r="X155" s="328">
        <v>0.43470787984188836</v>
      </c>
      <c r="Y155" s="58">
        <v>20</v>
      </c>
      <c r="Z155" s="328">
        <v>0.47089010691917027</v>
      </c>
      <c r="AA155" s="58">
        <v>20</v>
      </c>
      <c r="AB155" s="328">
        <v>0.39728546236880097</v>
      </c>
    </row>
    <row r="156" spans="2:30" ht="15" customHeight="1" x14ac:dyDescent="0.2">
      <c r="E156" s="58">
        <v>30</v>
      </c>
      <c r="F156" s="328">
        <v>0.42394668757173437</v>
      </c>
      <c r="G156" s="201">
        <v>0.42460189840913981</v>
      </c>
      <c r="H156" s="63"/>
      <c r="I156" s="14">
        <f t="shared" si="31"/>
        <v>15.002914285714285</v>
      </c>
      <c r="J156" s="1"/>
      <c r="K156" s="39"/>
      <c r="L156" s="177">
        <v>30</v>
      </c>
      <c r="M156" s="173">
        <f>L156*I156</f>
        <v>450.08742857142852</v>
      </c>
      <c r="N156" s="25"/>
      <c r="O156" s="163">
        <v>30</v>
      </c>
      <c r="P156" s="173">
        <f t="shared" si="32"/>
        <v>450.08742857142852</v>
      </c>
      <c r="Q156" s="333">
        <v>0.99845688198790372</v>
      </c>
      <c r="R156" s="333">
        <v>0.42394668757173437</v>
      </c>
      <c r="W156" s="58">
        <v>30</v>
      </c>
      <c r="X156" s="328">
        <v>0.38179437755434958</v>
      </c>
      <c r="Y156" s="58">
        <v>30</v>
      </c>
      <c r="Z156" s="328">
        <v>0.41902719697489649</v>
      </c>
      <c r="AA156" s="58">
        <v>30</v>
      </c>
      <c r="AB156" s="328">
        <v>0.35234672795609262</v>
      </c>
    </row>
    <row r="157" spans="2:30" ht="15" customHeight="1" x14ac:dyDescent="0.2">
      <c r="E157" s="58">
        <v>40</v>
      </c>
      <c r="F157" s="328">
        <v>0.38953324298813469</v>
      </c>
      <c r="G157" s="201">
        <v>0.38868821695430966</v>
      </c>
      <c r="H157" s="63"/>
      <c r="I157" s="14">
        <f t="shared" si="31"/>
        <v>13.785067857142854</v>
      </c>
      <c r="J157" s="1"/>
      <c r="K157" s="39"/>
      <c r="L157" s="177">
        <v>40</v>
      </c>
      <c r="M157" s="173">
        <f t="shared" si="33"/>
        <v>551.40271428571418</v>
      </c>
      <c r="N157" s="25"/>
      <c r="O157" s="163">
        <v>40</v>
      </c>
      <c r="P157" s="205">
        <f t="shared" si="32"/>
        <v>551.40271428571418</v>
      </c>
      <c r="Q157" s="333">
        <v>1.0021740459241253</v>
      </c>
      <c r="R157" s="333">
        <v>0.38953324298813469</v>
      </c>
      <c r="W157" s="58">
        <v>40</v>
      </c>
      <c r="X157" s="328">
        <v>0.34849284928886071</v>
      </c>
      <c r="Y157" s="58">
        <v>40</v>
      </c>
      <c r="Z157" s="328">
        <v>0.38382582895724304</v>
      </c>
      <c r="AA157" s="58">
        <v>40</v>
      </c>
      <c r="AB157" s="328">
        <v>0.32362286363689469</v>
      </c>
    </row>
    <row r="158" spans="2:30" ht="15" customHeight="1" x14ac:dyDescent="0.2">
      <c r="E158" s="58">
        <v>50</v>
      </c>
      <c r="F158" s="329">
        <v>0.36258913574738344</v>
      </c>
      <c r="G158" s="202">
        <v>0.36292510111640852</v>
      </c>
      <c r="H158" s="64"/>
      <c r="I158" s="41">
        <f t="shared" si="31"/>
        <v>12.831551428571432</v>
      </c>
      <c r="J158" s="42"/>
      <c r="K158" s="31"/>
      <c r="L158" s="178">
        <v>50</v>
      </c>
      <c r="M158" s="179">
        <f>L158*I158</f>
        <v>641.57757142857156</v>
      </c>
      <c r="N158" s="28"/>
      <c r="O158" s="186">
        <v>50</v>
      </c>
      <c r="P158" s="206">
        <f t="shared" si="32"/>
        <v>641.57757142857145</v>
      </c>
      <c r="Q158" s="333">
        <v>0.99907428456176872</v>
      </c>
      <c r="R158" s="333">
        <v>0.36258913574738344</v>
      </c>
      <c r="W158" s="58">
        <v>50</v>
      </c>
      <c r="X158" s="329">
        <v>0.32816631833683368</v>
      </c>
      <c r="Y158" s="58">
        <v>50</v>
      </c>
      <c r="Z158" s="329">
        <v>0.35861669533023494</v>
      </c>
      <c r="AA158" s="58">
        <v>50</v>
      </c>
      <c r="AB158" s="329">
        <v>0.3056214303270221</v>
      </c>
    </row>
    <row r="159" spans="2:30" ht="15" customHeight="1" x14ac:dyDescent="0.2">
      <c r="E159" s="3"/>
      <c r="F159" s="239"/>
      <c r="G159" s="239"/>
      <c r="H159" s="83"/>
      <c r="I159" s="240"/>
      <c r="J159" s="83"/>
      <c r="K159" s="83"/>
      <c r="L159" s="241"/>
      <c r="M159" s="241"/>
      <c r="N159" s="145"/>
      <c r="O159" s="242"/>
      <c r="P159" s="241"/>
    </row>
    <row r="160" spans="2:30" ht="15" customHeight="1" x14ac:dyDescent="0.2">
      <c r="E160" s="3"/>
      <c r="F160" s="239"/>
      <c r="G160" s="239"/>
      <c r="H160" s="83"/>
      <c r="I160" s="240"/>
      <c r="J160" s="83"/>
      <c r="L160" s="241"/>
      <c r="M160" s="400"/>
      <c r="N160" s="401" t="s">
        <v>244</v>
      </c>
      <c r="P160" s="241"/>
      <c r="Z160" s="111">
        <f t="shared" ref="Z160:Z169" si="34">Z149/X149</f>
        <v>0.95461005115800002</v>
      </c>
      <c r="AB160" s="111">
        <f t="shared" ref="AB160:AB169" si="35">AB149/Z149</f>
        <v>0.86646771440405534</v>
      </c>
      <c r="AD160" s="111">
        <f>AB149/X149</f>
        <v>0.82713878917401062</v>
      </c>
    </row>
    <row r="161" spans="1:30" ht="15" customHeight="1" x14ac:dyDescent="0.2">
      <c r="F161" s="84"/>
      <c r="G161" s="84"/>
      <c r="H161" s="84"/>
      <c r="I161" s="84"/>
      <c r="J161" s="84"/>
      <c r="K161" s="84"/>
      <c r="L161" s="84"/>
      <c r="M161" s="84"/>
      <c r="P161" s="84"/>
      <c r="Z161" s="111">
        <f t="shared" si="34"/>
        <v>0.97954348115572076</v>
      </c>
      <c r="AB161" s="111">
        <f t="shared" si="35"/>
        <v>0.86746033370592757</v>
      </c>
      <c r="AD161" s="111">
        <f t="shared" ref="AD161:AD169" si="36">AB150/X150</f>
        <v>0.8497151150428075</v>
      </c>
    </row>
    <row r="162" spans="1:30" ht="15" customHeight="1" x14ac:dyDescent="0.2">
      <c r="A162" s="169" t="s">
        <v>162</v>
      </c>
      <c r="B162" s="143" t="s">
        <v>163</v>
      </c>
      <c r="Z162" s="111">
        <f t="shared" si="34"/>
        <v>1.002373702528786</v>
      </c>
      <c r="AB162" s="111">
        <f t="shared" si="35"/>
        <v>0.8550182576551677</v>
      </c>
      <c r="AD162" s="111">
        <f t="shared" si="36"/>
        <v>0.85704781665552199</v>
      </c>
    </row>
    <row r="163" spans="1:30" ht="15" customHeight="1" x14ac:dyDescent="0.2">
      <c r="B163" s="169" t="s">
        <v>164</v>
      </c>
      <c r="Z163" s="111">
        <f t="shared" si="34"/>
        <v>1.0213736994678868</v>
      </c>
      <c r="AB163" s="111">
        <f t="shared" si="35"/>
        <v>0.8412798102731841</v>
      </c>
      <c r="AD163" s="111">
        <f t="shared" si="36"/>
        <v>0.85926107210636393</v>
      </c>
    </row>
    <row r="164" spans="1:30" ht="15" customHeight="1" x14ac:dyDescent="0.2">
      <c r="Z164" s="111">
        <f t="shared" si="34"/>
        <v>1.0384637649065713</v>
      </c>
      <c r="AB164" s="111">
        <f t="shared" si="35"/>
        <v>0.8284389387315434</v>
      </c>
      <c r="AD164" s="111">
        <f t="shared" si="36"/>
        <v>0.86030381931036282</v>
      </c>
    </row>
    <row r="165" spans="1:30" ht="15" customHeight="1" x14ac:dyDescent="0.2">
      <c r="B165" s="169"/>
      <c r="F165" s="1"/>
      <c r="Z165" s="111">
        <f t="shared" si="34"/>
        <v>1.0696728577440384</v>
      </c>
      <c r="AB165" s="111">
        <f t="shared" si="35"/>
        <v>0.83513248088072545</v>
      </c>
      <c r="AD165" s="111">
        <f t="shared" si="36"/>
        <v>0.8933185474185541</v>
      </c>
    </row>
    <row r="166" spans="1:30" ht="15" customHeight="1" x14ac:dyDescent="0.2">
      <c r="B166" s="143"/>
      <c r="J166" s="143" t="s">
        <v>165</v>
      </c>
      <c r="Z166" s="111">
        <f t="shared" si="34"/>
        <v>1.0832334281367113</v>
      </c>
      <c r="AB166" s="111">
        <f t="shared" si="35"/>
        <v>0.84369039937591261</v>
      </c>
      <c r="AD166" s="111">
        <f t="shared" si="36"/>
        <v>0.91391364360200089</v>
      </c>
    </row>
    <row r="167" spans="1:30" ht="15" customHeight="1" x14ac:dyDescent="0.2">
      <c r="B167" s="169"/>
      <c r="H167" s="386" t="s">
        <v>166</v>
      </c>
      <c r="Z167" s="111">
        <f t="shared" si="34"/>
        <v>1.097520606927342</v>
      </c>
      <c r="AB167" s="111">
        <f t="shared" si="35"/>
        <v>0.84086839828012727</v>
      </c>
      <c r="AD167" s="111">
        <f t="shared" si="36"/>
        <v>0.92287039482642719</v>
      </c>
    </row>
    <row r="168" spans="1:30" ht="15" customHeight="1" x14ac:dyDescent="0.2">
      <c r="F168" s="196" t="s">
        <v>133</v>
      </c>
      <c r="L168" s="243" t="s">
        <v>167</v>
      </c>
      <c r="P168" s="498"/>
      <c r="Z168" s="111">
        <f t="shared" si="34"/>
        <v>1.1013879617343176</v>
      </c>
      <c r="AB168" s="111">
        <f t="shared" si="35"/>
        <v>0.8431503020943002</v>
      </c>
      <c r="AD168" s="111">
        <f t="shared" si="36"/>
        <v>0.9286355926593155</v>
      </c>
    </row>
    <row r="169" spans="1:30" ht="15" customHeight="1" x14ac:dyDescent="0.2">
      <c r="F169" s="196" t="s">
        <v>110</v>
      </c>
      <c r="H169" s="252" t="s">
        <v>110</v>
      </c>
      <c r="L169" s="144">
        <v>1</v>
      </c>
      <c r="M169" s="109" t="s">
        <v>24</v>
      </c>
      <c r="N169" s="203" t="s">
        <v>104</v>
      </c>
      <c r="O169" s="109" t="s">
        <v>110</v>
      </c>
      <c r="P169" s="181" t="s">
        <v>129</v>
      </c>
      <c r="S169" s="253" t="s">
        <v>174</v>
      </c>
      <c r="Z169" s="111">
        <f t="shared" si="34"/>
        <v>1.0927894646462366</v>
      </c>
      <c r="AB169" s="111">
        <f t="shared" si="35"/>
        <v>0.85222309587563472</v>
      </c>
      <c r="AD169" s="111">
        <f t="shared" si="36"/>
        <v>0.9313004207010932</v>
      </c>
    </row>
    <row r="170" spans="1:30" ht="15" customHeight="1" x14ac:dyDescent="0.2">
      <c r="B170" s="348">
        <f>D149</f>
        <v>2.46</v>
      </c>
      <c r="C170" s="157" t="s">
        <v>6</v>
      </c>
      <c r="D170" s="22"/>
      <c r="E170" s="5" t="s">
        <v>2</v>
      </c>
      <c r="F170" s="196" t="s">
        <v>149</v>
      </c>
      <c r="G170" s="55" t="s">
        <v>37</v>
      </c>
      <c r="H170" s="6" t="s">
        <v>68</v>
      </c>
      <c r="J170" s="72" t="s">
        <v>137</v>
      </c>
      <c r="K170" s="5" t="s">
        <v>2</v>
      </c>
      <c r="L170" s="6" t="s">
        <v>68</v>
      </c>
      <c r="M170" s="38" t="s">
        <v>25</v>
      </c>
      <c r="N170" s="204" t="s">
        <v>138</v>
      </c>
      <c r="O170" s="38" t="s">
        <v>33</v>
      </c>
      <c r="P170" s="181" t="s">
        <v>113</v>
      </c>
      <c r="Q170" s="244" t="s">
        <v>173</v>
      </c>
      <c r="R170" s="244" t="s">
        <v>136</v>
      </c>
      <c r="S170" s="251" t="s">
        <v>105</v>
      </c>
    </row>
    <row r="171" spans="1:30" ht="15" customHeight="1" x14ac:dyDescent="0.2">
      <c r="B171" s="349">
        <f t="shared" ref="B171:B172" si="37">D150</f>
        <v>4.2</v>
      </c>
      <c r="C171" s="1" t="s">
        <v>0</v>
      </c>
      <c r="D171" s="39"/>
      <c r="E171" s="150">
        <v>1</v>
      </c>
      <c r="F171" s="117">
        <f>F129</f>
        <v>27.683116795983914</v>
      </c>
      <c r="G171" s="101">
        <f>F171/E171</f>
        <v>27.683116795983914</v>
      </c>
      <c r="H171" s="142">
        <f t="shared" ref="H171:H180" si="38">SQRT(12*32.2*G171^2/(4*$B$172*($B$171*56)*$B$170^2))</f>
        <v>0.78224053973076924</v>
      </c>
      <c r="J171" s="142">
        <v>0.78224053973076924</v>
      </c>
      <c r="K171" s="150">
        <v>1</v>
      </c>
      <c r="L171" s="142">
        <f>J171*$L$169</f>
        <v>0.78224053973076924</v>
      </c>
      <c r="M171" s="14">
        <f>(B171*2.20462*25.4*12)</f>
        <v>2822.2663391999999</v>
      </c>
      <c r="N171" s="153">
        <f t="shared" ref="N171:N180" si="39">L171*B$170*SQRT(4*B$172*M$171/32.2)/12</f>
        <v>27.682461291564696</v>
      </c>
      <c r="O171" s="153">
        <f>K171*N171</f>
        <v>27.682461291564696</v>
      </c>
      <c r="P171" s="496">
        <f t="shared" ref="P171:P180" si="40">M101</f>
        <v>1.0204456746749742</v>
      </c>
      <c r="Q171" s="122">
        <f>P171*O171</f>
        <v>28.248447889334592</v>
      </c>
      <c r="R171" s="122">
        <f>Q171-O171</f>
        <v>0.56598659776989635</v>
      </c>
      <c r="S171" s="248">
        <f>R171/Q171</f>
        <v>2.0036024633537076E-2</v>
      </c>
    </row>
    <row r="172" spans="1:30" ht="15" customHeight="1" x14ac:dyDescent="0.2">
      <c r="B172" s="350">
        <f t="shared" si="37"/>
        <v>85</v>
      </c>
      <c r="C172" s="156" t="s">
        <v>1</v>
      </c>
      <c r="D172" s="31"/>
      <c r="E172" s="149">
        <v>2</v>
      </c>
      <c r="F172" s="116">
        <f t="shared" ref="F172:F180" si="41">F130</f>
        <v>50.397977362243559</v>
      </c>
      <c r="G172" s="100">
        <f t="shared" ref="G172:G180" si="42">F172/E172</f>
        <v>25.198988681121779</v>
      </c>
      <c r="H172" s="141">
        <f t="shared" si="38"/>
        <v>0.71204664748768054</v>
      </c>
      <c r="J172" s="141">
        <v>0.71204664748768054</v>
      </c>
      <c r="K172" s="149">
        <v>2</v>
      </c>
      <c r="L172" s="141">
        <f t="shared" ref="L172:L180" si="43">J172*$L$169</f>
        <v>0.71204664748768054</v>
      </c>
      <c r="N172" s="152">
        <f t="shared" si="39"/>
        <v>25.198391998003981</v>
      </c>
      <c r="O172" s="152">
        <f t="shared" ref="O172:O180" si="44">K172*N172</f>
        <v>50.396783996007962</v>
      </c>
      <c r="P172" s="496">
        <f t="shared" si="40"/>
        <v>1.0416683388880057</v>
      </c>
      <c r="Q172" s="121">
        <f t="shared" ref="Q172:Q180" si="45">P172*O172</f>
        <v>52.496734270419246</v>
      </c>
      <c r="R172" s="121">
        <f t="shared" ref="R172:R180" si="46">Q172-O172</f>
        <v>2.0999502744112846</v>
      </c>
      <c r="S172" s="249">
        <f t="shared" ref="S172:S180" si="47">R172/Q172</f>
        <v>4.00015411167121E-2</v>
      </c>
    </row>
    <row r="173" spans="1:30" ht="15" customHeight="1" x14ac:dyDescent="0.2">
      <c r="E173" s="148">
        <v>3</v>
      </c>
      <c r="F173" s="105">
        <f t="shared" si="41"/>
        <v>70.508605189003163</v>
      </c>
      <c r="G173" s="99">
        <f t="shared" si="42"/>
        <v>23.502868396334389</v>
      </c>
      <c r="H173" s="140">
        <f t="shared" si="38"/>
        <v>0.66411945573400943</v>
      </c>
      <c r="J173" s="140">
        <v>0.66411945573400943</v>
      </c>
      <c r="K173" s="148">
        <v>3</v>
      </c>
      <c r="L173" s="140">
        <f t="shared" si="43"/>
        <v>0.66411945573400943</v>
      </c>
      <c r="N173" s="151">
        <f t="shared" si="39"/>
        <v>23.5023118753974</v>
      </c>
      <c r="O173" s="151">
        <f>K173*N173</f>
        <v>70.506935626192202</v>
      </c>
      <c r="P173" s="496">
        <f t="shared" si="40"/>
        <v>1.0615953185906641</v>
      </c>
      <c r="Q173" s="120">
        <f t="shared" si="45"/>
        <v>74.849832788938954</v>
      </c>
      <c r="R173" s="120">
        <f>Q173-O173</f>
        <v>4.3428971627467519</v>
      </c>
      <c r="S173" s="250">
        <f t="shared" si="47"/>
        <v>5.8021467796632538E-2</v>
      </c>
    </row>
    <row r="174" spans="1:30" ht="15" customHeight="1" x14ac:dyDescent="0.2">
      <c r="E174" s="148">
        <v>4</v>
      </c>
      <c r="F174" s="105">
        <f t="shared" si="41"/>
        <v>88.389311000781419</v>
      </c>
      <c r="G174" s="99">
        <f t="shared" si="42"/>
        <v>22.097327750195355</v>
      </c>
      <c r="H174" s="140">
        <f t="shared" si="38"/>
        <v>0.62440315927244783</v>
      </c>
      <c r="J174" s="140">
        <v>0.62440315927244783</v>
      </c>
      <c r="K174" s="148">
        <v>4</v>
      </c>
      <c r="L174" s="140">
        <f t="shared" si="43"/>
        <v>0.62440315927244783</v>
      </c>
      <c r="N174" s="151">
        <f t="shared" si="39"/>
        <v>22.09680451084699</v>
      </c>
      <c r="O174" s="151">
        <f t="shared" si="44"/>
        <v>88.387218043387961</v>
      </c>
      <c r="P174" s="496">
        <f t="shared" si="40"/>
        <v>1.0812541688432951</v>
      </c>
      <c r="Q174" s="120">
        <f t="shared" si="45"/>
        <v>95.569047981874547</v>
      </c>
      <c r="R174" s="120">
        <f t="shared" si="46"/>
        <v>7.1818299384865867</v>
      </c>
      <c r="S174" s="250">
        <f t="shared" si="47"/>
        <v>7.5148074508900403E-2</v>
      </c>
    </row>
    <row r="175" spans="1:30" ht="15" customHeight="1" x14ac:dyDescent="0.2">
      <c r="E175" s="149">
        <v>5</v>
      </c>
      <c r="F175" s="116">
        <f t="shared" si="41"/>
        <v>104.41440552209707</v>
      </c>
      <c r="G175" s="100">
        <f t="shared" si="42"/>
        <v>20.882881104419415</v>
      </c>
      <c r="H175" s="141">
        <f t="shared" si="38"/>
        <v>0.59008659706353461</v>
      </c>
      <c r="J175" s="141">
        <v>0.59008659706353461</v>
      </c>
      <c r="K175" s="149">
        <v>5</v>
      </c>
      <c r="L175" s="141">
        <f t="shared" si="43"/>
        <v>0.59008659706353461</v>
      </c>
      <c r="N175" s="152">
        <f t="shared" si="39"/>
        <v>20.882386621773161</v>
      </c>
      <c r="O175" s="152">
        <f t="shared" si="44"/>
        <v>104.41193310886581</v>
      </c>
      <c r="P175" s="496">
        <f t="shared" si="40"/>
        <v>1.0989039773617684</v>
      </c>
      <c r="Q175" s="121">
        <f t="shared" si="45"/>
        <v>114.73868857736355</v>
      </c>
      <c r="R175" s="121">
        <f t="shared" si="46"/>
        <v>10.326755468497737</v>
      </c>
      <c r="S175" s="249">
        <f t="shared" si="47"/>
        <v>9.0002383647036666E-2</v>
      </c>
    </row>
    <row r="176" spans="1:30" ht="15" customHeight="1" x14ac:dyDescent="0.2">
      <c r="E176" s="148">
        <v>10</v>
      </c>
      <c r="F176" s="105">
        <f t="shared" si="41"/>
        <v>169.90257777923114</v>
      </c>
      <c r="G176" s="99">
        <f t="shared" si="42"/>
        <v>16.990257777923112</v>
      </c>
      <c r="H176" s="140">
        <f t="shared" si="38"/>
        <v>0.48009292133953535</v>
      </c>
      <c r="J176" s="140">
        <v>0.48009292133953535</v>
      </c>
      <c r="K176" s="154">
        <v>10</v>
      </c>
      <c r="L176" s="140">
        <f t="shared" si="43"/>
        <v>0.48009292133953535</v>
      </c>
      <c r="M176" s="84"/>
      <c r="N176" s="155">
        <f t="shared" si="39"/>
        <v>16.989855468127612</v>
      </c>
      <c r="O176" s="155">
        <f t="shared" si="44"/>
        <v>169.89855468127612</v>
      </c>
      <c r="P176" s="496">
        <f t="shared" si="40"/>
        <v>1.1300627706114843</v>
      </c>
      <c r="Q176" s="120">
        <f t="shared" si="45"/>
        <v>191.99603142600967</v>
      </c>
      <c r="R176" s="120">
        <f t="shared" si="46"/>
        <v>22.097476744733541</v>
      </c>
      <c r="S176" s="250">
        <f t="shared" si="47"/>
        <v>0.11509340365323822</v>
      </c>
    </row>
    <row r="177" spans="2:19" ht="15" customHeight="1" x14ac:dyDescent="0.2">
      <c r="E177" s="148">
        <v>20</v>
      </c>
      <c r="F177" s="105">
        <f t="shared" si="41"/>
        <v>276.0057142857143</v>
      </c>
      <c r="G177" s="99">
        <f t="shared" si="42"/>
        <v>13.800285714285716</v>
      </c>
      <c r="H177" s="140">
        <f t="shared" si="38"/>
        <v>0.38995402956750058</v>
      </c>
      <c r="J177" s="140">
        <v>0.38995402956750058</v>
      </c>
      <c r="K177" s="148">
        <v>20</v>
      </c>
      <c r="L177" s="140">
        <f t="shared" si="43"/>
        <v>0.38995402956750058</v>
      </c>
      <c r="N177" s="151">
        <f t="shared" si="39"/>
        <v>13.799958939365867</v>
      </c>
      <c r="O177" s="151">
        <f t="shared" si="44"/>
        <v>275.99917878731736</v>
      </c>
      <c r="P177" s="496">
        <f t="shared" si="40"/>
        <v>1.1494099501045527</v>
      </c>
      <c r="Q177" s="120">
        <f t="shared" si="45"/>
        <v>317.23620231882796</v>
      </c>
      <c r="R177" s="120">
        <f t="shared" si="46"/>
        <v>41.237023531510602</v>
      </c>
      <c r="S177" s="250">
        <f t="shared" si="47"/>
        <v>0.12998839107923335</v>
      </c>
    </row>
    <row r="178" spans="2:19" ht="15" customHeight="1" x14ac:dyDescent="0.2">
      <c r="E178" s="148">
        <v>30</v>
      </c>
      <c r="F178" s="105">
        <f t="shared" si="41"/>
        <v>373.39142857142855</v>
      </c>
      <c r="G178" s="99">
        <f t="shared" si="42"/>
        <v>12.446380952380952</v>
      </c>
      <c r="H178" s="140">
        <f t="shared" si="38"/>
        <v>0.3516968058776419</v>
      </c>
      <c r="J178" s="140">
        <v>0.3516968058776419</v>
      </c>
      <c r="K178" s="148">
        <v>30</v>
      </c>
      <c r="L178" s="140">
        <f t="shared" si="43"/>
        <v>0.3516968058776419</v>
      </c>
      <c r="N178" s="151">
        <f t="shared" si="39"/>
        <v>12.446086236371277</v>
      </c>
      <c r="O178" s="151">
        <f t="shared" si="44"/>
        <v>373.3825870911383</v>
      </c>
      <c r="P178" s="496">
        <f t="shared" si="40"/>
        <v>1.1494303182412942</v>
      </c>
      <c r="Q178" s="120">
        <f t="shared" si="45"/>
        <v>429.17726590592486</v>
      </c>
      <c r="R178" s="120">
        <f t="shared" si="46"/>
        <v>55.79467881478655</v>
      </c>
      <c r="S178" s="250">
        <f t="shared" si="47"/>
        <v>0.13000380786016907</v>
      </c>
    </row>
    <row r="179" spans="2:19" ht="15" customHeight="1" x14ac:dyDescent="0.2">
      <c r="E179" s="148">
        <v>40</v>
      </c>
      <c r="F179" s="105">
        <f t="shared" si="41"/>
        <v>461.20571428571418</v>
      </c>
      <c r="G179" s="99">
        <f t="shared" si="42"/>
        <v>11.530142857142854</v>
      </c>
      <c r="H179" s="140">
        <f t="shared" si="38"/>
        <v>0.32580670876816759</v>
      </c>
      <c r="J179" s="140">
        <v>0.32580670876816759</v>
      </c>
      <c r="K179" s="148">
        <v>40</v>
      </c>
      <c r="L179" s="140">
        <f t="shared" si="43"/>
        <v>0.32580670876816759</v>
      </c>
      <c r="N179" s="151">
        <f t="shared" si="39"/>
        <v>11.529869836599223</v>
      </c>
      <c r="O179" s="151">
        <f t="shared" si="44"/>
        <v>461.19479346396895</v>
      </c>
      <c r="P179" s="496">
        <f t="shared" si="40"/>
        <v>1.1493845324676935</v>
      </c>
      <c r="Q179" s="120">
        <f t="shared" si="45"/>
        <v>530.09016206211845</v>
      </c>
      <c r="R179" s="120">
        <f t="shared" si="46"/>
        <v>68.895368598149503</v>
      </c>
      <c r="S179" s="250">
        <f t="shared" si="47"/>
        <v>0.12996915153101071</v>
      </c>
    </row>
    <row r="180" spans="2:19" ht="15" customHeight="1" x14ac:dyDescent="0.2">
      <c r="E180" s="149">
        <v>50</v>
      </c>
      <c r="F180" s="116">
        <f t="shared" si="41"/>
        <v>538.49857142857138</v>
      </c>
      <c r="G180" s="100">
        <f t="shared" si="42"/>
        <v>10.769971428571427</v>
      </c>
      <c r="H180" s="141">
        <f t="shared" si="38"/>
        <v>0.3043265801773043</v>
      </c>
      <c r="J180" s="141">
        <v>0.3043265801773043</v>
      </c>
      <c r="K180" s="149">
        <v>50</v>
      </c>
      <c r="L180" s="141">
        <f t="shared" si="43"/>
        <v>0.3043265801773043</v>
      </c>
      <c r="N180" s="152">
        <f t="shared" si="39"/>
        <v>10.769716408014375</v>
      </c>
      <c r="O180" s="152">
        <f t="shared" si="44"/>
        <v>538.48582040071869</v>
      </c>
      <c r="P180" s="497">
        <f t="shared" si="40"/>
        <v>1.149450721450382</v>
      </c>
      <c r="Q180" s="121">
        <f t="shared" si="45"/>
        <v>618.96291475040687</v>
      </c>
      <c r="R180" s="121">
        <f t="shared" si="46"/>
        <v>80.477094349688173</v>
      </c>
      <c r="S180" s="249">
        <f t="shared" si="47"/>
        <v>0.13001925063982239</v>
      </c>
    </row>
    <row r="181" spans="2:19" ht="15" customHeight="1" x14ac:dyDescent="0.2">
      <c r="E181" s="402"/>
      <c r="F181" s="403"/>
      <c r="G181" s="402"/>
      <c r="H181" s="404"/>
      <c r="I181" s="84"/>
      <c r="J181" s="404"/>
      <c r="K181" s="402"/>
      <c r="L181" s="404"/>
      <c r="M181" s="84"/>
      <c r="N181" s="403"/>
      <c r="O181" s="403"/>
      <c r="P181" s="405"/>
      <c r="Q181" s="403"/>
      <c r="R181" s="403"/>
      <c r="S181" s="406"/>
    </row>
    <row r="182" spans="2:19" ht="15" customHeight="1" x14ac:dyDescent="0.2">
      <c r="E182" s="402"/>
      <c r="F182" s="403"/>
      <c r="G182" s="402"/>
      <c r="H182" s="404"/>
      <c r="I182" s="84"/>
      <c r="J182" s="404"/>
      <c r="K182" s="402"/>
      <c r="L182" s="404"/>
      <c r="M182" s="84"/>
      <c r="N182" s="403"/>
      <c r="O182" s="403"/>
      <c r="P182" s="405"/>
      <c r="Q182" s="403"/>
      <c r="R182" s="390" t="s">
        <v>130</v>
      </c>
      <c r="S182" s="406"/>
    </row>
    <row r="183" spans="2:19" ht="15" customHeight="1" x14ac:dyDescent="0.2">
      <c r="E183" s="402"/>
      <c r="F183" s="403"/>
      <c r="G183" s="402"/>
      <c r="H183" s="404"/>
      <c r="I183" s="84"/>
      <c r="J183" s="404"/>
      <c r="K183" s="402"/>
      <c r="L183" s="404"/>
      <c r="M183" s="84"/>
      <c r="N183" s="403"/>
      <c r="O183" s="403"/>
      <c r="P183" s="405"/>
      <c r="Q183" s="403"/>
      <c r="R183" s="407">
        <f t="shared" ref="R183:R192" si="48">E101</f>
        <v>0.56599999999999995</v>
      </c>
      <c r="S183" s="406"/>
    </row>
    <row r="184" spans="2:19" ht="15" customHeight="1" x14ac:dyDescent="0.2">
      <c r="E184" s="402"/>
      <c r="F184" s="403"/>
      <c r="G184" s="402"/>
      <c r="H184" s="404"/>
      <c r="I184" s="84"/>
      <c r="J184" s="404"/>
      <c r="K184" s="402"/>
      <c r="L184" s="404"/>
      <c r="M184" s="84"/>
      <c r="N184" s="403"/>
      <c r="O184" s="403"/>
      <c r="P184" s="405"/>
      <c r="Q184" s="403"/>
      <c r="R184" s="121">
        <f t="shared" si="48"/>
        <v>2.1</v>
      </c>
      <c r="S184" s="406"/>
    </row>
    <row r="185" spans="2:19" ht="15" customHeight="1" x14ac:dyDescent="0.2">
      <c r="E185" s="402"/>
      <c r="F185" s="403"/>
      <c r="G185" s="402"/>
      <c r="H185" s="404"/>
      <c r="I185" s="84"/>
      <c r="J185" s="404"/>
      <c r="K185" s="402"/>
      <c r="L185" s="404"/>
      <c r="M185" s="84"/>
      <c r="N185" s="403"/>
      <c r="O185" s="403"/>
      <c r="P185" s="405"/>
      <c r="Q185" s="403"/>
      <c r="R185" s="120">
        <f t="shared" si="48"/>
        <v>4.343</v>
      </c>
      <c r="S185" s="406"/>
    </row>
    <row r="186" spans="2:19" ht="15" customHeight="1" x14ac:dyDescent="0.2">
      <c r="E186" s="402"/>
      <c r="F186" s="403"/>
      <c r="G186" s="402"/>
      <c r="H186" s="404"/>
      <c r="I186" s="84"/>
      <c r="J186" s="404"/>
      <c r="K186" s="402"/>
      <c r="L186" s="404"/>
      <c r="M186" s="84"/>
      <c r="N186" s="403"/>
      <c r="O186" s="403"/>
      <c r="P186" s="405"/>
      <c r="Q186" s="403"/>
      <c r="R186" s="120">
        <f t="shared" si="48"/>
        <v>7.1820000000000004</v>
      </c>
      <c r="S186" s="406"/>
    </row>
    <row r="187" spans="2:19" ht="15" customHeight="1" x14ac:dyDescent="0.2">
      <c r="R187" s="121">
        <f t="shared" si="48"/>
        <v>10.327</v>
      </c>
    </row>
    <row r="188" spans="2:19" ht="15" customHeight="1" x14ac:dyDescent="0.2">
      <c r="R188" s="120">
        <f t="shared" si="48"/>
        <v>22.097999999999999</v>
      </c>
    </row>
    <row r="189" spans="2:19" ht="15" customHeight="1" x14ac:dyDescent="0.2">
      <c r="R189" s="120">
        <f t="shared" si="48"/>
        <v>41.238</v>
      </c>
    </row>
    <row r="190" spans="2:19" ht="15" customHeight="1" x14ac:dyDescent="0.2">
      <c r="R190" s="120">
        <f t="shared" si="48"/>
        <v>55.795999999999999</v>
      </c>
    </row>
    <row r="191" spans="2:19" ht="15" customHeight="1" x14ac:dyDescent="0.2">
      <c r="F191" s="84"/>
      <c r="G191" s="84"/>
      <c r="H191" s="84"/>
      <c r="I191" s="84"/>
      <c r="J191" s="84"/>
      <c r="K191" s="84"/>
      <c r="L191" s="84"/>
      <c r="M191" s="84"/>
      <c r="N191" s="84"/>
      <c r="O191" s="84"/>
      <c r="P191" s="84"/>
      <c r="R191" s="120">
        <f t="shared" si="48"/>
        <v>68.897000000000006</v>
      </c>
    </row>
    <row r="192" spans="2:19" ht="15" customHeight="1" x14ac:dyDescent="0.2">
      <c r="B192" s="169"/>
      <c r="R192" s="121">
        <f t="shared" si="48"/>
        <v>80.478999999999999</v>
      </c>
    </row>
    <row r="193" spans="1:17" ht="15" customHeight="1" x14ac:dyDescent="0.2">
      <c r="A193" s="169" t="s">
        <v>172</v>
      </c>
      <c r="B193" s="143" t="s">
        <v>255</v>
      </c>
    </row>
    <row r="194" spans="1:17" ht="15" customHeight="1" x14ac:dyDescent="0.2"/>
    <row r="195" spans="1:17" ht="15" customHeight="1" x14ac:dyDescent="0.2">
      <c r="B195" s="169"/>
    </row>
    <row r="196" spans="1:17" ht="15" customHeight="1" x14ac:dyDescent="0.2">
      <c r="B196" s="143"/>
      <c r="J196" s="143" t="s">
        <v>165</v>
      </c>
    </row>
    <row r="197" spans="1:17" ht="15" customHeight="1" x14ac:dyDescent="0.2">
      <c r="B197" s="169"/>
      <c r="H197" s="386" t="s">
        <v>166</v>
      </c>
    </row>
    <row r="198" spans="1:17" ht="15" customHeight="1" x14ac:dyDescent="0.2">
      <c r="F198" s="196" t="s">
        <v>133</v>
      </c>
      <c r="L198" s="243" t="s">
        <v>167</v>
      </c>
    </row>
    <row r="199" spans="1:17" ht="15" customHeight="1" x14ac:dyDescent="0.2">
      <c r="F199" s="196" t="s">
        <v>112</v>
      </c>
      <c r="H199" s="252" t="s">
        <v>110</v>
      </c>
      <c r="L199" s="144">
        <v>1</v>
      </c>
      <c r="M199" s="109" t="s">
        <v>24</v>
      </c>
      <c r="N199" s="203" t="s">
        <v>104</v>
      </c>
      <c r="O199" s="260" t="s">
        <v>112</v>
      </c>
    </row>
    <row r="200" spans="1:17" ht="15" customHeight="1" x14ac:dyDescent="0.2">
      <c r="B200" s="348">
        <f>D149</f>
        <v>2.46</v>
      </c>
      <c r="C200" s="157" t="s">
        <v>6</v>
      </c>
      <c r="D200" s="22"/>
      <c r="E200" s="5" t="s">
        <v>2</v>
      </c>
      <c r="F200" s="196" t="s">
        <v>149</v>
      </c>
      <c r="G200" s="55" t="s">
        <v>37</v>
      </c>
      <c r="H200" s="6" t="s">
        <v>68</v>
      </c>
      <c r="J200" s="72" t="s">
        <v>137</v>
      </c>
      <c r="K200" s="5" t="s">
        <v>2</v>
      </c>
      <c r="L200" s="6" t="s">
        <v>68</v>
      </c>
      <c r="M200" s="38" t="s">
        <v>25</v>
      </c>
      <c r="N200" s="204" t="s">
        <v>138</v>
      </c>
      <c r="O200" s="38" t="s">
        <v>33</v>
      </c>
      <c r="Q200" s="390" t="s">
        <v>130</v>
      </c>
    </row>
    <row r="201" spans="1:17" ht="15" customHeight="1" x14ac:dyDescent="0.2">
      <c r="B201" s="349">
        <f>D150</f>
        <v>4.2</v>
      </c>
      <c r="C201" s="1" t="s">
        <v>0</v>
      </c>
      <c r="D201" s="39"/>
      <c r="E201" s="150">
        <v>1</v>
      </c>
      <c r="F201" s="245">
        <f t="shared" ref="F201:F210" si="49">G129</f>
        <v>0.56599999999999995</v>
      </c>
      <c r="G201" s="104">
        <f>F201/E201</f>
        <v>0.56599999999999995</v>
      </c>
      <c r="H201" s="257">
        <f>SQRT(12*32.2*G201^2/(4*$B$202*($B$201*56)*$B$200^2))</f>
        <v>1.5993435592911501E-2</v>
      </c>
      <c r="J201" s="257">
        <v>1.5993435592911501E-2</v>
      </c>
      <c r="K201" s="150">
        <v>1</v>
      </c>
      <c r="L201" s="257">
        <f>J201*$L$199</f>
        <v>1.5993435592911501E-2</v>
      </c>
      <c r="M201" s="14">
        <f>(B201*2.20462*25.4*12)</f>
        <v>2822.2663391999999</v>
      </c>
      <c r="N201" s="153">
        <f>L201*B$200*SQRT(4*B$202*M$201/32.2)/12</f>
        <v>0.56598659776989668</v>
      </c>
      <c r="O201" s="297">
        <f>K201*N201</f>
        <v>0.56598659776989668</v>
      </c>
      <c r="Q201" s="297">
        <f t="shared" ref="Q201:Q210" si="50">E101</f>
        <v>0.56599999999999995</v>
      </c>
    </row>
    <row r="202" spans="1:17" ht="15" customHeight="1" x14ac:dyDescent="0.2">
      <c r="B202" s="350">
        <f>D151</f>
        <v>85</v>
      </c>
      <c r="C202" s="156" t="s">
        <v>1</v>
      </c>
      <c r="D202" s="31"/>
      <c r="E202" s="149">
        <v>2</v>
      </c>
      <c r="F202" s="246">
        <f t="shared" si="49"/>
        <v>2.1</v>
      </c>
      <c r="G202" s="103">
        <f t="shared" ref="G202:G210" si="51">F202/E202</f>
        <v>1.05</v>
      </c>
      <c r="H202" s="258">
        <f t="shared" ref="H202:H210" si="52">SQRT(12*32.2*G202^2/(4*$B$202*($B$201*56)*$B$200^2))</f>
        <v>2.9669801011584947E-2</v>
      </c>
      <c r="J202" s="258">
        <v>2.9669801011584947E-2</v>
      </c>
      <c r="K202" s="149">
        <v>2</v>
      </c>
      <c r="L202" s="258">
        <f t="shared" ref="L202:L210" si="53">J202*$L$199</f>
        <v>2.9669801011584947E-2</v>
      </c>
      <c r="N202" s="152">
        <f t="shared" ref="N202:N210" si="54">L202*B$200*SQRT(4*B$202*M$201/32.2)/12</f>
        <v>1.049975137205639</v>
      </c>
      <c r="O202" s="298">
        <f t="shared" ref="O202" si="55">K202*N202</f>
        <v>2.0999502744112779</v>
      </c>
      <c r="Q202" s="298">
        <f t="shared" si="50"/>
        <v>2.1</v>
      </c>
    </row>
    <row r="203" spans="1:17" ht="15" customHeight="1" x14ac:dyDescent="0.2">
      <c r="E203" s="148">
        <v>3</v>
      </c>
      <c r="F203" s="247">
        <f t="shared" si="49"/>
        <v>4.343</v>
      </c>
      <c r="G203" s="102">
        <f t="shared" si="51"/>
        <v>1.4476666666666667</v>
      </c>
      <c r="H203" s="259">
        <f t="shared" si="52"/>
        <v>4.0906649458194735E-2</v>
      </c>
      <c r="J203" s="259">
        <v>4.0906649458194735E-2</v>
      </c>
      <c r="K203" s="148">
        <v>3</v>
      </c>
      <c r="L203" s="259">
        <f t="shared" si="53"/>
        <v>4.0906649458194735E-2</v>
      </c>
      <c r="N203" s="151">
        <f t="shared" si="54"/>
        <v>1.4476323875822505</v>
      </c>
      <c r="O203" s="299">
        <f>K203*N203</f>
        <v>4.3428971627467519</v>
      </c>
      <c r="Q203" s="299">
        <f t="shared" si="50"/>
        <v>4.343</v>
      </c>
    </row>
    <row r="204" spans="1:17" ht="15" customHeight="1" x14ac:dyDescent="0.2">
      <c r="E204" s="148">
        <v>4</v>
      </c>
      <c r="F204" s="247">
        <f t="shared" si="49"/>
        <v>7.1820000000000004</v>
      </c>
      <c r="G204" s="102">
        <f t="shared" si="51"/>
        <v>1.7955000000000001</v>
      </c>
      <c r="H204" s="259">
        <f t="shared" si="52"/>
        <v>5.0735359729810255E-2</v>
      </c>
      <c r="J204" s="259">
        <v>5.0735359729810255E-2</v>
      </c>
      <c r="K204" s="148">
        <v>4</v>
      </c>
      <c r="L204" s="259">
        <f t="shared" si="53"/>
        <v>5.0735359729810255E-2</v>
      </c>
      <c r="N204" s="151">
        <f t="shared" si="54"/>
        <v>1.7954574846216422</v>
      </c>
      <c r="O204" s="299">
        <f t="shared" ref="O204:O210" si="56">K204*N204</f>
        <v>7.1818299384865689</v>
      </c>
      <c r="Q204" s="299">
        <f t="shared" si="50"/>
        <v>7.1820000000000004</v>
      </c>
    </row>
    <row r="205" spans="1:17" ht="15" customHeight="1" x14ac:dyDescent="0.2">
      <c r="E205" s="149">
        <v>5</v>
      </c>
      <c r="F205" s="246">
        <f t="shared" si="49"/>
        <v>10.327</v>
      </c>
      <c r="G205" s="103">
        <f t="shared" si="51"/>
        <v>2.0653999999999999</v>
      </c>
      <c r="H205" s="258">
        <f t="shared" si="52"/>
        <v>5.8361911437454804E-2</v>
      </c>
      <c r="J205" s="258">
        <v>5.8361911437454804E-2</v>
      </c>
      <c r="K205" s="149">
        <v>5</v>
      </c>
      <c r="L205" s="258">
        <f t="shared" si="53"/>
        <v>5.8361911437454804E-2</v>
      </c>
      <c r="N205" s="152">
        <f t="shared" si="54"/>
        <v>2.0653510936995487</v>
      </c>
      <c r="O205" s="298">
        <f t="shared" si="56"/>
        <v>10.326755468497744</v>
      </c>
      <c r="Q205" s="298">
        <f t="shared" si="50"/>
        <v>10.327</v>
      </c>
    </row>
    <row r="206" spans="1:17" ht="15" customHeight="1" x14ac:dyDescent="0.2">
      <c r="E206" s="148">
        <v>10</v>
      </c>
      <c r="F206" s="247">
        <f t="shared" si="49"/>
        <v>22.097999999999999</v>
      </c>
      <c r="G206" s="102">
        <f t="shared" si="51"/>
        <v>2.2098</v>
      </c>
      <c r="H206" s="259">
        <f t="shared" si="52"/>
        <v>6.2442215500381343E-2</v>
      </c>
      <c r="J206" s="259">
        <v>6.2442215500381343E-2</v>
      </c>
      <c r="K206" s="154">
        <v>10</v>
      </c>
      <c r="L206" s="259">
        <f t="shared" si="53"/>
        <v>6.2442215500381343E-2</v>
      </c>
      <c r="M206" s="84"/>
      <c r="N206" s="155">
        <f t="shared" si="54"/>
        <v>2.2097476744733529</v>
      </c>
      <c r="O206" s="300">
        <f t="shared" si="56"/>
        <v>22.097476744733527</v>
      </c>
      <c r="Q206" s="300">
        <f t="shared" si="50"/>
        <v>22.097999999999999</v>
      </c>
    </row>
    <row r="207" spans="1:17" ht="15" customHeight="1" x14ac:dyDescent="0.2">
      <c r="E207" s="148">
        <v>20</v>
      </c>
      <c r="F207" s="247">
        <f t="shared" si="49"/>
        <v>41.238</v>
      </c>
      <c r="G207" s="102">
        <f t="shared" si="51"/>
        <v>2.0619000000000001</v>
      </c>
      <c r="H207" s="259">
        <f t="shared" si="52"/>
        <v>5.8263012100749523E-2</v>
      </c>
      <c r="J207" s="259">
        <v>5.8263012100749523E-2</v>
      </c>
      <c r="K207" s="148">
        <v>20</v>
      </c>
      <c r="L207" s="259">
        <f t="shared" si="53"/>
        <v>5.8263012100749523E-2</v>
      </c>
      <c r="N207" s="151">
        <f t="shared" si="54"/>
        <v>2.0618511765755301</v>
      </c>
      <c r="O207" s="299">
        <f t="shared" si="56"/>
        <v>41.237023531510602</v>
      </c>
      <c r="Q207" s="299">
        <f t="shared" si="50"/>
        <v>41.238</v>
      </c>
    </row>
    <row r="208" spans="1:17" ht="15" customHeight="1" x14ac:dyDescent="0.2">
      <c r="E208" s="148">
        <v>30</v>
      </c>
      <c r="F208" s="247">
        <f t="shared" si="49"/>
        <v>55.795999999999999</v>
      </c>
      <c r="G208" s="102">
        <f t="shared" si="51"/>
        <v>1.8598666666666666</v>
      </c>
      <c r="H208" s="259">
        <f t="shared" si="52"/>
        <v>5.2554165626742658E-2</v>
      </c>
      <c r="J208" s="259">
        <v>5.2554165626742658E-2</v>
      </c>
      <c r="K208" s="148">
        <v>30</v>
      </c>
      <c r="L208" s="259">
        <f t="shared" si="53"/>
        <v>5.2554165626742658E-2</v>
      </c>
      <c r="N208" s="151">
        <f t="shared" si="54"/>
        <v>1.8598226271595497</v>
      </c>
      <c r="O208" s="299">
        <f t="shared" si="56"/>
        <v>55.794678814786494</v>
      </c>
      <c r="Q208" s="299">
        <f t="shared" si="50"/>
        <v>55.795999999999999</v>
      </c>
    </row>
    <row r="209" spans="1:17" ht="15" customHeight="1" x14ac:dyDescent="0.2">
      <c r="E209" s="148">
        <v>40</v>
      </c>
      <c r="F209" s="247">
        <f t="shared" si="49"/>
        <v>68.897000000000006</v>
      </c>
      <c r="G209" s="102">
        <f t="shared" si="51"/>
        <v>1.7224250000000001</v>
      </c>
      <c r="H209" s="259">
        <f t="shared" si="52"/>
        <v>4.8670482864170674E-2</v>
      </c>
      <c r="J209" s="259">
        <v>4.8670482864170674E-2</v>
      </c>
      <c r="K209" s="148">
        <v>40</v>
      </c>
      <c r="L209" s="259">
        <f t="shared" si="53"/>
        <v>4.8670482864170674E-2</v>
      </c>
      <c r="N209" s="151">
        <f t="shared" si="54"/>
        <v>1.7223842149537358</v>
      </c>
      <c r="O209" s="299">
        <f t="shared" si="56"/>
        <v>68.895368598149432</v>
      </c>
      <c r="Q209" s="299">
        <f t="shared" si="50"/>
        <v>68.897000000000006</v>
      </c>
    </row>
    <row r="210" spans="1:17" ht="15" customHeight="1" x14ac:dyDescent="0.2">
      <c r="E210" s="149">
        <v>50</v>
      </c>
      <c r="F210" s="246">
        <f t="shared" si="49"/>
        <v>80.478999999999999</v>
      </c>
      <c r="G210" s="103">
        <f t="shared" si="51"/>
        <v>1.60958</v>
      </c>
      <c r="H210" s="258">
        <f t="shared" si="52"/>
        <v>4.5481826964025619E-2</v>
      </c>
      <c r="J210" s="258">
        <v>4.5481826964025619E-2</v>
      </c>
      <c r="K210" s="149">
        <v>50</v>
      </c>
      <c r="L210" s="258">
        <f t="shared" si="53"/>
        <v>4.5481826964025619E-2</v>
      </c>
      <c r="N210" s="152">
        <f t="shared" si="54"/>
        <v>1.6095418869937639</v>
      </c>
      <c r="O210" s="298">
        <f t="shared" si="56"/>
        <v>80.477094349688201</v>
      </c>
      <c r="Q210" s="298">
        <f t="shared" si="50"/>
        <v>80.478999999999999</v>
      </c>
    </row>
    <row r="211" spans="1:17" ht="15" customHeight="1" x14ac:dyDescent="0.2"/>
    <row r="212" spans="1:17" ht="15" customHeight="1" x14ac:dyDescent="0.2">
      <c r="O212" s="70"/>
    </row>
    <row r="213" spans="1:17" ht="15" customHeight="1" x14ac:dyDescent="0.2">
      <c r="O213" s="70"/>
    </row>
    <row r="214" spans="1:17" ht="15" customHeight="1" x14ac:dyDescent="0.2">
      <c r="O214" s="70"/>
    </row>
    <row r="215" spans="1:17" ht="15" customHeight="1" x14ac:dyDescent="0.2">
      <c r="O215" s="70"/>
    </row>
    <row r="216" spans="1:17" ht="15" customHeight="1" x14ac:dyDescent="0.2">
      <c r="O216" s="70"/>
    </row>
    <row r="217" spans="1:17" ht="15" customHeight="1" x14ac:dyDescent="0.2">
      <c r="A217" s="108"/>
      <c r="B217" s="21"/>
      <c r="C217" s="21"/>
      <c r="D217" s="21"/>
      <c r="E217" s="21"/>
      <c r="F217" s="21"/>
      <c r="G217" s="21"/>
      <c r="H217" s="21"/>
      <c r="I217" s="21"/>
      <c r="J217" s="21"/>
      <c r="K217" s="21"/>
      <c r="L217" s="21"/>
      <c r="M217" s="21"/>
      <c r="N217" s="21"/>
      <c r="O217" s="351"/>
      <c r="P217" s="22"/>
    </row>
    <row r="218" spans="1:17" ht="15" customHeight="1" x14ac:dyDescent="0.2">
      <c r="A218" s="63"/>
      <c r="B218" s="1"/>
      <c r="C218" s="1"/>
      <c r="D218" s="1"/>
      <c r="E218" s="1"/>
      <c r="F218" s="1"/>
      <c r="G218" s="1"/>
      <c r="H218" s="1"/>
      <c r="I218" s="1"/>
      <c r="J218" s="1"/>
      <c r="K218" s="1"/>
      <c r="L218" s="1"/>
      <c r="M218" s="1"/>
      <c r="N218" s="1"/>
      <c r="O218" s="413" t="s">
        <v>277</v>
      </c>
      <c r="P218" s="378"/>
    </row>
    <row r="219" spans="1:17" ht="15" customHeight="1" x14ac:dyDescent="0.2">
      <c r="A219" s="63"/>
      <c r="B219" s="1"/>
      <c r="C219" s="1"/>
      <c r="D219" s="1"/>
      <c r="E219" s="1"/>
      <c r="F219" s="1"/>
      <c r="G219" s="1"/>
      <c r="H219" s="1"/>
      <c r="I219" s="1"/>
      <c r="J219" s="1"/>
      <c r="K219" s="1"/>
      <c r="L219" s="1"/>
      <c r="M219" s="1"/>
      <c r="N219" s="1"/>
      <c r="O219" s="352"/>
      <c r="P219" s="39"/>
    </row>
    <row r="220" spans="1:17" ht="15" customHeight="1" x14ac:dyDescent="0.2">
      <c r="A220" s="353" t="s">
        <v>175</v>
      </c>
      <c r="B220" s="354" t="s">
        <v>264</v>
      </c>
      <c r="C220" s="1"/>
      <c r="D220" s="1"/>
      <c r="E220" s="1"/>
      <c r="F220" s="1"/>
      <c r="G220" s="1"/>
      <c r="H220" s="1"/>
      <c r="I220" s="1"/>
      <c r="J220" s="1"/>
      <c r="K220" s="355" t="s">
        <v>198</v>
      </c>
      <c r="L220" s="1"/>
      <c r="M220" s="1"/>
      <c r="N220" s="1"/>
      <c r="O220" s="409" t="s">
        <v>199</v>
      </c>
      <c r="P220" s="39"/>
    </row>
    <row r="221" spans="1:17" ht="15" customHeight="1" x14ac:dyDescent="0.2">
      <c r="A221" s="353"/>
      <c r="B221" s="354" t="str">
        <f>B9</f>
        <v xml:space="preserve"> 3171s</v>
      </c>
      <c r="C221" s="1"/>
      <c r="D221" s="1"/>
      <c r="E221" s="1"/>
      <c r="F221" s="1"/>
      <c r="G221" s="1"/>
      <c r="H221" s="1"/>
      <c r="I221" s="1"/>
      <c r="J221" s="1"/>
      <c r="K221" s="355"/>
      <c r="L221" s="1"/>
      <c r="M221" s="1"/>
      <c r="N221" s="1"/>
      <c r="O221" s="409"/>
      <c r="P221" s="39"/>
    </row>
    <row r="222" spans="1:17" ht="15" customHeight="1" x14ac:dyDescent="0.2">
      <c r="A222" s="353"/>
      <c r="B222" s="354" t="str">
        <f>B10</f>
        <v xml:space="preserve"> 16 SXF 250</v>
      </c>
      <c r="C222" s="1"/>
      <c r="D222" s="1" t="str">
        <f>B5</f>
        <v xml:space="preserve">  We will use the exact spring rate from the test because a good test should have decent r-zeta and r/c ratio.</v>
      </c>
      <c r="E222" s="1"/>
      <c r="F222" s="1"/>
      <c r="G222" s="1"/>
      <c r="H222" s="1"/>
      <c r="I222" s="1"/>
      <c r="J222" s="1"/>
      <c r="K222" s="355"/>
      <c r="L222" s="1"/>
      <c r="M222" s="1"/>
      <c r="N222" s="1"/>
      <c r="O222" s="409"/>
      <c r="P222" s="39"/>
    </row>
    <row r="223" spans="1:17" ht="15" customHeight="1" x14ac:dyDescent="0.2">
      <c r="A223" s="353"/>
      <c r="B223" s="354" t="str">
        <f>B11</f>
        <v xml:space="preserve"> Hunter Hargis</v>
      </c>
      <c r="C223" s="1"/>
      <c r="D223" s="1" t="str">
        <f>B6</f>
        <v xml:space="preserve">  We are removing calc gas (73c and 69c) and displaying linear gas force (77 lbs and 73 lbs) for 12sxf450-psh and 16sxf250-psh respectively.</v>
      </c>
      <c r="E223" s="1"/>
      <c r="F223" s="1"/>
      <c r="G223" s="1"/>
      <c r="H223" s="1"/>
      <c r="I223" s="1"/>
      <c r="J223" s="1"/>
      <c r="K223" s="355"/>
      <c r="L223" s="1"/>
      <c r="M223" s="1"/>
      <c r="N223" s="1"/>
      <c r="O223" s="409"/>
      <c r="P223" s="39"/>
    </row>
    <row r="224" spans="1:17" ht="15" customHeight="1" x14ac:dyDescent="0.2">
      <c r="A224" s="353"/>
      <c r="B224" s="354" t="str">
        <f>B12</f>
        <v xml:space="preserve"> 12sxf450-psh</v>
      </c>
      <c r="C224" s="1"/>
      <c r="D224" s="1"/>
      <c r="E224" s="1"/>
      <c r="F224" s="1"/>
      <c r="G224" s="1"/>
      <c r="H224" s="1"/>
      <c r="I224" s="1"/>
      <c r="J224" s="1"/>
      <c r="K224" s="355"/>
      <c r="L224" s="1"/>
      <c r="M224" s="1"/>
      <c r="N224" s="1"/>
      <c r="O224" s="409"/>
      <c r="P224" s="39"/>
    </row>
    <row r="225" spans="1:16" ht="15" customHeight="1" x14ac:dyDescent="0.2">
      <c r="A225" s="63"/>
      <c r="B225" s="354" t="str">
        <f>B13</f>
        <v xml:space="preserve"> TRENDLINE</v>
      </c>
      <c r="C225" s="354" t="str">
        <f>C13</f>
        <v xml:space="preserve"> v5</v>
      </c>
      <c r="D225" s="1"/>
      <c r="E225" s="1"/>
      <c r="F225" s="1"/>
      <c r="G225" s="1"/>
      <c r="H225" s="1"/>
      <c r="I225" s="1"/>
      <c r="J225" s="1"/>
      <c r="K225" s="355"/>
      <c r="L225" s="1"/>
      <c r="M225" s="1"/>
      <c r="N225" s="1"/>
      <c r="O225" s="409"/>
      <c r="P225" s="39"/>
    </row>
    <row r="226" spans="1:16" ht="15" customHeight="1" x14ac:dyDescent="0.2">
      <c r="A226" s="63"/>
      <c r="B226" s="354"/>
      <c r="C226" s="1"/>
      <c r="D226" s="1"/>
      <c r="E226" s="1"/>
      <c r="F226" s="1"/>
      <c r="G226" s="1"/>
      <c r="H226" s="1"/>
      <c r="I226" s="1"/>
      <c r="J226" s="1"/>
      <c r="K226" s="1"/>
      <c r="L226" s="1"/>
      <c r="M226" s="1"/>
      <c r="N226" s="1"/>
      <c r="O226" s="1"/>
      <c r="P226" s="39"/>
    </row>
    <row r="227" spans="1:16" ht="15" customHeight="1" x14ac:dyDescent="0.2">
      <c r="A227" s="23"/>
      <c r="B227" s="356" t="s">
        <v>284</v>
      </c>
      <c r="C227" s="354"/>
      <c r="D227" s="1"/>
      <c r="E227" s="1"/>
      <c r="F227" s="1"/>
      <c r="G227" s="1"/>
      <c r="H227" s="1"/>
      <c r="I227" s="1"/>
      <c r="J227" s="1"/>
      <c r="K227" s="1"/>
      <c r="L227" s="1"/>
      <c r="M227" s="1"/>
      <c r="N227" s="1"/>
      <c r="O227" s="1"/>
      <c r="P227" s="39"/>
    </row>
    <row r="228" spans="1:16" ht="15" customHeight="1" x14ac:dyDescent="0.2">
      <c r="A228" s="63"/>
      <c r="B228" s="1"/>
      <c r="C228" s="1"/>
      <c r="D228" s="1"/>
      <c r="E228" s="1"/>
      <c r="F228" s="1"/>
      <c r="G228" s="1"/>
      <c r="H228" s="180" t="str">
        <f>J99</f>
        <v>stiff</v>
      </c>
      <c r="I228" s="1"/>
      <c r="J228" s="1"/>
      <c r="K228" s="1"/>
      <c r="L228" s="1"/>
      <c r="M228" s="1"/>
      <c r="N228" s="1"/>
      <c r="O228" s="1"/>
      <c r="P228" s="39"/>
    </row>
    <row r="229" spans="1:16" ht="15" customHeight="1" x14ac:dyDescent="0.2">
      <c r="A229" s="379" t="s">
        <v>228</v>
      </c>
      <c r="B229" s="446">
        <f>D150</f>
        <v>4.2</v>
      </c>
      <c r="C229" s="180" t="s">
        <v>133</v>
      </c>
      <c r="D229" s="168" t="s">
        <v>133</v>
      </c>
      <c r="E229" s="170" t="s">
        <v>133</v>
      </c>
      <c r="F229" s="272" t="s">
        <v>110</v>
      </c>
      <c r="G229" s="278" t="s">
        <v>133</v>
      </c>
      <c r="H229" s="180" t="s">
        <v>124</v>
      </c>
      <c r="I229" s="180" t="s">
        <v>50</v>
      </c>
      <c r="J229" s="182" t="s">
        <v>50</v>
      </c>
      <c r="K229" s="279" t="s">
        <v>124</v>
      </c>
      <c r="L229" s="182" t="s">
        <v>117</v>
      </c>
      <c r="M229" s="182" t="s">
        <v>110</v>
      </c>
      <c r="N229" s="182" t="s">
        <v>112</v>
      </c>
      <c r="O229" s="1"/>
      <c r="P229" s="182" t="s">
        <v>117</v>
      </c>
    </row>
    <row r="230" spans="1:16" ht="15" customHeight="1" x14ac:dyDescent="0.2">
      <c r="A230" s="63"/>
      <c r="B230" s="186"/>
      <c r="C230" s="266" t="s">
        <v>117</v>
      </c>
      <c r="D230" s="264" t="s">
        <v>118</v>
      </c>
      <c r="E230" s="196" t="s">
        <v>109</v>
      </c>
      <c r="F230" s="273" t="s">
        <v>127</v>
      </c>
      <c r="G230" s="183" t="s">
        <v>110</v>
      </c>
      <c r="H230" s="181" t="s">
        <v>112</v>
      </c>
      <c r="I230" s="181" t="s">
        <v>114</v>
      </c>
      <c r="J230" s="183" t="s">
        <v>115</v>
      </c>
      <c r="K230" s="280" t="s">
        <v>105</v>
      </c>
      <c r="L230" s="183" t="s">
        <v>116</v>
      </c>
      <c r="M230" s="183" t="s">
        <v>116</v>
      </c>
      <c r="N230" s="183" t="s">
        <v>116</v>
      </c>
      <c r="O230" s="1"/>
      <c r="P230" s="183" t="s">
        <v>116</v>
      </c>
    </row>
    <row r="231" spans="1:16" ht="15" customHeight="1" x14ac:dyDescent="0.2">
      <c r="A231" s="63"/>
      <c r="B231" s="186" t="s">
        <v>39</v>
      </c>
      <c r="C231" s="267" t="s">
        <v>130</v>
      </c>
      <c r="D231" s="265" t="s">
        <v>130</v>
      </c>
      <c r="E231" s="192" t="s">
        <v>130</v>
      </c>
      <c r="F231" s="274" t="s">
        <v>131</v>
      </c>
      <c r="G231" s="267" t="s">
        <v>130</v>
      </c>
      <c r="H231" s="267" t="s">
        <v>130</v>
      </c>
      <c r="I231" s="267" t="s">
        <v>130</v>
      </c>
      <c r="J231" s="267" t="s">
        <v>130</v>
      </c>
      <c r="K231" s="281" t="s">
        <v>195</v>
      </c>
      <c r="L231" s="267" t="s">
        <v>130</v>
      </c>
      <c r="M231" s="267" t="s">
        <v>130</v>
      </c>
      <c r="N231" s="267" t="s">
        <v>130</v>
      </c>
      <c r="O231" s="1"/>
      <c r="P231" s="183" t="s">
        <v>128</v>
      </c>
    </row>
    <row r="232" spans="1:16" ht="15" customHeight="1" x14ac:dyDescent="0.2">
      <c r="A232" s="63"/>
      <c r="B232" s="186">
        <v>1</v>
      </c>
      <c r="C232" s="268">
        <f t="shared" ref="C232:E241" si="57">C129</f>
        <v>49.349116795983917</v>
      </c>
      <c r="D232" s="301">
        <f t="shared" si="57"/>
        <v>122.34911679598392</v>
      </c>
      <c r="E232" s="275">
        <f t="shared" si="57"/>
        <v>28.249116795983912</v>
      </c>
      <c r="F232" s="275">
        <f>G232+J232</f>
        <v>43.883116795983909</v>
      </c>
      <c r="G232" s="268">
        <f t="shared" ref="G232:H241" si="58">F129</f>
        <v>27.683116795983914</v>
      </c>
      <c r="H232" s="304">
        <f t="shared" si="58"/>
        <v>0.56599999999999995</v>
      </c>
      <c r="I232" s="308">
        <f>M129</f>
        <v>77</v>
      </c>
      <c r="J232" s="268">
        <f t="shared" ref="J232:J241" si="59">L129</f>
        <v>16.2</v>
      </c>
      <c r="K232" s="373">
        <f>H232/E232</f>
        <v>2.0036024633537087E-2</v>
      </c>
      <c r="L232" s="312">
        <f t="shared" ref="L232:L241" si="60">F149</f>
        <v>1.3888371862908135</v>
      </c>
      <c r="M232" s="312">
        <f t="shared" ref="M232:M241" si="61">H171</f>
        <v>0.78224053973076924</v>
      </c>
      <c r="N232" s="312">
        <f t="shared" ref="N232:N241" si="62">H201</f>
        <v>1.5993435592911501E-2</v>
      </c>
      <c r="O232" s="1"/>
      <c r="P232" s="316">
        <f>L232</f>
        <v>1.3888371862908135</v>
      </c>
    </row>
    <row r="233" spans="1:16" ht="15" customHeight="1" x14ac:dyDescent="0.2">
      <c r="A233" s="63"/>
      <c r="B233" s="186">
        <v>2</v>
      </c>
      <c r="C233" s="269">
        <f t="shared" si="57"/>
        <v>73.197977362243563</v>
      </c>
      <c r="D233" s="302">
        <f t="shared" si="57"/>
        <v>146.19797736224356</v>
      </c>
      <c r="E233" s="276">
        <f t="shared" si="57"/>
        <v>52.49797736224356</v>
      </c>
      <c r="F233" s="276">
        <f t="shared" ref="F233:F241" si="63">G233+J233</f>
        <v>66.397977362243552</v>
      </c>
      <c r="G233" s="269">
        <f t="shared" si="58"/>
        <v>50.397977362243559</v>
      </c>
      <c r="H233" s="305">
        <f t="shared" si="58"/>
        <v>2.1</v>
      </c>
      <c r="I233" s="309">
        <f t="shared" ref="I233:I241" si="64">M130</f>
        <v>77</v>
      </c>
      <c r="J233" s="269">
        <f t="shared" si="59"/>
        <v>16</v>
      </c>
      <c r="K233" s="374">
        <f t="shared" ref="K233:K241" si="65">H233/E233</f>
        <v>4.0001541116711975E-2</v>
      </c>
      <c r="L233" s="313">
        <f t="shared" si="60"/>
        <v>1.0342004042915363</v>
      </c>
      <c r="M233" s="313">
        <f t="shared" si="61"/>
        <v>0.71204664748768054</v>
      </c>
      <c r="N233" s="313">
        <f t="shared" si="62"/>
        <v>2.9669801011584947E-2</v>
      </c>
      <c r="O233" s="1"/>
      <c r="P233" s="317">
        <f t="shared" ref="P233:P241" si="66">L233</f>
        <v>1.0342004042915363</v>
      </c>
    </row>
    <row r="234" spans="1:16" ht="15" customHeight="1" x14ac:dyDescent="0.2">
      <c r="A234" s="63"/>
      <c r="B234" s="186">
        <v>3</v>
      </c>
      <c r="C234" s="270">
        <f t="shared" si="57"/>
        <v>95.251605189003186</v>
      </c>
      <c r="D234" s="303">
        <f t="shared" si="57"/>
        <v>168.25160518900319</v>
      </c>
      <c r="E234" s="277">
        <f t="shared" si="57"/>
        <v>74.851605189003166</v>
      </c>
      <c r="F234" s="277">
        <f t="shared" si="63"/>
        <v>86.508605189003163</v>
      </c>
      <c r="G234" s="270">
        <f t="shared" si="58"/>
        <v>70.508605189003163</v>
      </c>
      <c r="H234" s="306">
        <f t="shared" si="58"/>
        <v>4.343</v>
      </c>
      <c r="I234" s="310">
        <f t="shared" si="64"/>
        <v>77</v>
      </c>
      <c r="J234" s="270">
        <f t="shared" si="59"/>
        <v>16</v>
      </c>
      <c r="K234" s="375">
        <f t="shared" si="65"/>
        <v>5.8021467796632538E-2</v>
      </c>
      <c r="L234" s="314">
        <f t="shared" si="60"/>
        <v>0.89719463247261089</v>
      </c>
      <c r="M234" s="314">
        <f t="shared" si="61"/>
        <v>0.66411945573400943</v>
      </c>
      <c r="N234" s="314">
        <f t="shared" si="62"/>
        <v>4.0906649458194735E-2</v>
      </c>
      <c r="O234" s="1"/>
      <c r="P234" s="318">
        <f t="shared" si="66"/>
        <v>0.89719463247261089</v>
      </c>
    </row>
    <row r="235" spans="1:16" ht="15" customHeight="1" x14ac:dyDescent="0.2">
      <c r="A235" s="63"/>
      <c r="B235" s="186">
        <v>4</v>
      </c>
      <c r="C235" s="270">
        <f t="shared" si="57"/>
        <v>115.7713110007814</v>
      </c>
      <c r="D235" s="303">
        <f t="shared" si="57"/>
        <v>188.7713110007814</v>
      </c>
      <c r="E235" s="277">
        <f t="shared" si="57"/>
        <v>95.571311000781421</v>
      </c>
      <c r="F235" s="277">
        <f t="shared" si="63"/>
        <v>104.38931100078142</v>
      </c>
      <c r="G235" s="270">
        <f t="shared" si="58"/>
        <v>88.389311000781419</v>
      </c>
      <c r="H235" s="306">
        <f t="shared" si="58"/>
        <v>7.1820000000000004</v>
      </c>
      <c r="I235" s="310">
        <f t="shared" si="64"/>
        <v>77</v>
      </c>
      <c r="J235" s="270">
        <f t="shared" si="59"/>
        <v>16</v>
      </c>
      <c r="K235" s="375">
        <f t="shared" si="65"/>
        <v>7.5148074508900251E-2</v>
      </c>
      <c r="L235" s="314">
        <f t="shared" si="60"/>
        <v>0.81785549927044798</v>
      </c>
      <c r="M235" s="314">
        <f t="shared" si="61"/>
        <v>0.62440315927244783</v>
      </c>
      <c r="N235" s="314">
        <f t="shared" si="62"/>
        <v>5.0735359729810255E-2</v>
      </c>
      <c r="O235" s="1"/>
      <c r="P235" s="318">
        <f t="shared" si="66"/>
        <v>0.81785549927044798</v>
      </c>
    </row>
    <row r="236" spans="1:16" ht="15" customHeight="1" x14ac:dyDescent="0.2">
      <c r="A236" s="63"/>
      <c r="B236" s="186">
        <v>5</v>
      </c>
      <c r="C236" s="269">
        <f t="shared" si="57"/>
        <v>134.94140552209706</v>
      </c>
      <c r="D236" s="302">
        <f t="shared" si="57"/>
        <v>207.94140552209706</v>
      </c>
      <c r="E236" s="276">
        <f t="shared" si="57"/>
        <v>114.74140552209707</v>
      </c>
      <c r="F236" s="276">
        <f t="shared" si="63"/>
        <v>120.41440552209707</v>
      </c>
      <c r="G236" s="269">
        <f t="shared" si="58"/>
        <v>104.41440552209707</v>
      </c>
      <c r="H236" s="305">
        <f t="shared" si="58"/>
        <v>10.327</v>
      </c>
      <c r="I236" s="309">
        <f t="shared" si="64"/>
        <v>77</v>
      </c>
      <c r="J236" s="269">
        <f t="shared" si="59"/>
        <v>16</v>
      </c>
      <c r="K236" s="374">
        <f t="shared" si="65"/>
        <v>9.0002383647036735E-2</v>
      </c>
      <c r="L236" s="313">
        <f t="shared" si="60"/>
        <v>0.76262465808846736</v>
      </c>
      <c r="M236" s="313">
        <f t="shared" si="61"/>
        <v>0.59008659706353461</v>
      </c>
      <c r="N236" s="313">
        <f t="shared" si="62"/>
        <v>5.8361911437454804E-2</v>
      </c>
      <c r="O236" s="1"/>
      <c r="P236" s="317">
        <f t="shared" si="66"/>
        <v>0.76262465808846736</v>
      </c>
    </row>
    <row r="237" spans="1:16" ht="15" customHeight="1" x14ac:dyDescent="0.2">
      <c r="A237" s="63"/>
      <c r="B237" s="186">
        <v>10</v>
      </c>
      <c r="C237" s="270">
        <f t="shared" si="57"/>
        <v>212.40057777923118</v>
      </c>
      <c r="D237" s="303">
        <f t="shared" si="57"/>
        <v>285.40057777923118</v>
      </c>
      <c r="E237" s="277">
        <f t="shared" si="57"/>
        <v>192.00057777923115</v>
      </c>
      <c r="F237" s="277">
        <f t="shared" si="63"/>
        <v>185.90257777923114</v>
      </c>
      <c r="G237" s="270">
        <f t="shared" si="58"/>
        <v>169.90257777923114</v>
      </c>
      <c r="H237" s="306">
        <f t="shared" si="58"/>
        <v>22.097999999999999</v>
      </c>
      <c r="I237" s="310">
        <f t="shared" si="64"/>
        <v>77</v>
      </c>
      <c r="J237" s="270">
        <f t="shared" si="59"/>
        <v>16</v>
      </c>
      <c r="K237" s="375">
        <f t="shared" si="65"/>
        <v>0.11509340365323815</v>
      </c>
      <c r="L237" s="314">
        <f t="shared" si="60"/>
        <v>0.60019353355614069</v>
      </c>
      <c r="M237" s="314">
        <f t="shared" si="61"/>
        <v>0.48009292133953535</v>
      </c>
      <c r="N237" s="314">
        <f t="shared" si="62"/>
        <v>6.2442215500381343E-2</v>
      </c>
      <c r="O237" s="1"/>
      <c r="P237" s="318">
        <f t="shared" si="66"/>
        <v>0.60019353355614069</v>
      </c>
    </row>
    <row r="238" spans="1:16" ht="15" customHeight="1" x14ac:dyDescent="0.2">
      <c r="A238" s="63"/>
      <c r="B238" s="186">
        <v>20</v>
      </c>
      <c r="C238" s="270">
        <f t="shared" si="57"/>
        <v>337.54371428571432</v>
      </c>
      <c r="D238" s="303">
        <f t="shared" si="57"/>
        <v>410.54371428571432</v>
      </c>
      <c r="E238" s="277">
        <f t="shared" si="57"/>
        <v>317.2437142857143</v>
      </c>
      <c r="F238" s="277">
        <f t="shared" si="63"/>
        <v>292.0057142857143</v>
      </c>
      <c r="G238" s="270">
        <f t="shared" si="58"/>
        <v>276.0057142857143</v>
      </c>
      <c r="H238" s="306">
        <f t="shared" si="58"/>
        <v>41.238</v>
      </c>
      <c r="I238" s="310">
        <f t="shared" si="64"/>
        <v>77</v>
      </c>
      <c r="J238" s="270">
        <f t="shared" si="59"/>
        <v>16</v>
      </c>
      <c r="K238" s="375">
        <f t="shared" si="65"/>
        <v>0.12998839107923335</v>
      </c>
      <c r="L238" s="314">
        <f t="shared" si="60"/>
        <v>0.47690914197366402</v>
      </c>
      <c r="M238" s="314">
        <f t="shared" si="61"/>
        <v>0.38995402956750058</v>
      </c>
      <c r="N238" s="314">
        <f t="shared" si="62"/>
        <v>5.8263012100749523E-2</v>
      </c>
      <c r="O238" s="1"/>
      <c r="P238" s="318">
        <f t="shared" si="66"/>
        <v>0.47690914197366402</v>
      </c>
    </row>
    <row r="239" spans="1:16" ht="15" customHeight="1" x14ac:dyDescent="0.2">
      <c r="A239" s="63"/>
      <c r="B239" s="186">
        <v>30</v>
      </c>
      <c r="C239" s="270">
        <f t="shared" si="57"/>
        <v>450.08742857142852</v>
      </c>
      <c r="D239" s="303">
        <f t="shared" si="57"/>
        <v>523.08742857142852</v>
      </c>
      <c r="E239" s="277">
        <f t="shared" si="57"/>
        <v>429.18742857142854</v>
      </c>
      <c r="F239" s="277">
        <f t="shared" si="63"/>
        <v>389.39142857142855</v>
      </c>
      <c r="G239" s="270">
        <f t="shared" si="58"/>
        <v>373.39142857142855</v>
      </c>
      <c r="H239" s="306">
        <f t="shared" si="58"/>
        <v>55.795999999999999</v>
      </c>
      <c r="I239" s="310">
        <f t="shared" si="64"/>
        <v>77</v>
      </c>
      <c r="J239" s="270">
        <f t="shared" si="59"/>
        <v>16</v>
      </c>
      <c r="K239" s="375">
        <f t="shared" si="65"/>
        <v>0.13000380786016899</v>
      </c>
      <c r="L239" s="314">
        <f t="shared" si="60"/>
        <v>0.42394668757173437</v>
      </c>
      <c r="M239" s="314">
        <f t="shared" si="61"/>
        <v>0.3516968058776419</v>
      </c>
      <c r="N239" s="314">
        <f t="shared" si="62"/>
        <v>5.2554165626742658E-2</v>
      </c>
      <c r="O239" s="1"/>
      <c r="P239" s="318">
        <f t="shared" si="66"/>
        <v>0.42394668757173437</v>
      </c>
    </row>
    <row r="240" spans="1:16" ht="15" customHeight="1" x14ac:dyDescent="0.2">
      <c r="A240" s="63"/>
      <c r="B240" s="186">
        <v>40</v>
      </c>
      <c r="C240" s="270">
        <f t="shared" si="57"/>
        <v>551.40271428571418</v>
      </c>
      <c r="D240" s="303">
        <f t="shared" si="57"/>
        <v>624.40271428571418</v>
      </c>
      <c r="E240" s="277">
        <f t="shared" si="57"/>
        <v>530.10271428571423</v>
      </c>
      <c r="F240" s="277">
        <f t="shared" si="63"/>
        <v>477.20571428571418</v>
      </c>
      <c r="G240" s="270">
        <f t="shared" si="58"/>
        <v>461.20571428571418</v>
      </c>
      <c r="H240" s="306">
        <f t="shared" si="58"/>
        <v>68.897000000000006</v>
      </c>
      <c r="I240" s="310">
        <f t="shared" si="64"/>
        <v>78</v>
      </c>
      <c r="J240" s="270">
        <f t="shared" si="59"/>
        <v>16</v>
      </c>
      <c r="K240" s="375">
        <f t="shared" si="65"/>
        <v>0.1299691515310106</v>
      </c>
      <c r="L240" s="314">
        <f t="shared" si="60"/>
        <v>0.38953324298813469</v>
      </c>
      <c r="M240" s="314">
        <f t="shared" si="61"/>
        <v>0.32580670876816759</v>
      </c>
      <c r="N240" s="314">
        <f t="shared" si="62"/>
        <v>4.8670482864170674E-2</v>
      </c>
      <c r="O240" s="1"/>
      <c r="P240" s="318">
        <f t="shared" si="66"/>
        <v>0.38953324298813469</v>
      </c>
    </row>
    <row r="241" spans="1:16" ht="15" customHeight="1" x14ac:dyDescent="0.2">
      <c r="A241" s="63"/>
      <c r="B241" s="186">
        <v>50</v>
      </c>
      <c r="C241" s="271">
        <f t="shared" si="57"/>
        <v>641.57757142857145</v>
      </c>
      <c r="D241" s="302">
        <f t="shared" si="57"/>
        <v>714.57757142857145</v>
      </c>
      <c r="E241" s="276">
        <f t="shared" si="57"/>
        <v>618.97757142857142</v>
      </c>
      <c r="F241" s="276">
        <f t="shared" si="63"/>
        <v>554.49857142857138</v>
      </c>
      <c r="G241" s="271">
        <f t="shared" si="58"/>
        <v>538.49857142857138</v>
      </c>
      <c r="H241" s="307">
        <f t="shared" si="58"/>
        <v>80.478999999999999</v>
      </c>
      <c r="I241" s="311">
        <f t="shared" si="64"/>
        <v>79</v>
      </c>
      <c r="J241" s="271">
        <f t="shared" si="59"/>
        <v>16</v>
      </c>
      <c r="K241" s="376">
        <f t="shared" si="65"/>
        <v>0.13001925063982239</v>
      </c>
      <c r="L241" s="315">
        <f t="shared" si="60"/>
        <v>0.36258913574738344</v>
      </c>
      <c r="M241" s="315">
        <f t="shared" si="61"/>
        <v>0.3043265801773043</v>
      </c>
      <c r="N241" s="315">
        <f t="shared" si="62"/>
        <v>4.5481826964025619E-2</v>
      </c>
      <c r="O241" s="1"/>
      <c r="P241" s="319">
        <f t="shared" si="66"/>
        <v>0.36258913574738344</v>
      </c>
    </row>
    <row r="242" spans="1:16" ht="15" customHeight="1" x14ac:dyDescent="0.2">
      <c r="A242" s="63"/>
      <c r="B242" s="1"/>
      <c r="C242" s="1"/>
      <c r="D242" s="1"/>
      <c r="E242" s="1"/>
      <c r="F242" s="1"/>
      <c r="G242" s="1"/>
      <c r="H242" s="1"/>
      <c r="I242" s="1"/>
      <c r="J242" s="1"/>
      <c r="K242" s="1"/>
      <c r="L242" s="1"/>
      <c r="M242" s="1"/>
      <c r="N242" s="1"/>
      <c r="O242" s="1"/>
      <c r="P242" s="39"/>
    </row>
    <row r="243" spans="1:16" ht="15" customHeight="1" x14ac:dyDescent="0.2">
      <c r="A243" s="63"/>
      <c r="B243" s="1"/>
      <c r="C243" s="1"/>
      <c r="D243" s="1"/>
      <c r="E243" s="1"/>
      <c r="F243" s="1"/>
      <c r="G243" s="1"/>
      <c r="H243" s="1"/>
      <c r="I243" s="1"/>
      <c r="J243" s="1"/>
      <c r="K243" s="1"/>
      <c r="L243" s="357" t="s">
        <v>210</v>
      </c>
      <c r="M243" s="360" t="s">
        <v>401</v>
      </c>
      <c r="N243" s="1"/>
      <c r="O243" s="1"/>
      <c r="P243" s="39"/>
    </row>
    <row r="244" spans="1:16" ht="15" customHeight="1" x14ac:dyDescent="0.2">
      <c r="A244" s="63"/>
      <c r="B244" s="1"/>
      <c r="C244" s="1"/>
      <c r="D244" s="1"/>
      <c r="E244" s="1"/>
      <c r="F244" s="1"/>
      <c r="G244" s="1"/>
      <c r="H244" s="1"/>
      <c r="I244" s="1"/>
      <c r="J244" s="1"/>
      <c r="K244" s="1"/>
      <c r="L244" s="1" t="s">
        <v>400</v>
      </c>
      <c r="M244" s="1"/>
      <c r="N244" s="1"/>
      <c r="O244" s="1"/>
      <c r="P244" s="39"/>
    </row>
    <row r="245" spans="1:16" ht="15" customHeight="1" x14ac:dyDescent="0.2">
      <c r="A245" s="63"/>
      <c r="B245" s="1"/>
      <c r="C245" s="1"/>
      <c r="D245" s="1"/>
      <c r="E245" s="1"/>
      <c r="F245" s="1"/>
      <c r="G245" s="1"/>
      <c r="H245" s="1"/>
      <c r="I245" s="1"/>
      <c r="J245" s="1"/>
      <c r="K245" s="1"/>
      <c r="L245" s="1"/>
      <c r="M245" s="359"/>
      <c r="N245" s="1"/>
      <c r="O245" s="1"/>
      <c r="P245" s="39"/>
    </row>
    <row r="246" spans="1:16" ht="15" customHeight="1" x14ac:dyDescent="0.2">
      <c r="A246" s="64"/>
      <c r="B246" s="42"/>
      <c r="C246" s="42"/>
      <c r="D246" s="42"/>
      <c r="E246" s="42"/>
      <c r="F246" s="42"/>
      <c r="G246" s="42"/>
      <c r="H246" s="42"/>
      <c r="I246" s="42"/>
      <c r="J246" s="42"/>
      <c r="K246" s="42"/>
      <c r="L246" s="42"/>
      <c r="M246" s="42"/>
      <c r="N246" s="42"/>
      <c r="O246" s="42"/>
      <c r="P246" s="31"/>
    </row>
    <row r="247" spans="1:16" ht="15" customHeight="1" x14ac:dyDescent="0.2"/>
    <row r="248" spans="1:16" ht="15" customHeight="1" x14ac:dyDescent="0.2"/>
    <row r="249" spans="1:16" ht="15" customHeight="1" x14ac:dyDescent="0.2"/>
    <row r="250" spans="1:16" ht="15" customHeight="1" x14ac:dyDescent="0.2"/>
    <row r="251" spans="1:16" ht="15" customHeight="1" x14ac:dyDescent="0.2"/>
    <row r="252" spans="1:16" ht="15" customHeight="1" x14ac:dyDescent="0.2"/>
    <row r="253" spans="1:16" ht="15" customHeight="1" x14ac:dyDescent="0.2"/>
    <row r="254" spans="1:16" ht="15" customHeight="1" x14ac:dyDescent="0.2"/>
    <row r="255" spans="1:16" ht="15" customHeight="1" x14ac:dyDescent="0.2"/>
    <row r="256" spans="1:16" ht="15" customHeight="1" x14ac:dyDescent="0.2"/>
    <row r="257" spans="1:21" ht="15" customHeight="1" x14ac:dyDescent="0.2"/>
    <row r="258" spans="1:21" ht="15" customHeight="1" x14ac:dyDescent="0.2"/>
    <row r="259" spans="1:21" ht="15" customHeight="1" x14ac:dyDescent="0.2"/>
    <row r="260" spans="1:21" ht="15" customHeight="1" x14ac:dyDescent="0.2"/>
    <row r="261" spans="1:21" ht="15" customHeight="1" x14ac:dyDescent="0.2"/>
    <row r="262" spans="1:21" ht="15" customHeight="1" x14ac:dyDescent="0.2"/>
    <row r="263" spans="1:21" ht="15" customHeight="1" x14ac:dyDescent="0.2"/>
    <row r="264" spans="1:21" ht="15" customHeight="1" x14ac:dyDescent="0.2"/>
    <row r="265" spans="1:21" ht="15" customHeight="1" x14ac:dyDescent="0.2"/>
    <row r="266" spans="1:21" ht="15" customHeight="1" x14ac:dyDescent="0.2">
      <c r="A266" s="42"/>
      <c r="B266" s="42"/>
      <c r="C266" s="42"/>
      <c r="D266" s="42"/>
      <c r="E266" s="42"/>
      <c r="F266" s="42"/>
      <c r="G266" s="42"/>
      <c r="H266" s="42"/>
      <c r="I266" s="42"/>
      <c r="J266" s="42"/>
      <c r="K266" s="42"/>
      <c r="L266" s="42"/>
      <c r="M266" s="42"/>
      <c r="N266" s="42"/>
      <c r="O266" s="42"/>
      <c r="P266" s="42"/>
      <c r="Q266" s="42"/>
      <c r="R266" s="42"/>
      <c r="S266" s="42"/>
      <c r="T266" s="42"/>
      <c r="U266" s="42"/>
    </row>
    <row r="267" spans="1:21" ht="15" customHeight="1" x14ac:dyDescent="0.2"/>
    <row r="268" spans="1:21" ht="15" customHeight="1" x14ac:dyDescent="0.2"/>
    <row r="269" spans="1:21" ht="15" customHeight="1" x14ac:dyDescent="0.2"/>
    <row r="270" spans="1:21" ht="15" customHeight="1" x14ac:dyDescent="0.2"/>
    <row r="271" spans="1:21" ht="15" customHeight="1" x14ac:dyDescent="0.2"/>
    <row r="272" spans="1:21"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sheetData>
  <pageMargins left="0.45" right="0.45" top="0.5" bottom="0.5" header="0.3" footer="0.3"/>
  <pageSetup scale="77"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rzeta_bkwd_fk</vt:lpstr>
      <vt:lpstr>czeta_bkwd_fk_kmod</vt:lpstr>
      <vt:lpstr>rzeta_bkwd_sh</vt:lpstr>
      <vt:lpstr>rzeta_bkwd_sh_kmod_orig</vt:lpstr>
      <vt:lpstr>rzeta_bkwd_sh_kmod_new</vt:lpstr>
      <vt:lpstr>czeta_bkwd_3075s_actual_v1</vt:lpstr>
      <vt:lpstr>czeta_bkwd_3075s_trend_v2</vt:lpstr>
      <vt:lpstr>czeta_bkwd_3075s_trend_v3</vt:lpstr>
      <vt:lpstr>czeta_bkwd_3171s_trend_v5</vt:lpstr>
      <vt:lpstr>czeta_bkwd_3304s_trend_v6</vt:lpstr>
      <vt:lpstr>czeta_bkwd_3304s_createcurve_01</vt:lpstr>
      <vt:lpstr>czeta_bkwd_3075s_trend_v5</vt:lpstr>
      <vt:lpstr>czeta_bkwd_3075s_actual_v1!Print_Area</vt:lpstr>
      <vt:lpstr>czeta_bkwd_3075s_trend_v2!Print_Area</vt:lpstr>
      <vt:lpstr>czeta_bkwd_3075s_trend_v3!Print_Area</vt:lpstr>
      <vt:lpstr>czeta_bkwd_3075s_trend_v5!Print_Area</vt:lpstr>
      <vt:lpstr>czeta_bkwd_3171s_trend_v5!Print_Area</vt:lpstr>
      <vt:lpstr>czeta_bkwd_3304s_createcurve_01!Print_Area</vt:lpstr>
      <vt:lpstr>czeta_bkwd_3304s_trend_v6!Print_Area</vt:lpstr>
      <vt:lpstr>czeta_bkwd_fk_kmod!Print_Area</vt:lpstr>
      <vt:lpstr>rzeta_bkwd_sh_kmod_new!Print_Area</vt:lpstr>
      <vt:lpstr>rzeta_bkwd_sh_kmod_orig!Print_Area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Stillwell</dc:creator>
  <cp:lastModifiedBy>Kevin Stillwell</cp:lastModifiedBy>
  <cp:lastPrinted>2018-09-08T06:26:31Z</cp:lastPrinted>
  <dcterms:created xsi:type="dcterms:W3CDTF">2017-08-18T22:36:59Z</dcterms:created>
  <dcterms:modified xsi:type="dcterms:W3CDTF">2018-09-10T16:52:36Z</dcterms:modified>
</cp:coreProperties>
</file>