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14235" windowHeight="8700" activeTab="4"/>
  </bookViews>
  <sheets>
    <sheet name="copied_data" sheetId="2" r:id="rId1"/>
    <sheet name="sort_2ips" sheetId="6" r:id="rId2"/>
    <sheet name="sort_5ips" sheetId="7" r:id="rId3"/>
    <sheet name="sort_10ips_pre_final_results" sheetId="9" r:id="rId4"/>
    <sheet name="final_results" sheetId="10" r:id="rId5"/>
    <sheet name="sort_40.10" sheetId="8" r:id="rId6"/>
    <sheet name="Sheet3" sheetId="3" r:id="rId7"/>
  </sheets>
  <definedNames>
    <definedName name="_xlnm.Print_Area" localSheetId="4">final_results!$AA$7:$AE$57</definedName>
    <definedName name="_xlnm.Print_Area" localSheetId="3">sort_10ips_pre_final_results!$AI$206:$AM$256</definedName>
  </definedNames>
  <calcPr calcId="145621"/>
</workbook>
</file>

<file path=xl/calcChain.xml><?xml version="1.0" encoding="utf-8"?>
<calcChain xmlns="http://schemas.openxmlformats.org/spreadsheetml/2006/main">
  <c r="N12" i="10" l="1"/>
  <c r="B19" i="10"/>
  <c r="A12" i="10"/>
  <c r="D19" i="10"/>
  <c r="E19" i="10"/>
  <c r="F19" i="10"/>
  <c r="G19" i="10"/>
  <c r="H19" i="10"/>
  <c r="I19" i="10"/>
  <c r="J19" i="10"/>
  <c r="K19" i="10"/>
  <c r="C19" i="10"/>
  <c r="AC17" i="10" l="1"/>
  <c r="AC55" i="10"/>
  <c r="AD55" i="10" s="1"/>
  <c r="AC54" i="10"/>
  <c r="U54" i="10"/>
  <c r="S54" i="10"/>
  <c r="AC53" i="10"/>
  <c r="AD53" i="10" s="1"/>
  <c r="U53" i="10"/>
  <c r="V53" i="10" s="1"/>
  <c r="AC52" i="10"/>
  <c r="AD52" i="10" s="1"/>
  <c r="U52" i="10"/>
  <c r="V52" i="10" s="1"/>
  <c r="AC51" i="10"/>
  <c r="AD51" i="10" s="1"/>
  <c r="U51" i="10"/>
  <c r="V51" i="10" s="1"/>
  <c r="S51" i="10"/>
  <c r="Y50" i="10"/>
  <c r="Z50" i="10" s="1"/>
  <c r="U50" i="10"/>
  <c r="V50" i="10" s="1"/>
  <c r="S50" i="10"/>
  <c r="Y49" i="10"/>
  <c r="AC49" i="10" s="1"/>
  <c r="U49" i="10"/>
  <c r="V49" i="10" s="1"/>
  <c r="Y48" i="10"/>
  <c r="AC48" i="10" s="1"/>
  <c r="U48" i="10"/>
  <c r="V48" i="10" s="1"/>
  <c r="Y47" i="10"/>
  <c r="Z47" i="10" s="1"/>
  <c r="U47" i="10"/>
  <c r="V47" i="10" s="1"/>
  <c r="S47" i="10"/>
  <c r="M47" i="10"/>
  <c r="L47" i="10"/>
  <c r="K47" i="10"/>
  <c r="J47" i="10"/>
  <c r="I47" i="10"/>
  <c r="H47" i="10"/>
  <c r="G47" i="10"/>
  <c r="F47" i="10"/>
  <c r="Y46" i="10"/>
  <c r="Z46" i="10" s="1"/>
  <c r="U46" i="10"/>
  <c r="V46" i="10" s="1"/>
  <c r="AC38" i="10"/>
  <c r="AD38" i="10" s="1"/>
  <c r="AC37" i="10"/>
  <c r="U37" i="10"/>
  <c r="S37" i="10"/>
  <c r="AC36" i="10"/>
  <c r="AD36" i="10" s="1"/>
  <c r="U36" i="10"/>
  <c r="V36" i="10" s="1"/>
  <c r="AC35" i="10"/>
  <c r="AD35" i="10" s="1"/>
  <c r="U35" i="10"/>
  <c r="V35" i="10" s="1"/>
  <c r="AC34" i="10"/>
  <c r="AD34" i="10" s="1"/>
  <c r="U34" i="10"/>
  <c r="V34" i="10" s="1"/>
  <c r="S34" i="10"/>
  <c r="Y33" i="10"/>
  <c r="AC33" i="10" s="1"/>
  <c r="U33" i="10"/>
  <c r="V33" i="10" s="1"/>
  <c r="S33" i="10"/>
  <c r="Y32" i="10"/>
  <c r="U32" i="10"/>
  <c r="V32" i="10" s="1"/>
  <c r="Y31" i="10"/>
  <c r="U31" i="10"/>
  <c r="V31" i="10" s="1"/>
  <c r="Y30" i="10"/>
  <c r="Z30" i="10" s="1"/>
  <c r="U30" i="10"/>
  <c r="V30" i="10" s="1"/>
  <c r="S30" i="10"/>
  <c r="M30" i="10"/>
  <c r="L30" i="10"/>
  <c r="K30" i="10"/>
  <c r="J30" i="10"/>
  <c r="I30" i="10"/>
  <c r="H30" i="10"/>
  <c r="G30" i="10"/>
  <c r="F30" i="10"/>
  <c r="Y29" i="10"/>
  <c r="Z29" i="10" s="1"/>
  <c r="U29" i="10"/>
  <c r="V29" i="10" s="1"/>
  <c r="AC21" i="10"/>
  <c r="AD21" i="10" s="1"/>
  <c r="U21" i="10"/>
  <c r="V21" i="10" s="1"/>
  <c r="AC20" i="10"/>
  <c r="AD20" i="10" s="1"/>
  <c r="U20" i="10"/>
  <c r="S20" i="10"/>
  <c r="AC19" i="10"/>
  <c r="AD19" i="10" s="1"/>
  <c r="U19" i="10"/>
  <c r="V19" i="10" s="1"/>
  <c r="AC18" i="10"/>
  <c r="AD18" i="10" s="1"/>
  <c r="U18" i="10"/>
  <c r="V18" i="10" s="1"/>
  <c r="AD17" i="10"/>
  <c r="U17" i="10"/>
  <c r="V17" i="10" s="1"/>
  <c r="S17" i="10"/>
  <c r="Y16" i="10"/>
  <c r="Z16" i="10" s="1"/>
  <c r="U16" i="10"/>
  <c r="V16" i="10" s="1"/>
  <c r="S16" i="10"/>
  <c r="Y15" i="10"/>
  <c r="AC15" i="10" s="1"/>
  <c r="U15" i="10"/>
  <c r="V15" i="10" s="1"/>
  <c r="Y14" i="10"/>
  <c r="Z14" i="10" s="1"/>
  <c r="U14" i="10"/>
  <c r="V14" i="10" s="1"/>
  <c r="Y13" i="10"/>
  <c r="Z13" i="10" s="1"/>
  <c r="U13" i="10"/>
  <c r="V13" i="10" s="1"/>
  <c r="S13" i="10"/>
  <c r="L13" i="10"/>
  <c r="K13" i="10"/>
  <c r="J13" i="10"/>
  <c r="I13" i="10"/>
  <c r="H13" i="10"/>
  <c r="G13" i="10"/>
  <c r="F13" i="10"/>
  <c r="Y12" i="10"/>
  <c r="Z12" i="10" s="1"/>
  <c r="U12" i="10"/>
  <c r="V12" i="10" s="1"/>
  <c r="I246" i="9"/>
  <c r="I229" i="9"/>
  <c r="I212" i="9"/>
  <c r="J173" i="9"/>
  <c r="AK237" i="9"/>
  <c r="AL220" i="9"/>
  <c r="AK220" i="9"/>
  <c r="AL237" i="9"/>
  <c r="AK254" i="9"/>
  <c r="AL254" i="9" s="1"/>
  <c r="AC220" i="9"/>
  <c r="AD220" i="9"/>
  <c r="AK248" i="9"/>
  <c r="AK245" i="9"/>
  <c r="AK229" i="9"/>
  <c r="AK228" i="9"/>
  <c r="AK215" i="9"/>
  <c r="AK217" i="9"/>
  <c r="AL217" i="9" s="1"/>
  <c r="AK218" i="9"/>
  <c r="AL218" i="9" s="1"/>
  <c r="AK219" i="9"/>
  <c r="AK216" i="9"/>
  <c r="AK234" i="9"/>
  <c r="AK235" i="9"/>
  <c r="AL235" i="9" s="1"/>
  <c r="AK236" i="9"/>
  <c r="AL236" i="9"/>
  <c r="AK233" i="9"/>
  <c r="AK238" i="9" s="1"/>
  <c r="AK251" i="9"/>
  <c r="AL251" i="9" s="1"/>
  <c r="AK252" i="9"/>
  <c r="AK253" i="9"/>
  <c r="AL253" i="9"/>
  <c r="AK250" i="9"/>
  <c r="AL252" i="9"/>
  <c r="AL234" i="9"/>
  <c r="AK221" i="9"/>
  <c r="AL216" i="9"/>
  <c r="AL219" i="9"/>
  <c r="AG211" i="9"/>
  <c r="AH229" i="9"/>
  <c r="AG246" i="9"/>
  <c r="AG247" i="9"/>
  <c r="AK247" i="9" s="1"/>
  <c r="AG248" i="9"/>
  <c r="AG249" i="9"/>
  <c r="AK249" i="9" s="1"/>
  <c r="AH249" i="9"/>
  <c r="AG245" i="9"/>
  <c r="AH245" i="9"/>
  <c r="AH248" i="9"/>
  <c r="AH247" i="9"/>
  <c r="AG229" i="9"/>
  <c r="AG230" i="9"/>
  <c r="AK230" i="9" s="1"/>
  <c r="AG231" i="9"/>
  <c r="AK231" i="9" s="1"/>
  <c r="AG232" i="9"/>
  <c r="AH232" i="9" s="1"/>
  <c r="AG228" i="9"/>
  <c r="AH228" i="9" s="1"/>
  <c r="AH231" i="9"/>
  <c r="AH230" i="9"/>
  <c r="AG212" i="9"/>
  <c r="AK212" i="9" s="1"/>
  <c r="AG213" i="9"/>
  <c r="AK213" i="9" s="1"/>
  <c r="AG214" i="9"/>
  <c r="AG215" i="9"/>
  <c r="AH215" i="9"/>
  <c r="AA253" i="9"/>
  <c r="AA250" i="9"/>
  <c r="AA249" i="9"/>
  <c r="AA246" i="9"/>
  <c r="AA236" i="9"/>
  <c r="AA233" i="9"/>
  <c r="AA232" i="9"/>
  <c r="AA229" i="9"/>
  <c r="AA219" i="9"/>
  <c r="AA216" i="9"/>
  <c r="AA215" i="9"/>
  <c r="AA212" i="9"/>
  <c r="AH213" i="9"/>
  <c r="AD246" i="9"/>
  <c r="AD247" i="9"/>
  <c r="AD248" i="9"/>
  <c r="AD250" i="9"/>
  <c r="AD251" i="9"/>
  <c r="AD252" i="9"/>
  <c r="AD213" i="9"/>
  <c r="AD217" i="9"/>
  <c r="AC253" i="9"/>
  <c r="AC246" i="9"/>
  <c r="AC247" i="9"/>
  <c r="AC248" i="9"/>
  <c r="AC249" i="9"/>
  <c r="AD249" i="9" s="1"/>
  <c r="AC250" i="9"/>
  <c r="AC251" i="9"/>
  <c r="AC252" i="9"/>
  <c r="AC245" i="9"/>
  <c r="AD245" i="9" s="1"/>
  <c r="AC229" i="9"/>
  <c r="AD229" i="9"/>
  <c r="AC230" i="9"/>
  <c r="AD230" i="9" s="1"/>
  <c r="AC231" i="9"/>
  <c r="AD231" i="9" s="1"/>
  <c r="AC232" i="9"/>
  <c r="AC233" i="9"/>
  <c r="AD233" i="9"/>
  <c r="AC234" i="9"/>
  <c r="AD234" i="9" s="1"/>
  <c r="AC235" i="9"/>
  <c r="AC236" i="9"/>
  <c r="AC238" i="9"/>
  <c r="AC228" i="9"/>
  <c r="AD228" i="9" s="1"/>
  <c r="AD232" i="9"/>
  <c r="AD235" i="9"/>
  <c r="AD236" i="9"/>
  <c r="AC212" i="9"/>
  <c r="AD212" i="9" s="1"/>
  <c r="AC213" i="9"/>
  <c r="AC214" i="9"/>
  <c r="AD214" i="9" s="1"/>
  <c r="AC215" i="9"/>
  <c r="AD215" i="9" s="1"/>
  <c r="AC216" i="9"/>
  <c r="AD216" i="9" s="1"/>
  <c r="AC217" i="9"/>
  <c r="AC218" i="9"/>
  <c r="AD218" i="9" s="1"/>
  <c r="AC219" i="9"/>
  <c r="AD219" i="9" s="1"/>
  <c r="AC211" i="9"/>
  <c r="AD211" i="9" s="1"/>
  <c r="R246" i="9"/>
  <c r="Q246" i="9"/>
  <c r="P246" i="9"/>
  <c r="O246" i="9"/>
  <c r="N246" i="9"/>
  <c r="M246" i="9"/>
  <c r="L246" i="9"/>
  <c r="K246" i="9"/>
  <c r="J246" i="9"/>
  <c r="R229" i="9"/>
  <c r="Q229" i="9"/>
  <c r="P229" i="9"/>
  <c r="O229" i="9"/>
  <c r="N229" i="9"/>
  <c r="M229" i="9"/>
  <c r="L229" i="9"/>
  <c r="K229" i="9"/>
  <c r="J229" i="9"/>
  <c r="K212" i="9"/>
  <c r="L212" i="9"/>
  <c r="M212" i="9"/>
  <c r="N212" i="9"/>
  <c r="O212" i="9"/>
  <c r="P212" i="9"/>
  <c r="Q212" i="9"/>
  <c r="R212" i="9"/>
  <c r="J212" i="9"/>
  <c r="K170" i="9"/>
  <c r="L170" i="9"/>
  <c r="M170" i="9"/>
  <c r="N170" i="9"/>
  <c r="O170" i="9"/>
  <c r="P170" i="9"/>
  <c r="Q170" i="9"/>
  <c r="R170" i="9"/>
  <c r="K171" i="9"/>
  <c r="L171" i="9"/>
  <c r="M171" i="9"/>
  <c r="N171" i="9"/>
  <c r="O171" i="9"/>
  <c r="P171" i="9"/>
  <c r="Q171" i="9"/>
  <c r="R171" i="9"/>
  <c r="K172" i="9"/>
  <c r="L172" i="9"/>
  <c r="M172" i="9"/>
  <c r="N172" i="9"/>
  <c r="O172" i="9"/>
  <c r="P172" i="9"/>
  <c r="Q172" i="9"/>
  <c r="R172" i="9"/>
  <c r="K173" i="9"/>
  <c r="L173" i="9"/>
  <c r="M173" i="9"/>
  <c r="N173" i="9"/>
  <c r="O173" i="9"/>
  <c r="P173" i="9"/>
  <c r="Q173" i="9"/>
  <c r="R173" i="9"/>
  <c r="J171" i="9"/>
  <c r="J172" i="9"/>
  <c r="J170" i="9"/>
  <c r="F176" i="9"/>
  <c r="F167" i="9"/>
  <c r="F158" i="9"/>
  <c r="F173" i="9"/>
  <c r="F172" i="9"/>
  <c r="F164" i="9"/>
  <c r="F165" i="9"/>
  <c r="F163" i="9"/>
  <c r="F156" i="9"/>
  <c r="F155" i="9"/>
  <c r="M117" i="9"/>
  <c r="N49" i="9"/>
  <c r="M46" i="9"/>
  <c r="M47" i="9"/>
  <c r="M57" i="9" s="1"/>
  <c r="L135" i="9"/>
  <c r="L136" i="9"/>
  <c r="M144" i="9"/>
  <c r="L133" i="9"/>
  <c r="J128" i="9"/>
  <c r="J127" i="9"/>
  <c r="J124" i="9"/>
  <c r="K128" i="9"/>
  <c r="O128" i="9"/>
  <c r="K127" i="9"/>
  <c r="O127" i="9"/>
  <c r="M128" i="9"/>
  <c r="N128" i="9"/>
  <c r="M127" i="9"/>
  <c r="O126" i="9"/>
  <c r="J101" i="9"/>
  <c r="J97" i="9"/>
  <c r="J102" i="9" s="1"/>
  <c r="J100" i="9"/>
  <c r="J98" i="9"/>
  <c r="K101" i="9"/>
  <c r="O101" i="9"/>
  <c r="K100" i="9"/>
  <c r="K97" i="9"/>
  <c r="M101" i="9"/>
  <c r="N101" i="9"/>
  <c r="M100" i="9"/>
  <c r="N100" i="9" s="1"/>
  <c r="M97" i="9"/>
  <c r="O99" i="9"/>
  <c r="N99" i="9"/>
  <c r="J75" i="9"/>
  <c r="J74" i="9"/>
  <c r="J72" i="9" s="1"/>
  <c r="K75" i="9"/>
  <c r="K74" i="9"/>
  <c r="M75" i="9"/>
  <c r="M71" i="9" s="1"/>
  <c r="M74" i="9"/>
  <c r="N74" i="9"/>
  <c r="O73" i="9"/>
  <c r="N73" i="9"/>
  <c r="J50" i="9"/>
  <c r="J46" i="9" s="1"/>
  <c r="P50" i="9"/>
  <c r="J49" i="9"/>
  <c r="J47" i="9"/>
  <c r="K50" i="9"/>
  <c r="K49" i="9"/>
  <c r="K46" i="9" s="1"/>
  <c r="O49" i="9"/>
  <c r="N126" i="9"/>
  <c r="N127" i="9"/>
  <c r="L57" i="9"/>
  <c r="L58" i="9"/>
  <c r="M58" i="9" s="1"/>
  <c r="O67" i="9" s="1"/>
  <c r="L55" i="9"/>
  <c r="L66" i="9"/>
  <c r="L108" i="9"/>
  <c r="L109" i="9"/>
  <c r="N117" i="9"/>
  <c r="L106" i="9"/>
  <c r="L105" i="9" s="1"/>
  <c r="L104" i="9" s="1"/>
  <c r="L117" i="9"/>
  <c r="L82" i="9"/>
  <c r="N91" i="9" s="1"/>
  <c r="L83" i="9"/>
  <c r="L84" i="9" s="1"/>
  <c r="L80" i="9"/>
  <c r="L79" i="9"/>
  <c r="M91" i="9"/>
  <c r="O48" i="9"/>
  <c r="M66" i="9"/>
  <c r="N50" i="9"/>
  <c r="O50" i="9"/>
  <c r="M43" i="9"/>
  <c r="N43" i="9"/>
  <c r="L43" i="9"/>
  <c r="M41" i="9"/>
  <c r="M42" i="9" s="1"/>
  <c r="N42" i="9" s="1"/>
  <c r="L41" i="9"/>
  <c r="L42" i="9" s="1"/>
  <c r="M39" i="9"/>
  <c r="L39" i="9"/>
  <c r="M37" i="9"/>
  <c r="L37" i="9"/>
  <c r="M33" i="9"/>
  <c r="N33" i="9"/>
  <c r="L33" i="9"/>
  <c r="M26" i="9"/>
  <c r="N26" i="9" s="1"/>
  <c r="L26" i="9"/>
  <c r="M14" i="9"/>
  <c r="L14" i="9"/>
  <c r="M7" i="9"/>
  <c r="L7" i="9"/>
  <c r="M5" i="9"/>
  <c r="M6" i="9" s="1"/>
  <c r="L5" i="9"/>
  <c r="L6" i="9" s="1"/>
  <c r="K41" i="9"/>
  <c r="K43" i="9"/>
  <c r="K42" i="9"/>
  <c r="J41" i="9"/>
  <c r="J43" i="9"/>
  <c r="J5" i="9"/>
  <c r="J6" i="9"/>
  <c r="J7" i="9"/>
  <c r="K5" i="9"/>
  <c r="K7" i="9"/>
  <c r="K6" i="9"/>
  <c r="K43" i="8"/>
  <c r="L43" i="8"/>
  <c r="M43" i="8"/>
  <c r="J43" i="8"/>
  <c r="K42" i="8"/>
  <c r="L42" i="8"/>
  <c r="M42" i="8"/>
  <c r="J42" i="8"/>
  <c r="K37" i="8"/>
  <c r="L37" i="8"/>
  <c r="M37" i="8"/>
  <c r="J37" i="8"/>
  <c r="M30" i="8"/>
  <c r="L30" i="8"/>
  <c r="K30" i="8"/>
  <c r="J30" i="8"/>
  <c r="K26" i="8"/>
  <c r="L26" i="8"/>
  <c r="M26" i="8"/>
  <c r="J26" i="8"/>
  <c r="K16" i="8"/>
  <c r="L16" i="8"/>
  <c r="M16" i="8"/>
  <c r="J16" i="8"/>
  <c r="M13" i="8"/>
  <c r="L13" i="8"/>
  <c r="K13" i="8"/>
  <c r="J13" i="8"/>
  <c r="K9" i="8"/>
  <c r="L9" i="8"/>
  <c r="M9" i="8"/>
  <c r="J9" i="8"/>
  <c r="J5" i="8"/>
  <c r="M5" i="8"/>
  <c r="L5" i="8"/>
  <c r="K5" i="8"/>
  <c r="S4" i="8"/>
  <c r="S5" i="8"/>
  <c r="S6" i="8"/>
  <c r="S7" i="8"/>
  <c r="S8" i="8"/>
  <c r="S9" i="8"/>
  <c r="S10" i="8"/>
  <c r="S11" i="8"/>
  <c r="S12" i="8"/>
  <c r="S13" i="8"/>
  <c r="S14" i="8"/>
  <c r="K39" i="9"/>
  <c r="J39" i="9"/>
  <c r="J37" i="9"/>
  <c r="K37" i="9"/>
  <c r="K33" i="9"/>
  <c r="J33" i="9"/>
  <c r="K26" i="9"/>
  <c r="J26" i="9"/>
  <c r="K22" i="9"/>
  <c r="L22" i="9"/>
  <c r="M22" i="9"/>
  <c r="J22" i="9"/>
  <c r="K14" i="9"/>
  <c r="J14" i="9"/>
  <c r="S4" i="9"/>
  <c r="P4" i="9"/>
  <c r="Q4" i="9"/>
  <c r="M43" i="7"/>
  <c r="L43" i="7"/>
  <c r="K43" i="7"/>
  <c r="J43" i="7"/>
  <c r="M41" i="7"/>
  <c r="L41" i="7"/>
  <c r="K41" i="7"/>
  <c r="J41" i="7"/>
  <c r="M39" i="7"/>
  <c r="L39" i="7"/>
  <c r="K39" i="7"/>
  <c r="J39" i="7"/>
  <c r="M37" i="7"/>
  <c r="L37" i="7"/>
  <c r="K37" i="7"/>
  <c r="J37" i="7"/>
  <c r="J20" i="7"/>
  <c r="J27" i="7"/>
  <c r="K35" i="7"/>
  <c r="L35" i="7"/>
  <c r="M35" i="7"/>
  <c r="J35" i="7"/>
  <c r="M27" i="7"/>
  <c r="L27" i="7"/>
  <c r="K27" i="7"/>
  <c r="K20" i="7"/>
  <c r="L20" i="7"/>
  <c r="M20" i="7"/>
  <c r="K13" i="7"/>
  <c r="L13" i="7"/>
  <c r="M13" i="7"/>
  <c r="J13" i="7"/>
  <c r="M7" i="7"/>
  <c r="L7" i="7"/>
  <c r="K7" i="7"/>
  <c r="J7" i="7"/>
  <c r="J5" i="7"/>
  <c r="K5" i="7"/>
  <c r="L5" i="7"/>
  <c r="M5" i="7"/>
  <c r="S4" i="7"/>
  <c r="B43" i="7"/>
  <c r="A43" i="7"/>
  <c r="B42" i="7"/>
  <c r="A42" i="7"/>
  <c r="B41" i="7"/>
  <c r="A41" i="7"/>
  <c r="B40" i="7"/>
  <c r="A40" i="7"/>
  <c r="B39" i="7"/>
  <c r="A39" i="7"/>
  <c r="B38" i="7"/>
  <c r="A38" i="7"/>
  <c r="B37" i="7"/>
  <c r="A37" i="7"/>
  <c r="B36" i="7"/>
  <c r="A36" i="7"/>
  <c r="B35" i="7"/>
  <c r="A35" i="7"/>
  <c r="B34" i="7"/>
  <c r="A34" i="7"/>
  <c r="B33" i="7"/>
  <c r="A33" i="7"/>
  <c r="B32" i="7"/>
  <c r="A32" i="7"/>
  <c r="B31" i="7"/>
  <c r="A31" i="7"/>
  <c r="B30" i="7"/>
  <c r="A30" i="7"/>
  <c r="B29" i="7"/>
  <c r="A29" i="7"/>
  <c r="B28" i="7"/>
  <c r="A28" i="7"/>
  <c r="B27" i="7"/>
  <c r="A27" i="7"/>
  <c r="B26" i="7"/>
  <c r="A26" i="7"/>
  <c r="B25" i="7"/>
  <c r="A25" i="7"/>
  <c r="B24" i="7"/>
  <c r="A24" i="7"/>
  <c r="B23" i="7"/>
  <c r="A23" i="7"/>
  <c r="B22" i="7"/>
  <c r="A22" i="7"/>
  <c r="B21" i="7"/>
  <c r="A21" i="7"/>
  <c r="B20" i="7"/>
  <c r="A20" i="7"/>
  <c r="B19" i="7"/>
  <c r="A19" i="7"/>
  <c r="B18" i="7"/>
  <c r="A18" i="7"/>
  <c r="B17" i="7"/>
  <c r="A17" i="7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A4" i="9"/>
  <c r="B4" i="9"/>
  <c r="A5" i="9"/>
  <c r="B5" i="9"/>
  <c r="A6" i="9"/>
  <c r="B6" i="9"/>
  <c r="A7" i="9"/>
  <c r="B7" i="9"/>
  <c r="A8" i="9"/>
  <c r="B8" i="9"/>
  <c r="A9" i="9"/>
  <c r="B9" i="9"/>
  <c r="A10" i="9"/>
  <c r="B10" i="9"/>
  <c r="A11" i="9"/>
  <c r="B11" i="9"/>
  <c r="A12" i="9"/>
  <c r="B12" i="9"/>
  <c r="A13" i="9"/>
  <c r="B13" i="9"/>
  <c r="A14" i="9"/>
  <c r="B14" i="9"/>
  <c r="A15" i="9"/>
  <c r="B15" i="9"/>
  <c r="A16" i="9"/>
  <c r="B16" i="9"/>
  <c r="A17" i="9"/>
  <c r="B17" i="9"/>
  <c r="A18" i="9"/>
  <c r="B18" i="9"/>
  <c r="A19" i="9"/>
  <c r="B19" i="9"/>
  <c r="A20" i="9"/>
  <c r="B20" i="9"/>
  <c r="A21" i="9"/>
  <c r="B21" i="9"/>
  <c r="A22" i="9"/>
  <c r="B22" i="9"/>
  <c r="A23" i="9"/>
  <c r="B23" i="9"/>
  <c r="A24" i="9"/>
  <c r="B24" i="9"/>
  <c r="A25" i="9"/>
  <c r="B25" i="9"/>
  <c r="A26" i="9"/>
  <c r="B26" i="9"/>
  <c r="A27" i="9"/>
  <c r="B27" i="9"/>
  <c r="A28" i="9"/>
  <c r="B28" i="9"/>
  <c r="A29" i="9"/>
  <c r="B29" i="9"/>
  <c r="A30" i="9"/>
  <c r="B30" i="9"/>
  <c r="A31" i="9"/>
  <c r="B31" i="9"/>
  <c r="A32" i="9"/>
  <c r="B32" i="9"/>
  <c r="A33" i="9"/>
  <c r="B33" i="9"/>
  <c r="A34" i="9"/>
  <c r="B34" i="9"/>
  <c r="A35" i="9"/>
  <c r="B35" i="9"/>
  <c r="A36" i="9"/>
  <c r="B36" i="9"/>
  <c r="A37" i="9"/>
  <c r="B37" i="9"/>
  <c r="A38" i="9"/>
  <c r="B38" i="9"/>
  <c r="A39" i="9"/>
  <c r="B39" i="9"/>
  <c r="A40" i="9"/>
  <c r="B40" i="9"/>
  <c r="A41" i="9"/>
  <c r="B41" i="9"/>
  <c r="A42" i="9"/>
  <c r="B42" i="9"/>
  <c r="A43" i="9"/>
  <c r="B43" i="9"/>
  <c r="B3" i="9"/>
  <c r="A3" i="9"/>
  <c r="K43" i="6"/>
  <c r="L43" i="6"/>
  <c r="M43" i="6"/>
  <c r="J43" i="6"/>
  <c r="K42" i="6"/>
  <c r="L42" i="6"/>
  <c r="M42" i="6"/>
  <c r="J42" i="6"/>
  <c r="M40" i="6"/>
  <c r="L40" i="6"/>
  <c r="K40" i="6"/>
  <c r="J40" i="6"/>
  <c r="K36" i="6"/>
  <c r="L36" i="6"/>
  <c r="M36" i="6"/>
  <c r="J36" i="6"/>
  <c r="M31" i="6"/>
  <c r="L31" i="6"/>
  <c r="K31" i="6"/>
  <c r="J31" i="6"/>
  <c r="J28" i="6"/>
  <c r="J25" i="6"/>
  <c r="K28" i="6"/>
  <c r="L28" i="6"/>
  <c r="M28" i="6"/>
  <c r="M25" i="6"/>
  <c r="L25" i="6"/>
  <c r="K25" i="6"/>
  <c r="K21" i="6"/>
  <c r="L21" i="6"/>
  <c r="M21" i="6"/>
  <c r="J21" i="6"/>
  <c r="K15" i="6"/>
  <c r="L15" i="6"/>
  <c r="M15" i="6"/>
  <c r="J15" i="6"/>
  <c r="K7" i="6"/>
  <c r="L7" i="6"/>
  <c r="M7" i="6"/>
  <c r="J7" i="6"/>
  <c r="S5" i="6"/>
  <c r="S6" i="6"/>
  <c r="S7" i="6"/>
  <c r="S8" i="6"/>
  <c r="S9" i="6"/>
  <c r="S10" i="6"/>
  <c r="S11" i="6"/>
  <c r="S12" i="6"/>
  <c r="S13" i="6"/>
  <c r="S14" i="6"/>
  <c r="S4" i="6"/>
  <c r="Q4" i="7"/>
  <c r="S5" i="7"/>
  <c r="S6" i="7"/>
  <c r="S7" i="7"/>
  <c r="S8" i="7"/>
  <c r="S9" i="7"/>
  <c r="S10" i="7"/>
  <c r="S11" i="7"/>
  <c r="S12" i="7"/>
  <c r="S13" i="7"/>
  <c r="S14" i="7"/>
  <c r="Q4" i="6"/>
  <c r="P4" i="8"/>
  <c r="Q4" i="8"/>
  <c r="P4" i="7"/>
  <c r="P4" i="6"/>
  <c r="M44" i="2"/>
  <c r="J44" i="2"/>
  <c r="I44" i="2"/>
  <c r="F44" i="2"/>
  <c r="N7" i="9"/>
  <c r="M124" i="9"/>
  <c r="J71" i="9"/>
  <c r="J42" i="9"/>
  <c r="M125" i="9"/>
  <c r="M40" i="9"/>
  <c r="N37" i="9"/>
  <c r="L54" i="9"/>
  <c r="K66" i="9" s="1"/>
  <c r="L53" i="9"/>
  <c r="J66" i="9" s="1"/>
  <c r="N75" i="9"/>
  <c r="P127" i="9"/>
  <c r="K47" i="9"/>
  <c r="AC221" i="9"/>
  <c r="M129" i="9"/>
  <c r="M55" i="9"/>
  <c r="L67" i="9"/>
  <c r="L68" i="9" s="1"/>
  <c r="K57" i="9"/>
  <c r="N65" i="9"/>
  <c r="M53" i="9"/>
  <c r="J67" i="9" s="1"/>
  <c r="J68" i="9" s="1"/>
  <c r="M51" i="9"/>
  <c r="M56" i="9"/>
  <c r="M67" i="9"/>
  <c r="M68" i="9"/>
  <c r="K56" i="9"/>
  <c r="M65" i="9"/>
  <c r="K55" i="9"/>
  <c r="L65" i="9"/>
  <c r="K91" i="9"/>
  <c r="L78" i="9"/>
  <c r="L137" i="9"/>
  <c r="O144" i="9"/>
  <c r="J117" i="9"/>
  <c r="K117" i="9"/>
  <c r="O91" i="9"/>
  <c r="M136" i="9"/>
  <c r="O145" i="9"/>
  <c r="O146" i="9"/>
  <c r="M98" i="9"/>
  <c r="N144" i="9"/>
  <c r="K124" i="9"/>
  <c r="P49" i="9"/>
  <c r="M54" i="9"/>
  <c r="K67" i="9" s="1"/>
  <c r="K68" i="9"/>
  <c r="J79" i="9"/>
  <c r="K89" i="9" s="1"/>
  <c r="K94" i="9" s="1"/>
  <c r="P101" i="9"/>
  <c r="L91" i="9"/>
  <c r="M134" i="9"/>
  <c r="M145" i="9" s="1"/>
  <c r="M146" i="9"/>
  <c r="N66" i="9"/>
  <c r="O100" i="9"/>
  <c r="P128" i="9"/>
  <c r="J125" i="9"/>
  <c r="J135" i="9" s="1"/>
  <c r="N142" i="9" s="1"/>
  <c r="J129" i="9"/>
  <c r="N39" i="9"/>
  <c r="P100" i="9"/>
  <c r="K125" i="9"/>
  <c r="K98" i="9"/>
  <c r="M133" i="9"/>
  <c r="L145" i="9" s="1"/>
  <c r="M105" i="9"/>
  <c r="K118" i="9"/>
  <c r="K119" i="9" s="1"/>
  <c r="J105" i="9"/>
  <c r="K115" i="9"/>
  <c r="K120" i="9" s="1"/>
  <c r="J107" i="9"/>
  <c r="M115" i="9"/>
  <c r="J82" i="9"/>
  <c r="N89" i="9" s="1"/>
  <c r="K53" i="9"/>
  <c r="J65" i="9" s="1"/>
  <c r="K51" i="9"/>
  <c r="N67" i="9"/>
  <c r="M102" i="9"/>
  <c r="J133" i="9"/>
  <c r="L142" i="9" s="1"/>
  <c r="M106" i="9"/>
  <c r="L118" i="9" s="1"/>
  <c r="L119" i="9" s="1"/>
  <c r="M107" i="9"/>
  <c r="M118" i="9"/>
  <c r="M119" i="9" s="1"/>
  <c r="K105" i="9"/>
  <c r="K116" i="9" s="1"/>
  <c r="M108" i="9"/>
  <c r="N118" i="9"/>
  <c r="N119" i="9"/>
  <c r="J58" i="9"/>
  <c r="O64" i="9" s="1"/>
  <c r="J134" i="9"/>
  <c r="M142" i="9"/>
  <c r="M147" i="9" s="1"/>
  <c r="L138" i="9"/>
  <c r="P144" i="9"/>
  <c r="M137" i="9"/>
  <c r="P145" i="9" s="1"/>
  <c r="P146" i="9"/>
  <c r="J91" i="9"/>
  <c r="K134" i="9"/>
  <c r="M143" i="9"/>
  <c r="M104" i="9"/>
  <c r="J118" i="9" s="1"/>
  <c r="J119" i="9"/>
  <c r="J137" i="9"/>
  <c r="P142" i="9" s="1"/>
  <c r="K135" i="9"/>
  <c r="N143" i="9"/>
  <c r="J136" i="9"/>
  <c r="O142" i="9" s="1"/>
  <c r="O147" i="9" s="1"/>
  <c r="K129" i="9"/>
  <c r="J78" i="9"/>
  <c r="J89" i="9"/>
  <c r="J104" i="9"/>
  <c r="J115" i="9"/>
  <c r="P147" i="9"/>
  <c r="Q144" i="9"/>
  <c r="L139" i="9"/>
  <c r="J139" i="9" s="1"/>
  <c r="M138" i="9"/>
  <c r="Q145" i="9"/>
  <c r="Q146" i="9"/>
  <c r="J138" i="9"/>
  <c r="Q142" i="9" s="1"/>
  <c r="Q147" i="9"/>
  <c r="K138" i="9"/>
  <c r="Q143" i="9"/>
  <c r="R144" i="9"/>
  <c r="M139" i="9"/>
  <c r="R145" i="9"/>
  <c r="R146" i="9" s="1"/>
  <c r="R142" i="9"/>
  <c r="R147" i="9" s="1"/>
  <c r="K139" i="9"/>
  <c r="R143" i="9" s="1"/>
  <c r="AC12" i="10" l="1"/>
  <c r="U56" i="10"/>
  <c r="AC30" i="10"/>
  <c r="AC47" i="10"/>
  <c r="U22" i="10"/>
  <c r="V54" i="10"/>
  <c r="AC13" i="10"/>
  <c r="AC14" i="10"/>
  <c r="AC16" i="10"/>
  <c r="V20" i="10"/>
  <c r="AC29" i="10"/>
  <c r="Z33" i="10"/>
  <c r="Z48" i="10"/>
  <c r="Z49" i="10"/>
  <c r="AC50" i="10"/>
  <c r="Z15" i="10"/>
  <c r="AC46" i="10"/>
  <c r="U39" i="10"/>
  <c r="Z32" i="10"/>
  <c r="AC32" i="10"/>
  <c r="AC31" i="10"/>
  <c r="Z31" i="10"/>
  <c r="V37" i="10"/>
  <c r="AC56" i="10"/>
  <c r="AD54" i="10"/>
  <c r="AC22" i="10"/>
  <c r="AC39" i="10"/>
  <c r="AD37" i="10"/>
  <c r="O68" i="9"/>
  <c r="L85" i="9"/>
  <c r="M85" i="9" s="1"/>
  <c r="Q92" i="9" s="1"/>
  <c r="P91" i="9"/>
  <c r="J54" i="9"/>
  <c r="K64" i="9" s="1"/>
  <c r="J56" i="9"/>
  <c r="M64" i="9" s="1"/>
  <c r="AK246" i="9"/>
  <c r="AH246" i="9"/>
  <c r="N41" i="9"/>
  <c r="N6" i="9"/>
  <c r="L110" i="9"/>
  <c r="O117" i="9"/>
  <c r="J109" i="9"/>
  <c r="O115" i="9" s="1"/>
  <c r="O120" i="9" s="1"/>
  <c r="M109" i="9"/>
  <c r="O118" i="9" s="1"/>
  <c r="K106" i="9"/>
  <c r="L116" i="9" s="1"/>
  <c r="K104" i="9"/>
  <c r="J116" i="9" s="1"/>
  <c r="K108" i="9"/>
  <c r="N116" i="9" s="1"/>
  <c r="J83" i="9"/>
  <c r="O89" i="9" s="1"/>
  <c r="O94" i="9" s="1"/>
  <c r="J81" i="9"/>
  <c r="M89" i="9" s="1"/>
  <c r="M94" i="9" s="1"/>
  <c r="J76" i="9"/>
  <c r="J84" i="9"/>
  <c r="P89" i="9" s="1"/>
  <c r="J80" i="9"/>
  <c r="L89" i="9" s="1"/>
  <c r="L94" i="9" s="1"/>
  <c r="AL250" i="9"/>
  <c r="AK255" i="9"/>
  <c r="J55" i="9"/>
  <c r="L64" i="9" s="1"/>
  <c r="L69" i="9" s="1"/>
  <c r="J57" i="9"/>
  <c r="N64" i="9" s="1"/>
  <c r="N14" i="9"/>
  <c r="L40" i="9"/>
  <c r="N40" i="9" s="1"/>
  <c r="O66" i="9"/>
  <c r="K58" i="9"/>
  <c r="O65" i="9" s="1"/>
  <c r="K71" i="9"/>
  <c r="O74" i="9"/>
  <c r="P74" i="9"/>
  <c r="K72" i="9"/>
  <c r="AK232" i="9"/>
  <c r="J53" i="9"/>
  <c r="J64" i="9" s="1"/>
  <c r="N147" i="9"/>
  <c r="K109" i="9"/>
  <c r="O116" i="9" s="1"/>
  <c r="N68" i="9"/>
  <c r="K137" i="9"/>
  <c r="P143" i="9" s="1"/>
  <c r="K133" i="9"/>
  <c r="L143" i="9" s="1"/>
  <c r="L59" i="9"/>
  <c r="K136" i="9"/>
  <c r="O143" i="9" s="1"/>
  <c r="M135" i="9"/>
  <c r="N145" i="9" s="1"/>
  <c r="N146" i="9" s="1"/>
  <c r="K54" i="9"/>
  <c r="K65" i="9" s="1"/>
  <c r="K59" i="9"/>
  <c r="P65" i="9" s="1"/>
  <c r="P75" i="9"/>
  <c r="O75" i="9"/>
  <c r="L144" i="9"/>
  <c r="L146" i="9" s="1"/>
  <c r="L132" i="9"/>
  <c r="AD253" i="9"/>
  <c r="AC255" i="9"/>
  <c r="AK214" i="9"/>
  <c r="AH214" i="9"/>
  <c r="AK211" i="9"/>
  <c r="AH211" i="9"/>
  <c r="K132" i="9"/>
  <c r="K143" i="9" s="1"/>
  <c r="S5" i="9"/>
  <c r="S6" i="9" s="1"/>
  <c r="S7" i="9" s="1"/>
  <c r="S8" i="9" s="1"/>
  <c r="S9" i="9" s="1"/>
  <c r="S10" i="9" s="1"/>
  <c r="S11" i="9" s="1"/>
  <c r="S12" i="9" s="1"/>
  <c r="S13" i="9" s="1"/>
  <c r="S14" i="9" s="1"/>
  <c r="J51" i="9"/>
  <c r="M72" i="9"/>
  <c r="M81" i="9" s="1"/>
  <c r="M92" i="9" s="1"/>
  <c r="M93" i="9" s="1"/>
  <c r="K107" i="9"/>
  <c r="M116" i="9" s="1"/>
  <c r="K102" i="9"/>
  <c r="J108" i="9"/>
  <c r="N115" i="9" s="1"/>
  <c r="N120" i="9" s="1"/>
  <c r="J106" i="9"/>
  <c r="L115" i="9" s="1"/>
  <c r="L120" i="9" s="1"/>
  <c r="J110" i="9"/>
  <c r="P115" i="9" s="1"/>
  <c r="AH212" i="9"/>
  <c r="AL233" i="9"/>
  <c r="M84" i="9" l="1"/>
  <c r="P92" i="9" s="1"/>
  <c r="P93" i="9" s="1"/>
  <c r="M76" i="9"/>
  <c r="K83" i="9"/>
  <c r="O90" i="9" s="1"/>
  <c r="K78" i="9"/>
  <c r="J90" i="9" s="1"/>
  <c r="K82" i="9"/>
  <c r="N90" i="9" s="1"/>
  <c r="K81" i="9"/>
  <c r="M90" i="9" s="1"/>
  <c r="K84" i="9"/>
  <c r="P90" i="9" s="1"/>
  <c r="K76" i="9"/>
  <c r="K85" i="9"/>
  <c r="Q90" i="9" s="1"/>
  <c r="K79" i="9"/>
  <c r="K90" i="9" s="1"/>
  <c r="K80" i="9"/>
  <c r="L90" i="9" s="1"/>
  <c r="K69" i="9"/>
  <c r="P120" i="9"/>
  <c r="M132" i="9"/>
  <c r="K145" i="9" s="1"/>
  <c r="J132" i="9"/>
  <c r="K142" i="9" s="1"/>
  <c r="L131" i="9"/>
  <c r="K144" i="9"/>
  <c r="M59" i="9"/>
  <c r="P67" i="9" s="1"/>
  <c r="J59" i="9"/>
  <c r="P64" i="9" s="1"/>
  <c r="P69" i="9" s="1"/>
  <c r="P66" i="9"/>
  <c r="L60" i="9"/>
  <c r="N94" i="9"/>
  <c r="N69" i="9"/>
  <c r="M79" i="9"/>
  <c r="K92" i="9" s="1"/>
  <c r="K93" i="9" s="1"/>
  <c r="P94" i="9"/>
  <c r="O119" i="9"/>
  <c r="M83" i="9"/>
  <c r="O92" i="9" s="1"/>
  <c r="O93" i="9" s="1"/>
  <c r="M69" i="9"/>
  <c r="L86" i="9"/>
  <c r="Q91" i="9"/>
  <c r="Q93" i="9" s="1"/>
  <c r="J85" i="9"/>
  <c r="Q89" i="9" s="1"/>
  <c r="Q94" i="9" s="1"/>
  <c r="M78" i="9"/>
  <c r="J92" i="9" s="1"/>
  <c r="J93" i="9" s="1"/>
  <c r="M82" i="9"/>
  <c r="N92" i="9" s="1"/>
  <c r="N93" i="9" s="1"/>
  <c r="M80" i="9"/>
  <c r="L92" i="9" s="1"/>
  <c r="L93" i="9" s="1"/>
  <c r="M120" i="9"/>
  <c r="K110" i="9"/>
  <c r="P116" i="9" s="1"/>
  <c r="L111" i="9"/>
  <c r="P117" i="9"/>
  <c r="M110" i="9"/>
  <c r="P118" i="9" s="1"/>
  <c r="P119" i="9" s="1"/>
  <c r="O69" i="9"/>
  <c r="L112" i="9" l="1"/>
  <c r="K111" i="9"/>
  <c r="Q116" i="9" s="1"/>
  <c r="J111" i="9"/>
  <c r="Q115" i="9" s="1"/>
  <c r="Q120" i="9" s="1"/>
  <c r="M111" i="9"/>
  <c r="Q118" i="9" s="1"/>
  <c r="Q117" i="9"/>
  <c r="R91" i="9"/>
  <c r="M86" i="9"/>
  <c r="R92" i="9" s="1"/>
  <c r="R93" i="9" s="1"/>
  <c r="J86" i="9"/>
  <c r="R89" i="9" s="1"/>
  <c r="R94" i="9" s="1"/>
  <c r="M60" i="9"/>
  <c r="Q67" i="9" s="1"/>
  <c r="J60" i="9"/>
  <c r="Q64" i="9" s="1"/>
  <c r="Q69" i="9" s="1"/>
  <c r="L61" i="9"/>
  <c r="K60" i="9"/>
  <c r="Q65" i="9" s="1"/>
  <c r="Q66" i="9"/>
  <c r="P68" i="9"/>
  <c r="K146" i="9"/>
  <c r="J144" i="9"/>
  <c r="J131" i="9"/>
  <c r="J142" i="9" s="1"/>
  <c r="K147" i="9" s="1"/>
  <c r="M131" i="9"/>
  <c r="J145" i="9" s="1"/>
  <c r="J146" i="9" s="1"/>
  <c r="K131" i="9"/>
  <c r="J143" i="9" s="1"/>
  <c r="L147" i="9"/>
  <c r="K86" i="9"/>
  <c r="R90" i="9" s="1"/>
  <c r="Q119" i="9" l="1"/>
  <c r="J61" i="9"/>
  <c r="R64" i="9" s="1"/>
  <c r="R69" i="9" s="1"/>
  <c r="K61" i="9"/>
  <c r="R65" i="9" s="1"/>
  <c r="M61" i="9"/>
  <c r="R67" i="9" s="1"/>
  <c r="R66" i="9"/>
  <c r="Q68" i="9"/>
  <c r="K112" i="9"/>
  <c r="R116" i="9" s="1"/>
  <c r="M112" i="9"/>
  <c r="R118" i="9" s="1"/>
  <c r="R119" i="9" s="1"/>
  <c r="R117" i="9"/>
  <c r="J112" i="9"/>
  <c r="R115" i="9" s="1"/>
  <c r="R120" i="9" s="1"/>
  <c r="R68" i="9" l="1"/>
  <c r="L19" i="10"/>
  <c r="M19" i="10"/>
  <c r="M13" i="10"/>
</calcChain>
</file>

<file path=xl/sharedStrings.xml><?xml version="1.0" encoding="utf-8"?>
<sst xmlns="http://schemas.openxmlformats.org/spreadsheetml/2006/main" count="668" uniqueCount="110">
  <si>
    <t> 1489</t>
  </si>
  <si>
    <t> 1534</t>
  </si>
  <si>
    <t> 1533</t>
  </si>
  <si>
    <t> 1528</t>
  </si>
  <si>
    <t> 1204</t>
  </si>
  <si>
    <t> 1526</t>
  </si>
  <si>
    <t> 1707</t>
  </si>
  <si>
    <t> 1428</t>
  </si>
  <si>
    <t> 1500</t>
  </si>
  <si>
    <t> 1527</t>
  </si>
  <si>
    <t> 2324</t>
  </si>
  <si>
    <t> 1042</t>
  </si>
  <si>
    <t> 1692</t>
  </si>
  <si>
    <t> 2339</t>
  </si>
  <si>
    <t> 1525</t>
  </si>
  <si>
    <t> 1710</t>
  </si>
  <si>
    <t> 1012</t>
  </si>
  <si>
    <t> 1709</t>
  </si>
  <si>
    <t> 1536</t>
  </si>
  <si>
    <t> 1708</t>
  </si>
  <si>
    <t> 1713</t>
  </si>
  <si>
    <t> 2325</t>
  </si>
  <si>
    <t> 1706</t>
  </si>
  <si>
    <t> 955</t>
  </si>
  <si>
    <t> 884</t>
  </si>
  <si>
    <t> 1429</t>
  </si>
  <si>
    <t> 1430</t>
  </si>
  <si>
    <t> 1631</t>
  </si>
  <si>
    <t> 1117</t>
  </si>
  <si>
    <t> 1768</t>
  </si>
  <si>
    <t> 956</t>
  </si>
  <si>
    <t> 1431</t>
  </si>
  <si>
    <t> 1702</t>
  </si>
  <si>
    <t> 1529</t>
  </si>
  <si>
    <t> 1701</t>
  </si>
  <si>
    <t> 1316</t>
  </si>
  <si>
    <t> 1907</t>
  </si>
  <si>
    <t> 1043</t>
  </si>
  <si>
    <t> 1820</t>
  </si>
  <si>
    <t> 1567</t>
  </si>
  <si>
    <t>    2013 CRF 250</t>
  </si>
  <si>
    <t>    2008 CRF 250</t>
  </si>
  <si>
    <t>    2010 CRF 250</t>
  </si>
  <si>
    <t>    2009 CRF 450</t>
  </si>
  <si>
    <t>    2012 CRF 250</t>
  </si>
  <si>
    <t>    2014 CRF 450</t>
  </si>
  <si>
    <t>    2013 CRF 450</t>
  </si>
  <si>
    <t>    2007 CRF 250</t>
  </si>
  <si>
    <t>    2005 CRF 450</t>
  </si>
  <si>
    <t>    2010 CRF 450</t>
  </si>
  <si>
    <t>    2015 CRF 450</t>
  </si>
  <si>
    <t>    2011 CRF 250</t>
  </si>
  <si>
    <t xml:space="preserve"> 231 - 335</t>
  </si>
  <si>
    <t xml:space="preserve"> 58 - 89</t>
  </si>
  <si>
    <t xml:space="preserve"> 117 - 186</t>
  </si>
  <si>
    <t xml:space="preserve"> 4.14 - 4.95</t>
  </si>
  <si>
    <t>x</t>
  </si>
  <si>
    <t>y1</t>
  </si>
  <si>
    <t>y2</t>
  </si>
  <si>
    <t>baseline</t>
  </si>
  <si>
    <t>+1</t>
  </si>
  <si>
    <t>+2</t>
  </si>
  <si>
    <t>+3</t>
  </si>
  <si>
    <t>+4</t>
  </si>
  <si>
    <t>ips</t>
  </si>
  <si>
    <t>+5</t>
  </si>
  <si>
    <t xml:space="preserve"> 2-8-17, I don't remember how we did this, but do remember is was just a starting point.  We will use it for now, but below we will convert to only three progression levels</t>
  </si>
  <si>
    <t>fork</t>
  </si>
  <si>
    <t>orig shock</t>
  </si>
  <si>
    <t>new shock</t>
  </si>
  <si>
    <t>aver</t>
  </si>
  <si>
    <t>soft</t>
  </si>
  <si>
    <t>soft-1</t>
  </si>
  <si>
    <t>soft-2</t>
  </si>
  <si>
    <t>stiff</t>
  </si>
  <si>
    <t>stiff+1</t>
  </si>
  <si>
    <t>stiff+2</t>
  </si>
  <si>
    <t>stiff+3</t>
  </si>
  <si>
    <t>stiff+4</t>
  </si>
  <si>
    <t xml:space="preserve"> Basically we took the two middle, added together</t>
  </si>
  <si>
    <t xml:space="preserve"> and divided by two</t>
  </si>
  <si>
    <t>See final printable results below</t>
  </si>
  <si>
    <t xml:space="preserve"> This is the final reb range at 1.075.</t>
  </si>
  <si>
    <t xml:space="preserve"> We considered 1.05, but decided to keep it same as shock comp</t>
  </si>
  <si>
    <t xml:space="preserve"> 2-8-17</t>
  </si>
  <si>
    <t>on row 197</t>
  </si>
  <si>
    <t>end</t>
  </si>
  <si>
    <t xml:space="preserve"> ips</t>
  </si>
  <si>
    <t xml:space="preserve"> 40.10</t>
  </si>
  <si>
    <t>reb</t>
  </si>
  <si>
    <t xml:space="preserve">these colums are poly 2 and </t>
  </si>
  <si>
    <t>are not accurate</t>
  </si>
  <si>
    <t>these columns are linear</t>
  </si>
  <si>
    <t>for 1-5ips, use these in</t>
  </si>
  <si>
    <t>to the right</t>
  </si>
  <si>
    <t>for 10-50ips plus we are</t>
  </si>
  <si>
    <t xml:space="preserve">using the 1-5 ips from the </t>
  </si>
  <si>
    <t>left</t>
  </si>
  <si>
    <t>THIS IS WHAT WE PUT IN</t>
  </si>
  <si>
    <t>openLevRatio_shctargetnu.php</t>
  </si>
  <si>
    <t>PGDN To to  A206 for details</t>
  </si>
  <si>
    <t>Book2_crf_reb.xls</t>
  </si>
  <si>
    <t>soft-3</t>
  </si>
  <si>
    <t xml:space="preserve"> 7-26-17</t>
  </si>
  <si>
    <t xml:space="preserve"> Final rebound</t>
  </si>
  <si>
    <t xml:space="preserve"> We have the condensed version with 2-5-10-70ips and the full range via poly 2 with 1-70ips</t>
  </si>
  <si>
    <t xml:space="preserve"> See pre_final_tab if more info is needed</t>
  </si>
  <si>
    <t>THIS IS WHAT WE PUT IN   openLevRatio_shctargetnu.php</t>
  </si>
  <si>
    <t>soft-4</t>
  </si>
  <si>
    <t xml:space="preserve">  remember, reb is -negative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</si>
</sst>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9" x14ac:knownFonts="1">
    <font>
      <sz val="10"/>
      <name val="Arial"/>
    </font>
    <font>
      <sz val="10"/>
      <name val="Arial"/>
      <family val="2"/>
    </font>
    <font>
      <sz val="9"/>
      <name val="Trebuchet MS"/>
      <family val="2"/>
    </font>
    <font>
      <b/>
      <sz val="10"/>
      <name val="Arial"/>
      <family val="2"/>
    </font>
    <font>
      <sz val="9"/>
      <color indexed="60"/>
      <name val="Arial"/>
      <family val="2"/>
    </font>
    <font>
      <sz val="10"/>
      <color indexed="48"/>
      <name val="Arial"/>
      <family val="2"/>
    </font>
    <font>
      <u/>
      <sz val="9"/>
      <color indexed="60"/>
      <name val="Arial"/>
      <family val="2"/>
    </font>
    <font>
      <sz val="10"/>
      <color indexed="10"/>
      <name val="Arial"/>
      <family val="2"/>
    </font>
    <font>
      <sz val="10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indexed="53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rgb="FF008000"/>
      <name val="Arial"/>
      <family val="2"/>
    </font>
    <font>
      <sz val="10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top" wrapText="1"/>
    </xf>
    <xf numFmtId="1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applyFont="1"/>
    <xf numFmtId="0" fontId="0" fillId="4" borderId="0" xfId="0" applyFill="1"/>
    <xf numFmtId="0" fontId="0" fillId="5" borderId="0" xfId="0" applyFill="1"/>
    <xf numFmtId="1" fontId="0" fillId="0" borderId="0" xfId="0" applyNumberFormat="1"/>
    <xf numFmtId="164" fontId="6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1" fontId="7" fillId="0" borderId="0" xfId="0" applyNumberFormat="1" applyFont="1"/>
    <xf numFmtId="1" fontId="8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2" fontId="9" fillId="0" borderId="0" xfId="0" applyNumberFormat="1" applyFont="1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1" fillId="0" borderId="0" xfId="0" applyNumberFormat="1" applyFont="1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9" xfId="0" applyBorder="1"/>
    <xf numFmtId="0" fontId="0" fillId="0" borderId="0" xfId="0" quotePrefix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8" xfId="0" applyFont="1" applyBorder="1" applyAlignment="1">
      <alignment horizontal="right"/>
    </xf>
    <xf numFmtId="0" fontId="0" fillId="0" borderId="0" xfId="0" quotePrefix="1" applyBorder="1" applyAlignment="1">
      <alignment horizontal="right"/>
    </xf>
    <xf numFmtId="1" fontId="0" fillId="0" borderId="0" xfId="0" applyNumberFormat="1" applyBorder="1"/>
    <xf numFmtId="164" fontId="0" fillId="0" borderId="0" xfId="0" applyNumberFormat="1" applyBorder="1"/>
    <xf numFmtId="0" fontId="0" fillId="0" borderId="10" xfId="0" applyBorder="1"/>
    <xf numFmtId="0" fontId="0" fillId="0" borderId="11" xfId="0" applyBorder="1"/>
    <xf numFmtId="1" fontId="8" fillId="6" borderId="0" xfId="0" applyNumberFormat="1" applyFont="1" applyFill="1" applyBorder="1" applyAlignment="1">
      <alignment horizontal="right"/>
    </xf>
    <xf numFmtId="0" fontId="5" fillId="6" borderId="0" xfId="0" applyFont="1" applyFill="1" applyBorder="1"/>
    <xf numFmtId="1" fontId="0" fillId="6" borderId="0" xfId="0" applyNumberFormat="1" applyFill="1" applyBorder="1"/>
    <xf numFmtId="164" fontId="1" fillId="0" borderId="0" xfId="0" applyNumberFormat="1" applyFont="1" applyBorder="1"/>
    <xf numFmtId="165" fontId="11" fillId="0" borderId="11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center"/>
    </xf>
    <xf numFmtId="2" fontId="0" fillId="0" borderId="0" xfId="0" applyNumberFormat="1" applyBorder="1"/>
    <xf numFmtId="0" fontId="1" fillId="0" borderId="0" xfId="0" applyFont="1" applyFill="1" applyBorder="1" applyAlignment="1">
      <alignment horizontal="center"/>
    </xf>
    <xf numFmtId="165" fontId="8" fillId="0" borderId="0" xfId="0" applyNumberFormat="1" applyFont="1" applyBorder="1"/>
    <xf numFmtId="166" fontId="0" fillId="0" borderId="0" xfId="0" applyNumberFormat="1" applyBorder="1"/>
    <xf numFmtId="165" fontId="0" fillId="0" borderId="0" xfId="0" applyNumberFormat="1" applyBorder="1"/>
    <xf numFmtId="0" fontId="0" fillId="0" borderId="9" xfId="0" quotePrefix="1" applyBorder="1" applyAlignment="1">
      <alignment horizontal="right"/>
    </xf>
    <xf numFmtId="1" fontId="0" fillId="0" borderId="9" xfId="0" applyNumberFormat="1" applyBorder="1"/>
    <xf numFmtId="164" fontId="0" fillId="0" borderId="9" xfId="0" applyNumberFormat="1" applyBorder="1"/>
    <xf numFmtId="165" fontId="11" fillId="0" borderId="12" xfId="0" applyNumberFormat="1" applyFont="1" applyFill="1" applyBorder="1" applyAlignment="1">
      <alignment horizontal="right"/>
    </xf>
    <xf numFmtId="166" fontId="8" fillId="0" borderId="6" xfId="0" applyNumberFormat="1" applyFont="1" applyFill="1" applyBorder="1" applyAlignment="1">
      <alignment horizontal="center"/>
    </xf>
    <xf numFmtId="166" fontId="0" fillId="0" borderId="6" xfId="0" applyNumberFormat="1" applyBorder="1"/>
    <xf numFmtId="166" fontId="8" fillId="0" borderId="0" xfId="0" applyNumberFormat="1" applyFont="1" applyFill="1" applyBorder="1" applyAlignment="1">
      <alignment horizontal="center"/>
    </xf>
    <xf numFmtId="0" fontId="14" fillId="0" borderId="0" xfId="0" quotePrefix="1" applyFont="1" applyAlignment="1">
      <alignment horizontal="left"/>
    </xf>
    <xf numFmtId="0" fontId="15" fillId="0" borderId="0" xfId="0" quotePrefix="1" applyFont="1" applyAlignment="1">
      <alignment horizontal="left"/>
    </xf>
    <xf numFmtId="0" fontId="10" fillId="0" borderId="5" xfId="0" applyFont="1" applyBorder="1" applyAlignment="1">
      <alignment horizontal="right"/>
    </xf>
    <xf numFmtId="0" fontId="1" fillId="0" borderId="6" xfId="0" applyFont="1" applyFill="1" applyBorder="1"/>
    <xf numFmtId="0" fontId="0" fillId="0" borderId="6" xfId="0" quotePrefix="1" applyBorder="1" applyAlignment="1">
      <alignment horizontal="right"/>
    </xf>
    <xf numFmtId="0" fontId="0" fillId="0" borderId="7" xfId="0" quotePrefix="1" applyBorder="1" applyAlignment="1">
      <alignment horizontal="right"/>
    </xf>
    <xf numFmtId="0" fontId="0" fillId="0" borderId="0" xfId="0" applyAlignment="1">
      <alignment horizontal="center"/>
    </xf>
    <xf numFmtId="0" fontId="13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4" xfId="0" applyBorder="1"/>
    <xf numFmtId="0" fontId="13" fillId="0" borderId="13" xfId="0" quotePrefix="1" applyFont="1" applyBorder="1" applyAlignment="1">
      <alignment horizontal="left"/>
    </xf>
    <xf numFmtId="2" fontId="0" fillId="0" borderId="18" xfId="0" applyNumberFormat="1" applyBorder="1"/>
    <xf numFmtId="0" fontId="10" fillId="0" borderId="20" xfId="0" applyFont="1" applyBorder="1" applyAlignment="1">
      <alignment horizontal="right"/>
    </xf>
    <xf numFmtId="0" fontId="0" fillId="0" borderId="21" xfId="0" applyBorder="1"/>
    <xf numFmtId="1" fontId="0" fillId="0" borderId="22" xfId="0" applyNumberFormat="1" applyBorder="1"/>
    <xf numFmtId="164" fontId="0" fillId="0" borderId="22" xfId="0" applyNumberFormat="1" applyBorder="1"/>
    <xf numFmtId="0" fontId="0" fillId="0" borderId="23" xfId="0" applyBorder="1"/>
    <xf numFmtId="0" fontId="0" fillId="0" borderId="24" xfId="0" applyBorder="1"/>
    <xf numFmtId="165" fontId="11" fillId="0" borderId="24" xfId="0" applyNumberFormat="1" applyFont="1" applyFill="1" applyBorder="1" applyAlignment="1">
      <alignment horizontal="right"/>
    </xf>
    <xf numFmtId="165" fontId="11" fillId="0" borderId="25" xfId="0" applyNumberFormat="1" applyFont="1" applyFill="1" applyBorder="1" applyAlignment="1">
      <alignment horizontal="right"/>
    </xf>
    <xf numFmtId="0" fontId="13" fillId="0" borderId="26" xfId="0" applyFont="1" applyBorder="1"/>
    <xf numFmtId="0" fontId="13" fillId="0" borderId="26" xfId="0" applyFont="1" applyFill="1" applyBorder="1"/>
    <xf numFmtId="0" fontId="13" fillId="0" borderId="26" xfId="0" quotePrefix="1" applyFont="1" applyBorder="1" applyAlignment="1">
      <alignment horizontal="right"/>
    </xf>
    <xf numFmtId="0" fontId="13" fillId="0" borderId="27" xfId="0" quotePrefix="1" applyFont="1" applyBorder="1" applyAlignment="1">
      <alignment horizontal="right"/>
    </xf>
    <xf numFmtId="0" fontId="14" fillId="0" borderId="0" xfId="0" applyFont="1"/>
    <xf numFmtId="0" fontId="10" fillId="0" borderId="20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26" xfId="0" quotePrefix="1" applyFont="1" applyBorder="1" applyAlignment="1">
      <alignment horizontal="center"/>
    </xf>
    <xf numFmtId="0" fontId="13" fillId="0" borderId="27" xfId="0" quotePrefix="1" applyFont="1" applyBorder="1" applyAlignment="1">
      <alignment horizontal="center"/>
    </xf>
    <xf numFmtId="0" fontId="0" fillId="0" borderId="21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1" fontId="0" fillId="0" borderId="22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5" fontId="11" fillId="0" borderId="24" xfId="0" applyNumberFormat="1" applyFont="1" applyFill="1" applyBorder="1" applyAlignment="1">
      <alignment horizontal="center"/>
    </xf>
    <xf numFmtId="165" fontId="11" fillId="0" borderId="25" xfId="0" applyNumberFormat="1" applyFont="1" applyFill="1" applyBorder="1" applyAlignment="1">
      <alignment horizontal="center"/>
    </xf>
    <xf numFmtId="0" fontId="12" fillId="0" borderId="0" xfId="0" applyFont="1"/>
    <xf numFmtId="0" fontId="16" fillId="0" borderId="0" xfId="0" applyFont="1"/>
    <xf numFmtId="0" fontId="16" fillId="0" borderId="0" xfId="0" quotePrefix="1" applyFont="1" applyAlignment="1">
      <alignment horizontal="left"/>
    </xf>
    <xf numFmtId="0" fontId="0" fillId="0" borderId="0" xfId="0" applyBorder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17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1" fontId="17" fillId="0" borderId="0" xfId="0" applyNumberFormat="1" applyFont="1" applyAlignment="1">
      <alignment horizontal="center"/>
    </xf>
    <xf numFmtId="1" fontId="17" fillId="8" borderId="0" xfId="0" applyNumberFormat="1" applyFont="1" applyFill="1" applyAlignment="1">
      <alignment horizontal="center"/>
    </xf>
    <xf numFmtId="0" fontId="0" fillId="7" borderId="0" xfId="0" applyFill="1"/>
    <xf numFmtId="0" fontId="12" fillId="7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2" fillId="7" borderId="0" xfId="0" quotePrefix="1" applyFont="1" applyFill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" fontId="0" fillId="0" borderId="0" xfId="0" applyNumberFormat="1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17" fillId="0" borderId="0" xfId="0" applyNumberFormat="1" applyFont="1" applyFill="1" applyAlignment="1">
      <alignment horizontal="center"/>
    </xf>
    <xf numFmtId="0" fontId="0" fillId="0" borderId="19" xfId="0" applyBorder="1"/>
    <xf numFmtId="1" fontId="17" fillId="0" borderId="0" xfId="0" applyNumberFormat="1" applyFont="1" applyFill="1" applyBorder="1" applyAlignment="1">
      <alignment horizontal="center"/>
    </xf>
    <xf numFmtId="0" fontId="12" fillId="0" borderId="26" xfId="0" quotePrefix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6" fillId="0" borderId="0" xfId="0" quotePrefix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333498740589151E-2"/>
          <c:y val="0.14893720174812825"/>
          <c:w val="0.71544857455335076"/>
          <c:h val="0.6312100455039720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9593280261699645"/>
                  <c:y val="-7.7703302463518795E-2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sort_10ips_pre_final_results!$L$49:$L$50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sort_10ips_pre_final_results!$M$49:$M$50</c:f>
              <c:numCache>
                <c:formatCode>0.00</c:formatCode>
                <c:ptCount val="2"/>
                <c:pt idx="0">
                  <c:v>1132.8</c:v>
                </c:pt>
                <c:pt idx="1">
                  <c:v>1541.5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107008"/>
        <c:axId val="142108544"/>
      </c:scatterChart>
      <c:valAx>
        <c:axId val="142107008"/>
        <c:scaling>
          <c:orientation val="minMax"/>
          <c:min val="20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108544"/>
        <c:crosses val="autoZero"/>
        <c:crossBetween val="midCat"/>
      </c:valAx>
      <c:valAx>
        <c:axId val="142108544"/>
        <c:scaling>
          <c:orientation val="minMax"/>
          <c:min val="800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2107008"/>
        <c:crosses val="autoZero"/>
        <c:crossBetween val="midCat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130252011181527"/>
          <c:y val="0.38298170175536567"/>
          <c:w val="0.15243923777820456"/>
          <c:h val="0.163122056551441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2399506578281"/>
          <c:y val="0.11282107782991702"/>
          <c:w val="0.56232763039899802"/>
          <c:h val="0.7179523134631082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8.5607368981096242E-4"/>
                  <c:y val="2.32656755044907E-4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sort_10ips_pre_final_results!$L$127:$L$128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sort_10ips_pre_final_results!$M$127:$M$128</c:f>
              <c:numCache>
                <c:formatCode>0.00</c:formatCode>
                <c:ptCount val="2"/>
                <c:pt idx="0">
                  <c:v>988.09999999999991</c:v>
                </c:pt>
                <c:pt idx="1">
                  <c:v>1344.8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74048"/>
        <c:axId val="104675584"/>
      </c:scatterChart>
      <c:valAx>
        <c:axId val="10467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75584"/>
        <c:crosses val="autoZero"/>
        <c:crossBetween val="midCat"/>
      </c:valAx>
      <c:valAx>
        <c:axId val="10467558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67404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961306083276979"/>
          <c:y val="0.40513035870516184"/>
          <c:w val="0.23822743763677734"/>
          <c:h val="0.138462076855777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1593110236220472"/>
                  <c:y val="-4.2378608923884516E-2"/>
                </c:manualLayout>
              </c:layout>
              <c:numFmt formatCode="General" sourceLinked="0"/>
            </c:trendlineLbl>
          </c:trendline>
          <c:xVal>
            <c:numRef>
              <c:f>sort_10ips_pre_final_results!$H$210:$H$211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sort_10ips_pre_final_results!$M$210:$M$211</c:f>
              <c:numCache>
                <c:formatCode>0</c:formatCode>
                <c:ptCount val="2"/>
                <c:pt idx="0">
                  <c:v>304.8</c:v>
                </c:pt>
                <c:pt idx="1">
                  <c:v>1249.68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696448"/>
        <c:axId val="104718720"/>
      </c:scatterChart>
      <c:valAx>
        <c:axId val="104696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18720"/>
        <c:crosses val="autoZero"/>
        <c:crossBetween val="midCat"/>
      </c:valAx>
      <c:valAx>
        <c:axId val="10471872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469644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7704221347331581"/>
                  <c:y val="-7.1194225721784774E-4"/>
                </c:manualLayout>
              </c:layout>
              <c:numFmt formatCode="General" sourceLinked="0"/>
            </c:trendlineLbl>
          </c:trendline>
          <c:xVal>
            <c:numRef>
              <c:f>sort_10ips_pre_final_results!$H$227:$H$228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sort_10ips_pre_final_results!$M$227:$M$228</c:f>
              <c:numCache>
                <c:formatCode>0</c:formatCode>
                <c:ptCount val="2"/>
                <c:pt idx="0">
                  <c:v>285.39999999999998</c:v>
                </c:pt>
                <c:pt idx="1">
                  <c:v>1249.9612643678161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51488"/>
        <c:axId val="104753024"/>
      </c:scatterChart>
      <c:valAx>
        <c:axId val="10475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53024"/>
        <c:crosses val="autoZero"/>
        <c:crossBetween val="midCat"/>
      </c:valAx>
      <c:valAx>
        <c:axId val="104753024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47514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379588801399825"/>
                  <c:y val="-2.8489720034995624E-2"/>
                </c:manualLayout>
              </c:layout>
              <c:numFmt formatCode="General" sourceLinked="0"/>
            </c:trendlineLbl>
          </c:trendline>
          <c:xVal>
            <c:numRef>
              <c:f>sort_10ips_pre_final_results!$H$244:$H$245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sort_10ips_pre_final_results!$M$244:$M$245</c:f>
              <c:numCache>
                <c:formatCode>0</c:formatCode>
                <c:ptCount val="2"/>
                <c:pt idx="0">
                  <c:v>266</c:v>
                </c:pt>
                <c:pt idx="1">
                  <c:v>1250.2425287356323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773504"/>
        <c:axId val="104775040"/>
      </c:scatterChart>
      <c:valAx>
        <c:axId val="1047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4775040"/>
        <c:crosses val="autoZero"/>
        <c:crossBetween val="midCat"/>
      </c:valAx>
      <c:valAx>
        <c:axId val="104775040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47735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1593110236220472"/>
                  <c:y val="-4.2378608923884516E-2"/>
                </c:manualLayout>
              </c:layout>
              <c:numFmt formatCode="General" sourceLinked="0"/>
            </c:trendlineLbl>
          </c:trendline>
          <c:xVal>
            <c:numRef>
              <c:f>final_results!$B$11:$B$12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final_results!$H$11:$H$12</c:f>
              <c:numCache>
                <c:formatCode>0</c:formatCode>
                <c:ptCount val="2"/>
                <c:pt idx="0">
                  <c:v>304.8</c:v>
                </c:pt>
                <c:pt idx="1">
                  <c:v>1249.68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514752"/>
        <c:axId val="109516288"/>
      </c:scatterChart>
      <c:valAx>
        <c:axId val="109514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516288"/>
        <c:crosses val="autoZero"/>
        <c:crossBetween val="midCat"/>
      </c:valAx>
      <c:valAx>
        <c:axId val="1095162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95147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27704221347331581"/>
                  <c:y val="-7.1194225721784774E-4"/>
                </c:manualLayout>
              </c:layout>
              <c:numFmt formatCode="General" sourceLinked="0"/>
            </c:trendlineLbl>
          </c:trendline>
          <c:xVal>
            <c:numRef>
              <c:f>final_results!$B$28:$B$29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final_results!$H$28:$H$29</c:f>
              <c:numCache>
                <c:formatCode>0</c:formatCode>
                <c:ptCount val="2"/>
                <c:pt idx="0">
                  <c:v>285.39999999999998</c:v>
                </c:pt>
                <c:pt idx="1">
                  <c:v>1249.9612643678161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42272"/>
        <c:axId val="109943808"/>
      </c:scatterChart>
      <c:valAx>
        <c:axId val="109942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9943808"/>
        <c:crosses val="autoZero"/>
        <c:crossBetween val="midCat"/>
      </c:valAx>
      <c:valAx>
        <c:axId val="10994380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9942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marker>
            <c:symbol val="none"/>
          </c:marker>
          <c:trendline>
            <c:trendlineType val="poly"/>
            <c:order val="2"/>
            <c:dispRSqr val="1"/>
            <c:dispEq val="1"/>
            <c:trendlineLbl>
              <c:layout>
                <c:manualLayout>
                  <c:x val="-0.1379588801399825"/>
                  <c:y val="-2.8489720034995624E-2"/>
                </c:manualLayout>
              </c:layout>
              <c:numFmt formatCode="General" sourceLinked="0"/>
            </c:trendlineLbl>
          </c:trendline>
          <c:xVal>
            <c:numRef>
              <c:f>final_results!$B$45:$B$46</c:f>
              <c:numCache>
                <c:formatCode>General</c:formatCode>
                <c:ptCount val="2"/>
                <c:pt idx="0">
                  <c:v>10</c:v>
                </c:pt>
                <c:pt idx="1">
                  <c:v>40</c:v>
                </c:pt>
              </c:numCache>
            </c:numRef>
          </c:xVal>
          <c:yVal>
            <c:numRef>
              <c:f>final_results!$H$45:$H$46</c:f>
              <c:numCache>
                <c:formatCode>0</c:formatCode>
                <c:ptCount val="2"/>
                <c:pt idx="0">
                  <c:v>266</c:v>
                </c:pt>
                <c:pt idx="1">
                  <c:v>1250.2425287356323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984768"/>
        <c:axId val="110707456"/>
      </c:scatterChart>
      <c:valAx>
        <c:axId val="109984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707456"/>
        <c:crosses val="autoZero"/>
        <c:crossBetween val="midCat"/>
      </c:valAx>
      <c:valAx>
        <c:axId val="110707456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099847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114754098360656E-2"/>
          <c:y val="0.138365629702423"/>
          <c:w val="0.68237704918032782"/>
          <c:h val="0.65409206768418138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4784559133304557"/>
                  <c:y val="4.427097077102414E-2"/>
                </c:manualLayout>
              </c:layout>
              <c:numFmt formatCode="0.0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sort_10ips_pre_final_results!$L$49:$L$50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sort_10ips_pre_final_results!$K$49:$K$50</c:f>
              <c:numCache>
                <c:formatCode>0.00</c:formatCode>
                <c:ptCount val="2"/>
                <c:pt idx="0">
                  <c:v>118.13725490196079</c:v>
                </c:pt>
                <c:pt idx="1">
                  <c:v>160.78431372549019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905152"/>
        <c:axId val="145907072"/>
      </c:scatterChart>
      <c:valAx>
        <c:axId val="14590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07072"/>
        <c:crosses val="autoZero"/>
        <c:crossBetween val="midCat"/>
      </c:valAx>
      <c:valAx>
        <c:axId val="1459070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5905152"/>
        <c:crosses val="autoZero"/>
        <c:crossBetween val="midCat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37704918032782"/>
          <c:y val="0.38365043992142495"/>
          <c:w val="0.17622950819672134"/>
          <c:h val="0.169812641344360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38174273858919E-2"/>
          <c:y val="0.13548387096774195"/>
          <c:w val="0.71576763485477179"/>
          <c:h val="0.6645161290322581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841487691202173"/>
                  <c:y val="2.6063910353989871E-2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sort_10ips_pre_final_results!$L$49:$L$50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sort_10ips_pre_final_results!$J$49:$J$50</c:f>
              <c:numCache>
                <c:formatCode>0.00</c:formatCode>
                <c:ptCount val="2"/>
                <c:pt idx="0">
                  <c:v>57.910294117647055</c:v>
                </c:pt>
                <c:pt idx="1">
                  <c:v>78.813725490196077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53088"/>
        <c:axId val="100554624"/>
      </c:scatterChart>
      <c:valAx>
        <c:axId val="100553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54624"/>
        <c:crosses val="autoZero"/>
        <c:crossBetween val="midCat"/>
      </c:valAx>
      <c:valAx>
        <c:axId val="1005546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53088"/>
        <c:crosses val="autoZero"/>
        <c:crossBetween val="midCat"/>
        <c:majorUnit val="1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780082987551862"/>
          <c:y val="0.3935483870967742"/>
          <c:w val="0.15560165975103735"/>
          <c:h val="0.148387096774193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98068503734232E-2"/>
          <c:y val="0.14093959731543623"/>
          <c:w val="0.7046428019572496"/>
          <c:h val="0.65100671140939592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4812381126589875"/>
                  <c:y val="6.9902656283438247E-3"/>
                </c:manualLayout>
              </c:layout>
              <c:numFmt formatCode="#,##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sort_10ips_pre_final_results!$L$74:$L$75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sort_10ips_pre_final_results!$M$74:$M$75</c:f>
              <c:numCache>
                <c:formatCode>0.00</c:formatCode>
                <c:ptCount val="2"/>
                <c:pt idx="0">
                  <c:v>1084.5</c:v>
                </c:pt>
                <c:pt idx="1">
                  <c:v>1476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75488"/>
        <c:axId val="100577280"/>
      </c:scatterChart>
      <c:valAx>
        <c:axId val="10057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77280"/>
        <c:crosses val="autoZero"/>
        <c:crossBetween val="midCat"/>
      </c:valAx>
      <c:valAx>
        <c:axId val="100577280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7548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89628669833981"/>
          <c:y val="0.38926174496644295"/>
          <c:w val="0.15822806959256674"/>
          <c:h val="0.15436241610738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67957279967157E-2"/>
          <c:y val="0.15441231909294251"/>
          <c:w val="0.70913098197606073"/>
          <c:h val="0.61764927637177003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31634682617998772"/>
                  <c:y val="2.8733682672226851E-4"/>
                </c:manualLayout>
              </c:layout>
              <c:numFmt formatCode="#,##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sort_10ips_pre_final_results!$L$74:$L$75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sort_10ips_pre_final_results!$K$74:$K$75</c:f>
              <c:numCache>
                <c:formatCode>0.00</c:formatCode>
                <c:ptCount val="2"/>
                <c:pt idx="0">
                  <c:v>123.39989759344597</c:v>
                </c:pt>
                <c:pt idx="1">
                  <c:v>167.94674859190988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89952"/>
        <c:axId val="100591488"/>
      </c:scatterChart>
      <c:valAx>
        <c:axId val="100589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91488"/>
        <c:crosses val="autoZero"/>
        <c:crossBetween val="midCat"/>
      </c:valAx>
      <c:valAx>
        <c:axId val="10059148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58995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78097642253312"/>
          <c:y val="0.38235448510112707"/>
          <c:w val="0.15923589169188246"/>
          <c:h val="0.169118419021151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993076003865093E-2"/>
          <c:y val="0.169355505589661"/>
          <c:w val="0.67915768529265463"/>
          <c:h val="0.58064744773598054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568727190258967"/>
                  <c:y val="-3.9977315026853033E-2"/>
                </c:manualLayout>
              </c:layout>
              <c:numFmt formatCode="#,##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sort_10ips_pre_final_results!$L$74:$L$75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sort_10ips_pre_final_results!$J$74:$J$75</c:f>
              <c:numCache>
                <c:formatCode>0.00</c:formatCode>
                <c:ptCount val="2"/>
                <c:pt idx="0">
                  <c:v>63.184843830005121</c:v>
                </c:pt>
                <c:pt idx="1">
                  <c:v>85.995903737839214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799232"/>
        <c:axId val="100800768"/>
      </c:scatterChart>
      <c:valAx>
        <c:axId val="10079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00768"/>
        <c:crosses val="autoZero"/>
        <c:crossBetween val="midCat"/>
      </c:valAx>
      <c:valAx>
        <c:axId val="100800768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3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79923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56215923829193"/>
          <c:y val="0.37096943527220388"/>
          <c:w val="0.17564427397394999"/>
          <c:h val="0.185484717636101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470046082949302E-2"/>
          <c:y val="0.13725577803167147"/>
          <c:w val="0.67741935483870963"/>
          <c:h val="0.660134932438039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3635256822843667"/>
                  <c:y val="5.9088733184664628E-2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sort_10ips_pre_final_results!$L$100:$L$101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sort_10ips_pre_final_results!$M$100:$M$101</c:f>
              <c:numCache>
                <c:formatCode>0.00</c:formatCode>
                <c:ptCount val="2"/>
                <c:pt idx="0">
                  <c:v>1036.3</c:v>
                </c:pt>
                <c:pt idx="1">
                  <c:v>1410.3999999999999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838016"/>
        <c:axId val="100843904"/>
      </c:scatterChart>
      <c:valAx>
        <c:axId val="10083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43904"/>
        <c:crosses val="autoZero"/>
        <c:crossBetween val="midCat"/>
      </c:valAx>
      <c:valAx>
        <c:axId val="10084390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8380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75576036866359"/>
          <c:y val="0.39215960750004292"/>
          <c:w val="0.17281105990783407"/>
          <c:h val="0.150327483574357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92352229326275E-2"/>
          <c:y val="0.15"/>
          <c:w val="0.65140110975546117"/>
          <c:h val="0.6285714285714285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2876017349099212"/>
                  <c:y val="3.6030127133469037E-2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sort_10ips_pre_final_results!$L$100:$L$101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sort_10ips_pre_final_results!$K$100:$K$101</c:f>
              <c:numCache>
                <c:formatCode>0.00</c:formatCode>
                <c:ptCount val="2"/>
                <c:pt idx="0">
                  <c:v>129.15326902465165</c:v>
                </c:pt>
                <c:pt idx="1">
                  <c:v>175.7770632368703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999936"/>
        <c:axId val="101001472"/>
      </c:scatterChart>
      <c:valAx>
        <c:axId val="100999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01472"/>
        <c:crosses val="autoZero"/>
        <c:crossBetween val="midCat"/>
      </c:valAx>
      <c:valAx>
        <c:axId val="101001472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099993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80594124207759"/>
          <c:y val="0.38571428571428573"/>
          <c:w val="0.19084022894084807"/>
          <c:h val="0.164285714285714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692352229326275E-2"/>
          <c:y val="0.15"/>
          <c:w val="0.65140110975546117"/>
          <c:h val="0.62857142857142856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1"/>
            <c:dispEq val="1"/>
            <c:trendlineLbl>
              <c:layout>
                <c:manualLayout>
                  <c:x val="-0.23241332138944953"/>
                  <c:y val="2.7044605206341535E-4"/>
                </c:manualLayout>
              </c:layout>
              <c:numFmt formatCode="0.0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sort_10ips_pre_final_results!$L$100:$L$101</c:f>
              <c:numCache>
                <c:formatCode>General</c:formatCode>
                <c:ptCount val="2"/>
                <c:pt idx="0">
                  <c:v>241</c:v>
                </c:pt>
                <c:pt idx="1">
                  <c:v>328</c:v>
                </c:pt>
              </c:numCache>
            </c:numRef>
          </c:xVal>
          <c:yVal>
            <c:numRef>
              <c:f>sort_10ips_pre_final_results!$J$100:$J$101</c:f>
              <c:numCache>
                <c:formatCode>0.00</c:formatCode>
                <c:ptCount val="2"/>
                <c:pt idx="0">
                  <c:v>69.212218649517681</c:v>
                </c:pt>
                <c:pt idx="1">
                  <c:v>94.20150053590568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018240"/>
        <c:axId val="101036416"/>
      </c:scatterChart>
      <c:valAx>
        <c:axId val="101018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36416"/>
        <c:crosses val="autoZero"/>
        <c:crossBetween val="midCat"/>
      </c:valAx>
      <c:valAx>
        <c:axId val="101036416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101824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880594124207759"/>
          <c:y val="0.38571428571428573"/>
          <c:w val="0.19084022894084807"/>
          <c:h val="0.1642857142857143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44</xdr:row>
      <xdr:rowOff>171450</xdr:rowOff>
    </xdr:from>
    <xdr:to>
      <xdr:col>7</xdr:col>
      <xdr:colOff>38100</xdr:colOff>
      <xdr:row>51</xdr:row>
      <xdr:rowOff>114300</xdr:rowOff>
    </xdr:to>
    <xdr:graphicFrame macro="">
      <xdr:nvGraphicFramePr>
        <xdr:cNvPr id="15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52</xdr:row>
      <xdr:rowOff>0</xdr:rowOff>
    </xdr:from>
    <xdr:to>
      <xdr:col>6</xdr:col>
      <xdr:colOff>600075</xdr:colOff>
      <xdr:row>59</xdr:row>
      <xdr:rowOff>114300</xdr:rowOff>
    </xdr:to>
    <xdr:graphicFrame macro="">
      <xdr:nvGraphicFramePr>
        <xdr:cNvPr id="15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371475</xdr:colOff>
      <xdr:row>60</xdr:row>
      <xdr:rowOff>114300</xdr:rowOff>
    </xdr:from>
    <xdr:to>
      <xdr:col>6</xdr:col>
      <xdr:colOff>571500</xdr:colOff>
      <xdr:row>67</xdr:row>
      <xdr:rowOff>190500</xdr:rowOff>
    </xdr:to>
    <xdr:graphicFrame macro="">
      <xdr:nvGraphicFramePr>
        <xdr:cNvPr id="15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381000</xdr:colOff>
      <xdr:row>71</xdr:row>
      <xdr:rowOff>57150</xdr:rowOff>
    </xdr:from>
    <xdr:to>
      <xdr:col>6</xdr:col>
      <xdr:colOff>504825</xdr:colOff>
      <xdr:row>78</xdr:row>
      <xdr:rowOff>76200</xdr:rowOff>
    </xdr:to>
    <xdr:graphicFrame macro="">
      <xdr:nvGraphicFramePr>
        <xdr:cNvPr id="152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390525</xdr:colOff>
      <xdr:row>79</xdr:row>
      <xdr:rowOff>19050</xdr:rowOff>
    </xdr:from>
    <xdr:to>
      <xdr:col>6</xdr:col>
      <xdr:colOff>485775</xdr:colOff>
      <xdr:row>85</xdr:row>
      <xdr:rowOff>114300</xdr:rowOff>
    </xdr:to>
    <xdr:graphicFrame macro="">
      <xdr:nvGraphicFramePr>
        <xdr:cNvPr id="1530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209550</xdr:colOff>
      <xdr:row>86</xdr:row>
      <xdr:rowOff>123825</xdr:rowOff>
    </xdr:from>
    <xdr:to>
      <xdr:col>6</xdr:col>
      <xdr:colOff>495300</xdr:colOff>
      <xdr:row>92</xdr:row>
      <xdr:rowOff>104775</xdr:rowOff>
    </xdr:to>
    <xdr:graphicFrame macro="">
      <xdr:nvGraphicFramePr>
        <xdr:cNvPr id="1531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504825</xdr:colOff>
      <xdr:row>96</xdr:row>
      <xdr:rowOff>66675</xdr:rowOff>
    </xdr:from>
    <xdr:to>
      <xdr:col>6</xdr:col>
      <xdr:colOff>247650</xdr:colOff>
      <xdr:row>103</xdr:row>
      <xdr:rowOff>123825</xdr:rowOff>
    </xdr:to>
    <xdr:graphicFrame macro="">
      <xdr:nvGraphicFramePr>
        <xdr:cNvPr id="1532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38100</xdr:colOff>
      <xdr:row>104</xdr:row>
      <xdr:rowOff>76200</xdr:rowOff>
    </xdr:from>
    <xdr:to>
      <xdr:col>6</xdr:col>
      <xdr:colOff>0</xdr:colOff>
      <xdr:row>111</xdr:row>
      <xdr:rowOff>9525</xdr:rowOff>
    </xdr:to>
    <xdr:graphicFrame macro="">
      <xdr:nvGraphicFramePr>
        <xdr:cNvPr id="1533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</xdr:colOff>
      <xdr:row>112</xdr:row>
      <xdr:rowOff>19050</xdr:rowOff>
    </xdr:from>
    <xdr:to>
      <xdr:col>5</xdr:col>
      <xdr:colOff>581025</xdr:colOff>
      <xdr:row>118</xdr:row>
      <xdr:rowOff>152400</xdr:rowOff>
    </xdr:to>
    <xdr:graphicFrame macro="">
      <xdr:nvGraphicFramePr>
        <xdr:cNvPr id="15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123825</xdr:colOff>
      <xdr:row>119</xdr:row>
      <xdr:rowOff>161925</xdr:rowOff>
    </xdr:from>
    <xdr:to>
      <xdr:col>5</xdr:col>
      <xdr:colOff>390525</xdr:colOff>
      <xdr:row>129</xdr:row>
      <xdr:rowOff>19050</xdr:rowOff>
    </xdr:to>
    <xdr:graphicFrame macro="">
      <xdr:nvGraphicFramePr>
        <xdr:cNvPr id="1535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18</xdr:col>
      <xdr:colOff>514350</xdr:colOff>
      <xdr:row>205</xdr:row>
      <xdr:rowOff>114300</xdr:rowOff>
    </xdr:from>
    <xdr:to>
      <xdr:col>24</xdr:col>
      <xdr:colOff>485775</xdr:colOff>
      <xdr:row>216</xdr:row>
      <xdr:rowOff>152400</xdr:rowOff>
    </xdr:to>
    <xdr:graphicFrame macro="">
      <xdr:nvGraphicFramePr>
        <xdr:cNvPr id="15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18</xdr:col>
      <xdr:colOff>400050</xdr:colOff>
      <xdr:row>222</xdr:row>
      <xdr:rowOff>142875</xdr:rowOff>
    </xdr:from>
    <xdr:to>
      <xdr:col>24</xdr:col>
      <xdr:colOff>371475</xdr:colOff>
      <xdr:row>234</xdr:row>
      <xdr:rowOff>28575</xdr:rowOff>
    </xdr:to>
    <xdr:graphicFrame macro="">
      <xdr:nvGraphicFramePr>
        <xdr:cNvPr id="153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352425</xdr:colOff>
      <xdr:row>239</xdr:row>
      <xdr:rowOff>161925</xdr:rowOff>
    </xdr:from>
    <xdr:to>
      <xdr:col>24</xdr:col>
      <xdr:colOff>333375</xdr:colOff>
      <xdr:row>251</xdr:row>
      <xdr:rowOff>38100</xdr:rowOff>
    </xdr:to>
    <xdr:graphicFrame macro="">
      <xdr:nvGraphicFramePr>
        <xdr:cNvPr id="153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302685</xdr:colOff>
      <xdr:row>0</xdr:row>
      <xdr:rowOff>0</xdr:rowOff>
    </xdr:from>
    <xdr:to>
      <xdr:col>18</xdr:col>
      <xdr:colOff>590551</xdr:colOff>
      <xdr:row>11</xdr:row>
      <xdr:rowOff>59266</xdr:rowOff>
    </xdr:to>
    <xdr:graphicFrame macro="">
      <xdr:nvGraphicFramePr>
        <xdr:cNvPr id="1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283633</xdr:colOff>
      <xdr:row>23</xdr:row>
      <xdr:rowOff>79375</xdr:rowOff>
    </xdr:from>
    <xdr:to>
      <xdr:col>17</xdr:col>
      <xdr:colOff>571499</xdr:colOff>
      <xdr:row>34</xdr:row>
      <xdr:rowOff>119591</xdr:rowOff>
    </xdr:to>
    <xdr:graphicFrame macro="">
      <xdr:nvGraphicFramePr>
        <xdr:cNvPr id="1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310092</xdr:colOff>
      <xdr:row>40</xdr:row>
      <xdr:rowOff>130175</xdr:rowOff>
    </xdr:from>
    <xdr:to>
      <xdr:col>17</xdr:col>
      <xdr:colOff>597958</xdr:colOff>
      <xdr:row>52</xdr:row>
      <xdr:rowOff>11642</xdr:rowOff>
    </xdr:to>
    <xdr:graphicFrame macro="">
      <xdr:nvGraphicFramePr>
        <xdr:cNvPr id="1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497417</xdr:colOff>
      <xdr:row>11</xdr:row>
      <xdr:rowOff>74083</xdr:rowOff>
    </xdr:from>
    <xdr:to>
      <xdr:col>28</xdr:col>
      <xdr:colOff>42334</xdr:colOff>
      <xdr:row>11</xdr:row>
      <xdr:rowOff>84666</xdr:rowOff>
    </xdr:to>
    <xdr:cxnSp macro="">
      <xdr:nvCxnSpPr>
        <xdr:cNvPr id="16" name="Straight Arrow Connector 15"/>
        <xdr:cNvCxnSpPr/>
      </xdr:nvCxnSpPr>
      <xdr:spPr>
        <a:xfrm>
          <a:off x="14626167" y="1841500"/>
          <a:ext cx="2000250" cy="105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518584</xdr:colOff>
      <xdr:row>16</xdr:row>
      <xdr:rowOff>105834</xdr:rowOff>
    </xdr:from>
    <xdr:to>
      <xdr:col>2</xdr:col>
      <xdr:colOff>84666</xdr:colOff>
      <xdr:row>17</xdr:row>
      <xdr:rowOff>21167</xdr:rowOff>
    </xdr:to>
    <xdr:cxnSp macro="">
      <xdr:nvCxnSpPr>
        <xdr:cNvPr id="3" name="Straight Arrow Connector 2"/>
        <xdr:cNvCxnSpPr/>
      </xdr:nvCxnSpPr>
      <xdr:spPr>
        <a:xfrm flipV="1">
          <a:off x="1132417" y="2688167"/>
          <a:ext cx="179916" cy="7408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65"/>
  <sheetViews>
    <sheetView zoomScale="90" workbookViewId="0"/>
  </sheetViews>
  <sheetFormatPr defaultRowHeight="12.75" x14ac:dyDescent="0.2"/>
  <cols>
    <col min="3" max="3" width="20.140625" customWidth="1"/>
    <col min="4" max="4" width="6.42578125" customWidth="1"/>
  </cols>
  <sheetData>
    <row r="1" spans="2:14" ht="15.95" customHeight="1" x14ac:dyDescent="0.2"/>
    <row r="2" spans="2:14" ht="15.95" customHeight="1" x14ac:dyDescent="0.2"/>
    <row r="3" spans="2:14" ht="15.95" customHeight="1" x14ac:dyDescent="0.2">
      <c r="B3" s="1">
        <v>1505</v>
      </c>
      <c r="C3" s="2" t="s">
        <v>40</v>
      </c>
      <c r="D3" s="2"/>
      <c r="E3" s="1">
        <v>-5</v>
      </c>
      <c r="F3" s="3">
        <v>-31</v>
      </c>
      <c r="G3" s="1">
        <v>-55</v>
      </c>
      <c r="H3" s="1">
        <v>-83</v>
      </c>
      <c r="I3" s="3">
        <v>-110</v>
      </c>
      <c r="J3" s="1">
        <v>-248</v>
      </c>
      <c r="K3" s="1">
        <v>-541</v>
      </c>
      <c r="L3" s="1">
        <v>-877</v>
      </c>
      <c r="M3" s="3">
        <v>-1225</v>
      </c>
      <c r="N3" s="1">
        <v>-1551</v>
      </c>
    </row>
    <row r="4" spans="2:14" ht="15.95" customHeight="1" x14ac:dyDescent="0.2">
      <c r="B4" s="1" t="s">
        <v>1</v>
      </c>
      <c r="C4" s="2" t="s">
        <v>44</v>
      </c>
      <c r="D4" s="2"/>
      <c r="E4" s="1">
        <v>-33</v>
      </c>
      <c r="F4" s="3">
        <v>-58</v>
      </c>
      <c r="G4" s="1">
        <v>-79</v>
      </c>
      <c r="H4" s="1">
        <v>-100</v>
      </c>
      <c r="I4" s="3">
        <v>-122</v>
      </c>
      <c r="J4" s="1">
        <v>-238</v>
      </c>
      <c r="K4" s="1">
        <v>-493</v>
      </c>
      <c r="L4" s="1">
        <v>-872</v>
      </c>
      <c r="M4" s="3">
        <v>-1089</v>
      </c>
      <c r="N4" s="1">
        <v>-1401</v>
      </c>
    </row>
    <row r="5" spans="2:14" ht="15.95" customHeight="1" x14ac:dyDescent="0.2">
      <c r="B5" s="1" t="s">
        <v>0</v>
      </c>
      <c r="C5" s="2" t="s">
        <v>44</v>
      </c>
      <c r="D5" s="2"/>
      <c r="E5" s="1">
        <v>-32</v>
      </c>
      <c r="F5" s="3">
        <v>-58</v>
      </c>
      <c r="G5" s="1">
        <v>-77</v>
      </c>
      <c r="H5" s="1">
        <v>-96</v>
      </c>
      <c r="I5" s="3">
        <v>-117</v>
      </c>
      <c r="J5" s="1">
        <v>-231</v>
      </c>
      <c r="K5" s="1">
        <v>-483</v>
      </c>
      <c r="L5" s="1">
        <v>-767</v>
      </c>
      <c r="M5" s="3">
        <v>-1064</v>
      </c>
      <c r="N5" s="1">
        <v>-1379</v>
      </c>
    </row>
    <row r="6" spans="2:14" ht="15.95" customHeight="1" x14ac:dyDescent="0.2">
      <c r="B6" s="1" t="s">
        <v>4</v>
      </c>
      <c r="C6" s="2" t="s">
        <v>42</v>
      </c>
      <c r="D6" s="2"/>
      <c r="E6" s="1">
        <v>-27</v>
      </c>
      <c r="F6" s="3">
        <v>-60</v>
      </c>
      <c r="G6" s="1">
        <v>-87</v>
      </c>
      <c r="H6" s="1">
        <v>-110</v>
      </c>
      <c r="I6" s="3">
        <v>-132</v>
      </c>
      <c r="J6" s="1">
        <v>-271</v>
      </c>
      <c r="K6" s="1">
        <v>-588</v>
      </c>
      <c r="L6" s="1">
        <v>-926</v>
      </c>
      <c r="M6" s="3">
        <v>-1282</v>
      </c>
      <c r="N6" s="1">
        <v>-1629</v>
      </c>
    </row>
    <row r="7" spans="2:14" ht="15.95" customHeight="1" x14ac:dyDescent="0.2">
      <c r="B7" s="1" t="s">
        <v>23</v>
      </c>
      <c r="C7" s="2" t="s">
        <v>41</v>
      </c>
      <c r="D7" s="2"/>
      <c r="E7" s="1">
        <v>-28</v>
      </c>
      <c r="F7" s="3">
        <v>-61</v>
      </c>
      <c r="G7" s="1">
        <v>-89</v>
      </c>
      <c r="H7" s="1">
        <v>-114</v>
      </c>
      <c r="I7" s="3">
        <v>-151</v>
      </c>
      <c r="J7" s="1">
        <v>-262</v>
      </c>
      <c r="K7" s="1">
        <v>-555</v>
      </c>
      <c r="L7" s="1">
        <v>-886</v>
      </c>
      <c r="M7" s="3">
        <v>-1227</v>
      </c>
      <c r="N7" s="1">
        <v>-1536</v>
      </c>
    </row>
    <row r="8" spans="2:14" ht="15.95" customHeight="1" x14ac:dyDescent="0.2">
      <c r="B8" s="1" t="s">
        <v>16</v>
      </c>
      <c r="C8" s="2" t="s">
        <v>41</v>
      </c>
      <c r="D8" s="2"/>
      <c r="E8" s="1">
        <v>-30</v>
      </c>
      <c r="F8" s="3">
        <v>-61</v>
      </c>
      <c r="G8" s="1">
        <v>-89</v>
      </c>
      <c r="H8" s="1">
        <v>-119</v>
      </c>
      <c r="I8" s="3">
        <v>-144</v>
      </c>
      <c r="J8" s="1">
        <v>-278</v>
      </c>
      <c r="K8" s="1">
        <v>-587</v>
      </c>
      <c r="L8" s="1">
        <v>-957</v>
      </c>
      <c r="M8" s="3">
        <v>-1318</v>
      </c>
      <c r="N8" s="1">
        <v>-1635</v>
      </c>
    </row>
    <row r="9" spans="2:14" ht="15.95" customHeight="1" x14ac:dyDescent="0.2">
      <c r="B9" s="1" t="s">
        <v>17</v>
      </c>
      <c r="C9" s="2" t="s">
        <v>45</v>
      </c>
      <c r="D9" s="2"/>
      <c r="E9" s="1">
        <v>-34</v>
      </c>
      <c r="F9" s="3">
        <v>-62</v>
      </c>
      <c r="G9" s="1">
        <v>-94</v>
      </c>
      <c r="H9" s="1">
        <v>-120</v>
      </c>
      <c r="I9" s="3">
        <v>-145</v>
      </c>
      <c r="J9" s="1">
        <v>-279</v>
      </c>
      <c r="K9" s="1">
        <v>-586</v>
      </c>
      <c r="L9" s="1">
        <v>-936</v>
      </c>
      <c r="M9" s="3">
        <v>-1291</v>
      </c>
      <c r="N9" s="1">
        <v>-1634</v>
      </c>
    </row>
    <row r="10" spans="2:14" ht="15.95" customHeight="1" x14ac:dyDescent="0.2">
      <c r="B10" s="1" t="s">
        <v>12</v>
      </c>
      <c r="C10" s="2" t="s">
        <v>46</v>
      </c>
      <c r="D10" s="2"/>
      <c r="E10" s="1">
        <v>-32</v>
      </c>
      <c r="F10" s="3">
        <v>-62</v>
      </c>
      <c r="G10" s="1">
        <v>-91</v>
      </c>
      <c r="H10" s="1">
        <v>-117</v>
      </c>
      <c r="I10" s="3">
        <v>-141</v>
      </c>
      <c r="J10" s="1">
        <v>-261</v>
      </c>
      <c r="K10" s="1">
        <v>-541</v>
      </c>
      <c r="L10" s="1">
        <v>-839</v>
      </c>
      <c r="M10" s="3">
        <v>-1168</v>
      </c>
      <c r="N10" s="1">
        <v>-1492</v>
      </c>
    </row>
    <row r="11" spans="2:14" ht="15.95" customHeight="1" x14ac:dyDescent="0.2">
      <c r="B11" s="1" t="s">
        <v>24</v>
      </c>
      <c r="C11" s="2" t="s">
        <v>41</v>
      </c>
      <c r="D11" s="2"/>
      <c r="E11" s="1">
        <v>-25</v>
      </c>
      <c r="F11" s="3">
        <v>-63</v>
      </c>
      <c r="G11" s="1">
        <v>-95</v>
      </c>
      <c r="H11" s="1">
        <v>-124</v>
      </c>
      <c r="I11" s="3">
        <v>-152</v>
      </c>
      <c r="J11" s="1">
        <v>-290</v>
      </c>
      <c r="K11" s="1">
        <v>-597</v>
      </c>
      <c r="L11" s="1">
        <v>-958</v>
      </c>
      <c r="M11" s="3">
        <v>-1311</v>
      </c>
      <c r="N11" s="1">
        <v>-1625</v>
      </c>
    </row>
    <row r="12" spans="2:14" ht="15.95" customHeight="1" x14ac:dyDescent="0.2">
      <c r="B12" s="1" t="s">
        <v>8</v>
      </c>
      <c r="C12" s="2" t="s">
        <v>42</v>
      </c>
      <c r="D12" s="2"/>
      <c r="E12" s="1">
        <v>-36</v>
      </c>
      <c r="F12" s="3">
        <v>-63</v>
      </c>
      <c r="G12" s="1">
        <v>-85</v>
      </c>
      <c r="H12" s="1">
        <v>-110</v>
      </c>
      <c r="I12" s="3">
        <v>-136</v>
      </c>
      <c r="J12" s="1">
        <v>-275</v>
      </c>
      <c r="K12" s="1">
        <v>-582</v>
      </c>
      <c r="L12" s="1">
        <v>-927</v>
      </c>
      <c r="M12" s="3">
        <v>-1287</v>
      </c>
      <c r="N12" s="1">
        <v>-1638</v>
      </c>
    </row>
    <row r="13" spans="2:14" ht="15.95" customHeight="1" x14ac:dyDescent="0.2">
      <c r="B13" s="1" t="s">
        <v>3</v>
      </c>
      <c r="C13" s="2" t="s">
        <v>42</v>
      </c>
      <c r="D13" s="2"/>
      <c r="E13" s="1">
        <v>-40</v>
      </c>
      <c r="F13" s="3">
        <v>-63</v>
      </c>
      <c r="G13" s="1">
        <v>-84</v>
      </c>
      <c r="H13" s="1">
        <v>-107</v>
      </c>
      <c r="I13" s="3">
        <v>-130</v>
      </c>
      <c r="J13" s="1">
        <v>-256</v>
      </c>
      <c r="K13" s="1">
        <v>-528</v>
      </c>
      <c r="L13" s="1">
        <v>-828</v>
      </c>
      <c r="M13" s="3">
        <v>-1143</v>
      </c>
      <c r="N13" s="1">
        <v>-1462</v>
      </c>
    </row>
    <row r="14" spans="2:14" ht="15.95" customHeight="1" x14ac:dyDescent="0.2">
      <c r="B14" s="1" t="s">
        <v>30</v>
      </c>
      <c r="C14" s="2" t="s">
        <v>41</v>
      </c>
      <c r="D14" s="2"/>
      <c r="E14" s="1">
        <v>-31</v>
      </c>
      <c r="F14" s="3">
        <v>-64</v>
      </c>
      <c r="G14" s="1">
        <v>-97</v>
      </c>
      <c r="H14" s="1">
        <v>-124</v>
      </c>
      <c r="I14" s="3">
        <v>-155</v>
      </c>
      <c r="J14" s="1">
        <v>-296</v>
      </c>
      <c r="K14" s="1">
        <v>-616</v>
      </c>
      <c r="L14" s="1">
        <v>-987</v>
      </c>
      <c r="M14" s="3">
        <v>-1381</v>
      </c>
      <c r="N14" s="1">
        <v>-1725</v>
      </c>
    </row>
    <row r="15" spans="2:14" ht="15.95" customHeight="1" x14ac:dyDescent="0.2">
      <c r="B15" s="1" t="s">
        <v>2</v>
      </c>
      <c r="C15" s="2" t="s">
        <v>44</v>
      </c>
      <c r="D15" s="2"/>
      <c r="E15" s="1">
        <v>-40</v>
      </c>
      <c r="F15" s="3">
        <v>-64</v>
      </c>
      <c r="G15" s="1">
        <v>-85</v>
      </c>
      <c r="H15" s="1">
        <v>-104</v>
      </c>
      <c r="I15" s="3">
        <v>-126</v>
      </c>
      <c r="J15" s="1">
        <v>-241</v>
      </c>
      <c r="K15" s="1">
        <v>-496</v>
      </c>
      <c r="L15" s="1">
        <v>-778</v>
      </c>
      <c r="M15" s="3">
        <v>-1081</v>
      </c>
      <c r="N15" s="1">
        <v>-1383</v>
      </c>
    </row>
    <row r="16" spans="2:14" ht="15.95" customHeight="1" x14ac:dyDescent="0.2">
      <c r="B16" s="1" t="s">
        <v>6</v>
      </c>
      <c r="C16" s="2" t="s">
        <v>45</v>
      </c>
      <c r="D16" s="2"/>
      <c r="E16" s="1">
        <v>-36</v>
      </c>
      <c r="F16" s="3">
        <v>-64</v>
      </c>
      <c r="G16" s="1">
        <v>-90</v>
      </c>
      <c r="H16" s="1">
        <v>-113</v>
      </c>
      <c r="I16" s="3">
        <v>-134</v>
      </c>
      <c r="J16" s="1">
        <v>-255</v>
      </c>
      <c r="K16" s="1">
        <v>-543</v>
      </c>
      <c r="L16" s="1">
        <v>-860</v>
      </c>
      <c r="M16" s="3">
        <v>-1203</v>
      </c>
      <c r="N16" s="1">
        <v>-1559</v>
      </c>
    </row>
    <row r="17" spans="2:14" ht="15.95" customHeight="1" x14ac:dyDescent="0.2">
      <c r="B17" s="1" t="s">
        <v>28</v>
      </c>
      <c r="C17" s="2" t="s">
        <v>47</v>
      </c>
      <c r="D17" s="2"/>
      <c r="E17" s="1">
        <v>-27</v>
      </c>
      <c r="F17" s="3">
        <v>-65</v>
      </c>
      <c r="G17" s="1">
        <v>-95</v>
      </c>
      <c r="H17" s="1">
        <v>-125</v>
      </c>
      <c r="I17" s="3">
        <v>-153</v>
      </c>
      <c r="J17" s="1">
        <v>-298</v>
      </c>
      <c r="K17" s="1">
        <v>-621</v>
      </c>
      <c r="L17" s="1">
        <v>-1006</v>
      </c>
      <c r="M17" s="3">
        <v>-1352</v>
      </c>
      <c r="N17" s="1">
        <v>-1686</v>
      </c>
    </row>
    <row r="18" spans="2:14" ht="15.95" customHeight="1" x14ac:dyDescent="0.2">
      <c r="B18" s="1" t="s">
        <v>5</v>
      </c>
      <c r="C18" s="2" t="s">
        <v>42</v>
      </c>
      <c r="D18" s="2"/>
      <c r="E18" s="1">
        <v>-39</v>
      </c>
      <c r="F18" s="3">
        <v>-65</v>
      </c>
      <c r="G18" s="1">
        <v>-86</v>
      </c>
      <c r="H18" s="1">
        <v>-109</v>
      </c>
      <c r="I18" s="3">
        <v>-133</v>
      </c>
      <c r="J18" s="1">
        <v>-257</v>
      </c>
      <c r="K18" s="1">
        <v>-532</v>
      </c>
      <c r="L18" s="1">
        <v>-828</v>
      </c>
      <c r="M18" s="3">
        <v>-1139</v>
      </c>
      <c r="N18" s="1">
        <v>-1461</v>
      </c>
    </row>
    <row r="19" spans="2:14" ht="15.95" customHeight="1" x14ac:dyDescent="0.2">
      <c r="B19" s="1" t="s">
        <v>29</v>
      </c>
      <c r="C19" s="2" t="s">
        <v>44</v>
      </c>
      <c r="D19" s="2"/>
      <c r="E19" s="1">
        <v>-33</v>
      </c>
      <c r="F19" s="3">
        <v>-65</v>
      </c>
      <c r="G19" s="1">
        <v>-92</v>
      </c>
      <c r="H19" s="1">
        <v>-123</v>
      </c>
      <c r="I19" s="3">
        <v>-153</v>
      </c>
      <c r="J19" s="1">
        <v>-302</v>
      </c>
      <c r="K19" s="1">
        <v>-625</v>
      </c>
      <c r="L19" s="1">
        <v>-983</v>
      </c>
      <c r="M19" s="3">
        <v>-1358</v>
      </c>
      <c r="N19" s="1">
        <v>-1728</v>
      </c>
    </row>
    <row r="20" spans="2:14" ht="15.95" customHeight="1" x14ac:dyDescent="0.2">
      <c r="B20" s="1" t="s">
        <v>7</v>
      </c>
      <c r="C20" s="2" t="s">
        <v>43</v>
      </c>
      <c r="D20" s="2"/>
      <c r="E20" s="1">
        <v>-39</v>
      </c>
      <c r="F20" s="3">
        <v>-66</v>
      </c>
      <c r="G20" s="1">
        <v>-91</v>
      </c>
      <c r="H20" s="1">
        <v>-116</v>
      </c>
      <c r="I20" s="3">
        <v>-135</v>
      </c>
      <c r="J20" s="1">
        <v>-259</v>
      </c>
      <c r="K20" s="1">
        <v>-545</v>
      </c>
      <c r="L20" s="1">
        <v>-866</v>
      </c>
      <c r="M20" s="3">
        <v>-1228</v>
      </c>
      <c r="N20" s="1">
        <v>-1602</v>
      </c>
    </row>
    <row r="21" spans="2:14" ht="15.95" customHeight="1" x14ac:dyDescent="0.2">
      <c r="B21" s="1" t="s">
        <v>22</v>
      </c>
      <c r="C21" s="2" t="s">
        <v>45</v>
      </c>
      <c r="D21" s="2"/>
      <c r="E21" s="1">
        <v>-35</v>
      </c>
      <c r="F21" s="3">
        <v>-67</v>
      </c>
      <c r="G21" s="1">
        <v>-99</v>
      </c>
      <c r="H21" s="1">
        <v>-125</v>
      </c>
      <c r="I21" s="3">
        <v>-150</v>
      </c>
      <c r="J21" s="1">
        <v>-292</v>
      </c>
      <c r="K21" s="1">
        <v>-616</v>
      </c>
      <c r="L21" s="1">
        <v>-970</v>
      </c>
      <c r="M21" s="3">
        <v>-1333</v>
      </c>
      <c r="N21" s="1">
        <v>-1666</v>
      </c>
    </row>
    <row r="22" spans="2:14" ht="15.95" customHeight="1" x14ac:dyDescent="0.2">
      <c r="B22" s="1" t="s">
        <v>9</v>
      </c>
      <c r="C22" s="2" t="s">
        <v>42</v>
      </c>
      <c r="D22" s="2"/>
      <c r="E22" s="1">
        <v>-43</v>
      </c>
      <c r="F22" s="3">
        <v>-68</v>
      </c>
      <c r="G22" s="1">
        <v>-88</v>
      </c>
      <c r="H22" s="1">
        <v>-111</v>
      </c>
      <c r="I22" s="3">
        <v>-136</v>
      </c>
      <c r="J22" s="1">
        <v>-264</v>
      </c>
      <c r="K22" s="1">
        <v>-536</v>
      </c>
      <c r="L22" s="1">
        <v>-839</v>
      </c>
      <c r="M22" s="3">
        <v>-1146</v>
      </c>
      <c r="N22" s="1">
        <v>-1461</v>
      </c>
    </row>
    <row r="23" spans="2:14" ht="15.95" customHeight="1" x14ac:dyDescent="0.2">
      <c r="B23" s="1" t="s">
        <v>18</v>
      </c>
      <c r="C23" s="2" t="s">
        <v>44</v>
      </c>
      <c r="D23" s="2"/>
      <c r="E23" s="1">
        <v>-36</v>
      </c>
      <c r="F23" s="3">
        <v>-68</v>
      </c>
      <c r="G23" s="1">
        <v>-94</v>
      </c>
      <c r="H23" s="1">
        <v>-121</v>
      </c>
      <c r="I23" s="3">
        <v>-148</v>
      </c>
      <c r="J23" s="1">
        <v>-291</v>
      </c>
      <c r="K23" s="1">
        <v>-625</v>
      </c>
      <c r="L23" s="1">
        <v>-986</v>
      </c>
      <c r="M23" s="3">
        <v>-1365</v>
      </c>
      <c r="N23" s="1">
        <v>-1728</v>
      </c>
    </row>
    <row r="24" spans="2:14" ht="15.95" customHeight="1" x14ac:dyDescent="0.2">
      <c r="B24" s="1" t="s">
        <v>35</v>
      </c>
      <c r="C24" s="2" t="s">
        <v>48</v>
      </c>
      <c r="D24" s="2"/>
      <c r="E24" s="1">
        <v>-25</v>
      </c>
      <c r="F24" s="3">
        <v>-69</v>
      </c>
      <c r="G24" s="1">
        <v>-106</v>
      </c>
      <c r="H24" s="1">
        <v>-140</v>
      </c>
      <c r="I24" s="3">
        <v>-170</v>
      </c>
      <c r="J24" s="1">
        <v>-322</v>
      </c>
      <c r="K24" s="1">
        <v>-649</v>
      </c>
      <c r="L24" s="1">
        <v>-1013</v>
      </c>
      <c r="M24" s="3">
        <v>-1410</v>
      </c>
      <c r="N24" s="1">
        <v>-1765</v>
      </c>
    </row>
    <row r="25" spans="2:14" ht="15.95" customHeight="1" x14ac:dyDescent="0.2">
      <c r="B25" s="1" t="s">
        <v>13</v>
      </c>
      <c r="C25" s="2" t="s">
        <v>49</v>
      </c>
      <c r="D25" s="2"/>
      <c r="E25" s="1">
        <v>-41</v>
      </c>
      <c r="F25" s="3">
        <v>-70</v>
      </c>
      <c r="G25" s="1">
        <v>-93</v>
      </c>
      <c r="H25" s="1">
        <v>-117</v>
      </c>
      <c r="I25" s="3">
        <v>-141</v>
      </c>
      <c r="J25" s="1">
        <v>-277</v>
      </c>
      <c r="K25" s="1">
        <v>-571</v>
      </c>
      <c r="L25" s="1">
        <v>-908</v>
      </c>
      <c r="M25" s="3">
        <v>-1249</v>
      </c>
      <c r="N25" s="1">
        <v>-1567</v>
      </c>
    </row>
    <row r="26" spans="2:14" ht="15.95" customHeight="1" x14ac:dyDescent="0.2">
      <c r="B26" s="1" t="s">
        <v>11</v>
      </c>
      <c r="C26" s="2" t="s">
        <v>48</v>
      </c>
      <c r="D26" s="2"/>
      <c r="E26" s="1">
        <v>-43</v>
      </c>
      <c r="F26" s="3">
        <v>-72</v>
      </c>
      <c r="G26" s="1">
        <v>-95</v>
      </c>
      <c r="H26" s="1">
        <v>-118</v>
      </c>
      <c r="I26" s="3">
        <v>-139</v>
      </c>
      <c r="J26" s="1">
        <v>-261</v>
      </c>
      <c r="K26" s="1">
        <v>-548</v>
      </c>
      <c r="L26" s="1">
        <v>-910</v>
      </c>
      <c r="M26" s="3">
        <v>-1291</v>
      </c>
      <c r="N26" s="1">
        <v>-1655</v>
      </c>
    </row>
    <row r="27" spans="2:14" ht="15.95" customHeight="1" x14ac:dyDescent="0.2">
      <c r="B27" s="1" t="s">
        <v>15</v>
      </c>
      <c r="C27" s="2" t="s">
        <v>45</v>
      </c>
      <c r="D27" s="2"/>
      <c r="E27" s="1">
        <v>-40</v>
      </c>
      <c r="F27" s="3">
        <v>-72</v>
      </c>
      <c r="G27" s="1">
        <v>-98</v>
      </c>
      <c r="H27" s="1">
        <v>-122</v>
      </c>
      <c r="I27" s="3">
        <v>-143</v>
      </c>
      <c r="J27" s="1">
        <v>-265</v>
      </c>
      <c r="K27" s="1">
        <v>-564</v>
      </c>
      <c r="L27" s="1">
        <v>-894</v>
      </c>
      <c r="M27" s="3">
        <v>-1238</v>
      </c>
      <c r="N27" s="1">
        <v>-1597</v>
      </c>
    </row>
    <row r="28" spans="2:14" ht="15.95" customHeight="1" x14ac:dyDescent="0.2">
      <c r="B28" s="1" t="s">
        <v>14</v>
      </c>
      <c r="C28" s="2" t="s">
        <v>42</v>
      </c>
      <c r="D28" s="2"/>
      <c r="E28" s="1">
        <v>-45</v>
      </c>
      <c r="F28" s="3">
        <v>-73</v>
      </c>
      <c r="G28" s="1">
        <v>-95</v>
      </c>
      <c r="H28" s="1">
        <v>-118</v>
      </c>
      <c r="I28" s="3">
        <v>-142</v>
      </c>
      <c r="J28" s="1">
        <v>-267</v>
      </c>
      <c r="K28" s="1">
        <v>-537</v>
      </c>
      <c r="L28" s="1">
        <v>-831</v>
      </c>
      <c r="M28" s="3">
        <v>-1147</v>
      </c>
      <c r="N28" s="1">
        <v>-1463</v>
      </c>
    </row>
    <row r="29" spans="2:14" ht="15.95" customHeight="1" x14ac:dyDescent="0.2">
      <c r="B29" s="1" t="s">
        <v>10</v>
      </c>
      <c r="C29" s="2" t="s">
        <v>50</v>
      </c>
      <c r="D29" s="2"/>
      <c r="E29" s="1">
        <v>-49</v>
      </c>
      <c r="F29" s="3">
        <v>-73</v>
      </c>
      <c r="G29" s="1">
        <v>-96</v>
      </c>
      <c r="H29" s="1">
        <v>-116</v>
      </c>
      <c r="I29" s="3">
        <v>-138</v>
      </c>
      <c r="J29" s="1">
        <v>-256</v>
      </c>
      <c r="K29" s="1">
        <v>-537</v>
      </c>
      <c r="L29" s="1">
        <v>-859</v>
      </c>
      <c r="M29" s="3">
        <v>-1207</v>
      </c>
      <c r="N29" s="1">
        <v>-1580</v>
      </c>
    </row>
    <row r="30" spans="2:14" ht="15.95" customHeight="1" x14ac:dyDescent="0.2">
      <c r="B30" s="1" t="s">
        <v>21</v>
      </c>
      <c r="C30" s="2" t="s">
        <v>50</v>
      </c>
      <c r="D30" s="2"/>
      <c r="E30" s="1">
        <v>-45</v>
      </c>
      <c r="F30" s="3">
        <v>-74</v>
      </c>
      <c r="G30" s="1">
        <v>-102</v>
      </c>
      <c r="H30" s="1">
        <v>-126</v>
      </c>
      <c r="I30" s="3">
        <v>-149</v>
      </c>
      <c r="J30" s="1">
        <v>-265</v>
      </c>
      <c r="K30" s="1">
        <v>-540</v>
      </c>
      <c r="L30" s="1">
        <v>-838</v>
      </c>
      <c r="M30" s="3">
        <v>-1150</v>
      </c>
      <c r="N30" s="1">
        <v>-1474</v>
      </c>
    </row>
    <row r="31" spans="2:14" ht="15.95" customHeight="1" x14ac:dyDescent="0.2">
      <c r="B31" s="1" t="s">
        <v>19</v>
      </c>
      <c r="C31" s="2" t="s">
        <v>45</v>
      </c>
      <c r="D31" s="2"/>
      <c r="E31" s="1">
        <v>-41</v>
      </c>
      <c r="F31" s="3">
        <v>-75</v>
      </c>
      <c r="G31" s="1">
        <v>-104</v>
      </c>
      <c r="H31" s="1">
        <v>-126</v>
      </c>
      <c r="I31" s="3">
        <v>-149</v>
      </c>
      <c r="J31" s="1">
        <v>-268</v>
      </c>
      <c r="K31" s="1">
        <v>-556</v>
      </c>
      <c r="L31" s="1">
        <v>-873</v>
      </c>
      <c r="M31" s="3">
        <v>-1211</v>
      </c>
      <c r="N31" s="1">
        <v>-1562</v>
      </c>
    </row>
    <row r="32" spans="2:14" ht="15.95" customHeight="1" x14ac:dyDescent="0.2">
      <c r="B32" s="1" t="s">
        <v>27</v>
      </c>
      <c r="C32" s="2" t="s">
        <v>40</v>
      </c>
      <c r="D32" s="2"/>
      <c r="E32" s="1">
        <v>-44</v>
      </c>
      <c r="F32" s="3">
        <v>-77</v>
      </c>
      <c r="G32" s="1">
        <v>-102</v>
      </c>
      <c r="H32" s="1">
        <v>-126</v>
      </c>
      <c r="I32" s="3">
        <v>-152</v>
      </c>
      <c r="J32" s="1">
        <v>-292</v>
      </c>
      <c r="K32" s="1">
        <v>-603</v>
      </c>
      <c r="L32" s="1">
        <v>-947</v>
      </c>
      <c r="M32" s="3">
        <v>-1324</v>
      </c>
      <c r="N32" s="1">
        <v>-1673</v>
      </c>
    </row>
    <row r="33" spans="2:14" ht="15.95" customHeight="1" x14ac:dyDescent="0.2">
      <c r="B33" s="1" t="s">
        <v>20</v>
      </c>
      <c r="C33" s="2" t="s">
        <v>45</v>
      </c>
      <c r="D33" s="2"/>
      <c r="E33" s="1">
        <v>-43</v>
      </c>
      <c r="F33" s="3">
        <v>-77</v>
      </c>
      <c r="G33" s="1">
        <v>-107</v>
      </c>
      <c r="H33" s="1">
        <v>-128</v>
      </c>
      <c r="I33" s="3">
        <v>-149</v>
      </c>
      <c r="J33" s="1">
        <v>-270</v>
      </c>
      <c r="K33" s="1">
        <v>-567</v>
      </c>
      <c r="L33" s="1">
        <v>-896</v>
      </c>
      <c r="M33" s="3">
        <v>-1249</v>
      </c>
      <c r="N33" s="1">
        <v>-1608</v>
      </c>
    </row>
    <row r="34" spans="2:14" ht="15.95" customHeight="1" x14ac:dyDescent="0.2">
      <c r="B34" s="1" t="s">
        <v>25</v>
      </c>
      <c r="C34" s="2" t="s">
        <v>43</v>
      </c>
      <c r="D34" s="2"/>
      <c r="E34" s="1">
        <v>-43</v>
      </c>
      <c r="F34" s="3">
        <v>-78</v>
      </c>
      <c r="G34" s="1">
        <v>-108</v>
      </c>
      <c r="H34" s="1">
        <v>-129</v>
      </c>
      <c r="I34" s="3">
        <v>-152</v>
      </c>
      <c r="J34" s="1">
        <v>-287</v>
      </c>
      <c r="K34" s="1">
        <v>-582</v>
      </c>
      <c r="L34" s="1">
        <v>-906</v>
      </c>
      <c r="M34" s="3">
        <v>-1286</v>
      </c>
      <c r="N34" s="1">
        <v>-1641</v>
      </c>
    </row>
    <row r="35" spans="2:14" ht="15.95" customHeight="1" x14ac:dyDescent="0.2">
      <c r="B35" s="1" t="s">
        <v>37</v>
      </c>
      <c r="C35" s="2" t="s">
        <v>48</v>
      </c>
      <c r="D35" s="2"/>
      <c r="E35" s="1">
        <v>-34</v>
      </c>
      <c r="F35" s="3">
        <v>-79</v>
      </c>
      <c r="G35" s="1">
        <v>-117</v>
      </c>
      <c r="H35" s="1">
        <v>-149</v>
      </c>
      <c r="I35" s="3">
        <v>-178</v>
      </c>
      <c r="J35" s="1">
        <v>-326</v>
      </c>
      <c r="K35" s="1">
        <v>-656</v>
      </c>
      <c r="L35" s="1">
        <v>-1049</v>
      </c>
      <c r="M35" s="3">
        <v>-1388</v>
      </c>
      <c r="N35" s="1">
        <v>-1710</v>
      </c>
    </row>
    <row r="36" spans="2:14" ht="15.95" customHeight="1" x14ac:dyDescent="0.2">
      <c r="B36" s="1" t="s">
        <v>26</v>
      </c>
      <c r="C36" s="2" t="s">
        <v>43</v>
      </c>
      <c r="D36" s="2"/>
      <c r="E36" s="1">
        <v>-47</v>
      </c>
      <c r="F36" s="3">
        <v>-79</v>
      </c>
      <c r="G36" s="1">
        <v>-106</v>
      </c>
      <c r="H36" s="1">
        <v>-130</v>
      </c>
      <c r="I36" s="3">
        <v>-152</v>
      </c>
      <c r="J36" s="1">
        <v>-287</v>
      </c>
      <c r="K36" s="1">
        <v>-579</v>
      </c>
      <c r="L36" s="1">
        <v>-904</v>
      </c>
      <c r="M36" s="3">
        <v>-1287</v>
      </c>
      <c r="N36" s="1">
        <v>-1647</v>
      </c>
    </row>
    <row r="37" spans="2:14" ht="15.95" customHeight="1" x14ac:dyDescent="0.2">
      <c r="B37" s="1" t="s">
        <v>34</v>
      </c>
      <c r="C37" s="2" t="s">
        <v>46</v>
      </c>
      <c r="D37" s="2"/>
      <c r="E37" s="1">
        <v>-38</v>
      </c>
      <c r="F37" s="3">
        <v>-79</v>
      </c>
      <c r="G37" s="1">
        <v>-113</v>
      </c>
      <c r="H37" s="1">
        <v>-143</v>
      </c>
      <c r="I37" s="3">
        <v>-169</v>
      </c>
      <c r="J37" s="1">
        <v>-292</v>
      </c>
      <c r="K37" s="1">
        <v>-591</v>
      </c>
      <c r="L37" s="1">
        <v>-919</v>
      </c>
      <c r="M37" s="3">
        <v>-1273</v>
      </c>
      <c r="N37" s="1">
        <v>-1635</v>
      </c>
    </row>
    <row r="38" spans="2:14" ht="15.95" customHeight="1" x14ac:dyDescent="0.2">
      <c r="B38" s="1" t="s">
        <v>36</v>
      </c>
      <c r="C38" s="2" t="s">
        <v>46</v>
      </c>
      <c r="D38" s="2"/>
      <c r="E38" s="1">
        <v>-42</v>
      </c>
      <c r="F38" s="3">
        <v>-80</v>
      </c>
      <c r="G38" s="1">
        <v>-114</v>
      </c>
      <c r="H38" s="1">
        <v>-147</v>
      </c>
      <c r="I38" s="3">
        <v>-176</v>
      </c>
      <c r="J38" s="1">
        <v>-314</v>
      </c>
      <c r="K38" s="1">
        <v>-625</v>
      </c>
      <c r="L38" s="1">
        <v>-981</v>
      </c>
      <c r="M38" s="3">
        <v>-1337</v>
      </c>
      <c r="N38" s="1">
        <v>-1682</v>
      </c>
    </row>
    <row r="39" spans="2:14" ht="15.95" customHeight="1" x14ac:dyDescent="0.2">
      <c r="B39" s="1" t="s">
        <v>39</v>
      </c>
      <c r="C39" s="2" t="s">
        <v>48</v>
      </c>
      <c r="D39" s="2"/>
      <c r="E39" s="1">
        <v>-33</v>
      </c>
      <c r="F39" s="3">
        <v>-81</v>
      </c>
      <c r="G39" s="1">
        <v>-120</v>
      </c>
      <c r="H39" s="1">
        <v>-155</v>
      </c>
      <c r="I39" s="3">
        <v>-186</v>
      </c>
      <c r="J39" s="1">
        <v>-335</v>
      </c>
      <c r="K39" s="1">
        <v>-676</v>
      </c>
      <c r="L39" s="1">
        <v>-1052</v>
      </c>
      <c r="M39" s="3">
        <v>-1427</v>
      </c>
      <c r="N39" s="1">
        <v>-1773</v>
      </c>
    </row>
    <row r="40" spans="2:14" ht="15.95" customHeight="1" x14ac:dyDescent="0.2">
      <c r="B40" s="1" t="s">
        <v>31</v>
      </c>
      <c r="C40" s="2" t="s">
        <v>43</v>
      </c>
      <c r="D40" s="2"/>
      <c r="E40" s="1">
        <v>-48</v>
      </c>
      <c r="F40" s="3">
        <v>-82</v>
      </c>
      <c r="G40" s="1">
        <v>-109</v>
      </c>
      <c r="H40" s="1">
        <v>-133</v>
      </c>
      <c r="I40" s="3">
        <v>-157</v>
      </c>
      <c r="J40" s="1">
        <v>-296</v>
      </c>
      <c r="K40" s="1">
        <v>-593</v>
      </c>
      <c r="L40" s="1">
        <v>-925</v>
      </c>
      <c r="M40" s="3">
        <v>-1311</v>
      </c>
      <c r="N40" s="1">
        <v>-1652</v>
      </c>
    </row>
    <row r="41" spans="2:14" ht="15.95" customHeight="1" x14ac:dyDescent="0.2">
      <c r="B41" s="1" t="s">
        <v>33</v>
      </c>
      <c r="C41" s="2" t="s">
        <v>51</v>
      </c>
      <c r="D41" s="2"/>
      <c r="E41" s="1">
        <v>-45</v>
      </c>
      <c r="F41" s="3">
        <v>-83</v>
      </c>
      <c r="G41" s="1">
        <v>-113</v>
      </c>
      <c r="H41" s="1">
        <v>-140</v>
      </c>
      <c r="I41" s="3">
        <v>-167</v>
      </c>
      <c r="J41" s="1">
        <v>-305</v>
      </c>
      <c r="K41" s="1">
        <v>-603</v>
      </c>
      <c r="L41" s="1">
        <v>-936</v>
      </c>
      <c r="M41" s="3">
        <v>-1262</v>
      </c>
      <c r="N41" s="1">
        <v>-1568</v>
      </c>
    </row>
    <row r="42" spans="2:14" ht="15.95" customHeight="1" x14ac:dyDescent="0.2">
      <c r="B42" s="1" t="s">
        <v>38</v>
      </c>
      <c r="C42" s="2" t="s">
        <v>48</v>
      </c>
      <c r="D42" s="2"/>
      <c r="E42" s="1">
        <v>-37</v>
      </c>
      <c r="F42" s="3">
        <v>-84</v>
      </c>
      <c r="G42" s="1">
        <v>-121</v>
      </c>
      <c r="H42" s="1">
        <v>-153</v>
      </c>
      <c r="I42" s="3">
        <v>-183</v>
      </c>
      <c r="J42" s="1">
        <v>-329</v>
      </c>
      <c r="K42" s="1">
        <v>-654</v>
      </c>
      <c r="L42" s="1">
        <v>-1019</v>
      </c>
      <c r="M42" s="3">
        <v>-1387</v>
      </c>
      <c r="N42" s="1">
        <v>-1733</v>
      </c>
    </row>
    <row r="43" spans="2:14" ht="15.95" customHeight="1" x14ac:dyDescent="0.2">
      <c r="B43" s="1" t="s">
        <v>32</v>
      </c>
      <c r="C43" s="2" t="s">
        <v>46</v>
      </c>
      <c r="D43" s="2"/>
      <c r="E43" s="1">
        <v>-54</v>
      </c>
      <c r="F43" s="3">
        <v>-89</v>
      </c>
      <c r="G43" s="1">
        <v>-115</v>
      </c>
      <c r="H43" s="1">
        <v>-138</v>
      </c>
      <c r="I43" s="3">
        <v>-158</v>
      </c>
      <c r="J43" s="1">
        <v>-271</v>
      </c>
      <c r="K43" s="1">
        <v>-558</v>
      </c>
      <c r="L43" s="1">
        <v>-882</v>
      </c>
      <c r="M43" s="3">
        <v>-1234</v>
      </c>
      <c r="N43" s="1">
        <v>-1611</v>
      </c>
    </row>
    <row r="44" spans="2:14" ht="15.95" customHeight="1" x14ac:dyDescent="0.2">
      <c r="F44" s="4">
        <f>SUM(F3:F43)/45</f>
        <v>-63.2</v>
      </c>
      <c r="I44" s="4">
        <f>SUM(I3:I43)/45</f>
        <v>-134.51111111111112</v>
      </c>
      <c r="J44" s="4">
        <f>SUM(J3:J43)/45</f>
        <v>-253.97777777777779</v>
      </c>
      <c r="M44" s="4">
        <f>SUM(M3:M43)/45</f>
        <v>-1147.9777777777779</v>
      </c>
    </row>
    <row r="45" spans="2:14" ht="15.95" customHeight="1" x14ac:dyDescent="0.2"/>
    <row r="46" spans="2:14" ht="15.95" customHeight="1" x14ac:dyDescent="0.2"/>
    <row r="47" spans="2:14" ht="15.95" customHeight="1" x14ac:dyDescent="0.2"/>
    <row r="48" spans="2:1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C1:S165"/>
  <sheetViews>
    <sheetView zoomScale="90" workbookViewId="0">
      <selection activeCell="J7" sqref="J7:M7"/>
    </sheetView>
  </sheetViews>
  <sheetFormatPr defaultRowHeight="12.75" x14ac:dyDescent="0.2"/>
  <cols>
    <col min="4" max="4" width="20.140625" customWidth="1"/>
    <col min="15" max="15" width="11.42578125" customWidth="1"/>
  </cols>
  <sheetData>
    <row r="1" spans="3:19" ht="15.95" customHeight="1" x14ac:dyDescent="0.2"/>
    <row r="2" spans="3:19" ht="15.95" customHeight="1" x14ac:dyDescent="0.2"/>
    <row r="3" spans="3:19" ht="15.95" customHeight="1" x14ac:dyDescent="0.2">
      <c r="C3" s="1">
        <v>1505</v>
      </c>
      <c r="D3" s="2" t="s">
        <v>40</v>
      </c>
      <c r="E3" s="3">
        <v>-31</v>
      </c>
      <c r="F3" s="3">
        <v>-110</v>
      </c>
      <c r="G3" s="3">
        <v>-248</v>
      </c>
      <c r="H3" s="3">
        <v>-1225</v>
      </c>
      <c r="Q3" s="10">
        <v>10</v>
      </c>
    </row>
    <row r="4" spans="3:19" ht="15.95" customHeight="1" x14ac:dyDescent="0.2">
      <c r="C4" s="1" t="s">
        <v>1</v>
      </c>
      <c r="D4" s="2" t="s">
        <v>44</v>
      </c>
      <c r="E4" s="3">
        <v>-58</v>
      </c>
      <c r="F4" s="3">
        <v>-122</v>
      </c>
      <c r="G4" s="3">
        <v>-238</v>
      </c>
      <c r="H4" s="3">
        <v>-1089</v>
      </c>
      <c r="I4" s="11"/>
      <c r="O4" s="9" t="s">
        <v>53</v>
      </c>
      <c r="P4" s="10">
        <f>89-58</f>
        <v>31</v>
      </c>
      <c r="Q4">
        <f>P4/Q3</f>
        <v>3.1</v>
      </c>
      <c r="S4">
        <f>E4</f>
        <v>-58</v>
      </c>
    </row>
    <row r="5" spans="3:19" ht="15.95" customHeight="1" x14ac:dyDescent="0.2">
      <c r="C5" s="1" t="s">
        <v>0</v>
      </c>
      <c r="D5" s="2" t="s">
        <v>44</v>
      </c>
      <c r="E5" s="3">
        <v>-58</v>
      </c>
      <c r="F5" s="3">
        <v>-117</v>
      </c>
      <c r="G5" s="3">
        <v>-231</v>
      </c>
      <c r="H5" s="3">
        <v>-1064</v>
      </c>
      <c r="I5" s="11"/>
      <c r="R5">
        <v>1</v>
      </c>
      <c r="S5">
        <f>S4-$Q$4</f>
        <v>-61.1</v>
      </c>
    </row>
    <row r="6" spans="3:19" ht="15.95" customHeight="1" x14ac:dyDescent="0.2">
      <c r="C6" s="1" t="s">
        <v>4</v>
      </c>
      <c r="D6" s="2" t="s">
        <v>42</v>
      </c>
      <c r="E6" s="3">
        <v>-60</v>
      </c>
      <c r="F6" s="3">
        <v>-132</v>
      </c>
      <c r="G6" s="3">
        <v>-271</v>
      </c>
      <c r="H6" s="3">
        <v>-1282</v>
      </c>
      <c r="I6" s="11"/>
      <c r="R6">
        <v>2</v>
      </c>
      <c r="S6">
        <f t="shared" ref="S6:S13" si="0">S5-$Q$4</f>
        <v>-64.2</v>
      </c>
    </row>
    <row r="7" spans="3:19" ht="15.95" customHeight="1" x14ac:dyDescent="0.2">
      <c r="C7" s="1" t="s">
        <v>23</v>
      </c>
      <c r="D7" s="2" t="s">
        <v>41</v>
      </c>
      <c r="E7" s="3">
        <v>-61</v>
      </c>
      <c r="F7" s="3">
        <v>-151</v>
      </c>
      <c r="G7" s="3">
        <v>-262</v>
      </c>
      <c r="H7" s="3">
        <v>-1227</v>
      </c>
      <c r="I7" s="11"/>
      <c r="J7" s="13">
        <f>SUM(E4:E7)/4</f>
        <v>-59.25</v>
      </c>
      <c r="K7" s="13">
        <f>SUM(F4:F7)/4</f>
        <v>-130.5</v>
      </c>
      <c r="L7" s="13">
        <f>SUM(G4:G7)/4</f>
        <v>-250.5</v>
      </c>
      <c r="M7" s="13">
        <f>SUM(H4:H7)/4</f>
        <v>-1165.5</v>
      </c>
      <c r="R7">
        <v>3</v>
      </c>
      <c r="S7">
        <f t="shared" si="0"/>
        <v>-67.3</v>
      </c>
    </row>
    <row r="8" spans="3:19" ht="15.95" customHeight="1" x14ac:dyDescent="0.2">
      <c r="C8" s="1" t="s">
        <v>16</v>
      </c>
      <c r="D8" s="2" t="s">
        <v>41</v>
      </c>
      <c r="E8" s="3">
        <v>-61</v>
      </c>
      <c r="F8" s="3">
        <v>-144</v>
      </c>
      <c r="G8" s="3">
        <v>-278</v>
      </c>
      <c r="H8" s="3">
        <v>-1318</v>
      </c>
      <c r="I8" s="12"/>
      <c r="R8">
        <v>4</v>
      </c>
      <c r="S8">
        <f t="shared" si="0"/>
        <v>-70.399999999999991</v>
      </c>
    </row>
    <row r="9" spans="3:19" ht="15.95" customHeight="1" x14ac:dyDescent="0.2">
      <c r="C9" s="1" t="s">
        <v>17</v>
      </c>
      <c r="D9" s="2" t="s">
        <v>45</v>
      </c>
      <c r="E9" s="3">
        <v>-62</v>
      </c>
      <c r="F9" s="3">
        <v>-145</v>
      </c>
      <c r="G9" s="3">
        <v>-279</v>
      </c>
      <c r="H9" s="3">
        <v>-1291</v>
      </c>
      <c r="I9" s="12"/>
      <c r="R9">
        <v>5</v>
      </c>
      <c r="S9">
        <f t="shared" si="0"/>
        <v>-73.499999999999986</v>
      </c>
    </row>
    <row r="10" spans="3:19" ht="15.95" customHeight="1" x14ac:dyDescent="0.2">
      <c r="C10" s="1" t="s">
        <v>12</v>
      </c>
      <c r="D10" s="2" t="s">
        <v>46</v>
      </c>
      <c r="E10" s="3">
        <v>-62</v>
      </c>
      <c r="F10" s="3">
        <v>-141</v>
      </c>
      <c r="G10" s="3">
        <v>-261</v>
      </c>
      <c r="H10" s="3">
        <v>-1168</v>
      </c>
      <c r="I10" s="12"/>
      <c r="R10">
        <v>6</v>
      </c>
      <c r="S10">
        <f t="shared" si="0"/>
        <v>-76.59999999999998</v>
      </c>
    </row>
    <row r="11" spans="3:19" ht="15.95" customHeight="1" x14ac:dyDescent="0.2">
      <c r="C11" s="1" t="s">
        <v>24</v>
      </c>
      <c r="D11" s="2" t="s">
        <v>41</v>
      </c>
      <c r="E11" s="3">
        <v>-63</v>
      </c>
      <c r="F11" s="3">
        <v>-152</v>
      </c>
      <c r="G11" s="3">
        <v>-290</v>
      </c>
      <c r="H11" s="3">
        <v>-1311</v>
      </c>
      <c r="I11" s="12"/>
      <c r="R11">
        <v>7</v>
      </c>
      <c r="S11">
        <f t="shared" si="0"/>
        <v>-79.699999999999974</v>
      </c>
    </row>
    <row r="12" spans="3:19" ht="15.95" customHeight="1" x14ac:dyDescent="0.2">
      <c r="C12" s="1" t="s">
        <v>8</v>
      </c>
      <c r="D12" s="2" t="s">
        <v>42</v>
      </c>
      <c r="E12" s="3">
        <v>-63</v>
      </c>
      <c r="F12" s="3">
        <v>-136</v>
      </c>
      <c r="G12" s="3">
        <v>-275</v>
      </c>
      <c r="H12" s="3">
        <v>-1287</v>
      </c>
      <c r="I12" s="12"/>
      <c r="R12">
        <v>8</v>
      </c>
      <c r="S12">
        <f t="shared" si="0"/>
        <v>-82.799999999999969</v>
      </c>
    </row>
    <row r="13" spans="3:19" ht="15.95" customHeight="1" x14ac:dyDescent="0.2">
      <c r="C13" s="1" t="s">
        <v>3</v>
      </c>
      <c r="D13" s="2" t="s">
        <v>42</v>
      </c>
      <c r="E13" s="3">
        <v>-63</v>
      </c>
      <c r="F13" s="3">
        <v>-130</v>
      </c>
      <c r="G13" s="3">
        <v>-256</v>
      </c>
      <c r="H13" s="3">
        <v>-1143</v>
      </c>
      <c r="I13" s="12"/>
      <c r="R13">
        <v>9</v>
      </c>
      <c r="S13">
        <f t="shared" si="0"/>
        <v>-85.899999999999963</v>
      </c>
    </row>
    <row r="14" spans="3:19" ht="15.95" customHeight="1" x14ac:dyDescent="0.2">
      <c r="C14" s="1" t="s">
        <v>30</v>
      </c>
      <c r="D14" s="2" t="s">
        <v>41</v>
      </c>
      <c r="E14" s="3">
        <v>-64</v>
      </c>
      <c r="F14" s="3">
        <v>-155</v>
      </c>
      <c r="G14" s="3">
        <v>-296</v>
      </c>
      <c r="H14" s="3">
        <v>-1381</v>
      </c>
      <c r="I14" s="12"/>
      <c r="R14">
        <v>10</v>
      </c>
      <c r="S14">
        <f>S13-$Q$4</f>
        <v>-88.999999999999957</v>
      </c>
    </row>
    <row r="15" spans="3:19" ht="15.95" customHeight="1" x14ac:dyDescent="0.2">
      <c r="C15" s="1" t="s">
        <v>2</v>
      </c>
      <c r="D15" s="2" t="s">
        <v>44</v>
      </c>
      <c r="E15" s="3">
        <v>-64</v>
      </c>
      <c r="F15" s="3">
        <v>-126</v>
      </c>
      <c r="G15" s="3">
        <v>-241</v>
      </c>
      <c r="H15" s="3">
        <v>-1081</v>
      </c>
      <c r="I15" s="12"/>
      <c r="J15" s="13">
        <f>SUM(E8:E15)/8</f>
        <v>-62.75</v>
      </c>
      <c r="K15" s="13">
        <f>SUM(F8:F15)/8</f>
        <v>-141.125</v>
      </c>
      <c r="L15" s="13">
        <f>SUM(G8:G15)/8</f>
        <v>-272</v>
      </c>
      <c r="M15" s="13">
        <f>SUM(H8:H15)/8</f>
        <v>-1247.5</v>
      </c>
    </row>
    <row r="16" spans="3:19" ht="15.95" customHeight="1" x14ac:dyDescent="0.2">
      <c r="C16" s="1" t="s">
        <v>6</v>
      </c>
      <c r="D16" s="2" t="s">
        <v>45</v>
      </c>
      <c r="E16" s="3">
        <v>-64</v>
      </c>
      <c r="F16" s="3">
        <v>-134</v>
      </c>
      <c r="G16" s="3">
        <v>-255</v>
      </c>
      <c r="H16" s="3">
        <v>-1203</v>
      </c>
      <c r="I16" s="11"/>
    </row>
    <row r="17" spans="3:13" ht="15.95" customHeight="1" x14ac:dyDescent="0.2">
      <c r="C17" s="1" t="s">
        <v>28</v>
      </c>
      <c r="D17" s="2" t="s">
        <v>47</v>
      </c>
      <c r="E17" s="3">
        <v>-65</v>
      </c>
      <c r="F17" s="3">
        <v>-153</v>
      </c>
      <c r="G17" s="3">
        <v>-298</v>
      </c>
      <c r="H17" s="3">
        <v>-1352</v>
      </c>
      <c r="I17" s="11"/>
    </row>
    <row r="18" spans="3:13" ht="15.95" customHeight="1" x14ac:dyDescent="0.2">
      <c r="C18" s="1" t="s">
        <v>5</v>
      </c>
      <c r="D18" s="2" t="s">
        <v>42</v>
      </c>
      <c r="E18" s="3">
        <v>-65</v>
      </c>
      <c r="F18" s="3">
        <v>-133</v>
      </c>
      <c r="G18" s="3">
        <v>-257</v>
      </c>
      <c r="H18" s="3">
        <v>-1139</v>
      </c>
      <c r="I18" s="11"/>
    </row>
    <row r="19" spans="3:13" ht="15.95" customHeight="1" x14ac:dyDescent="0.2">
      <c r="C19" s="1" t="s">
        <v>29</v>
      </c>
      <c r="D19" s="2" t="s">
        <v>44</v>
      </c>
      <c r="E19" s="3">
        <v>-65</v>
      </c>
      <c r="F19" s="3">
        <v>-153</v>
      </c>
      <c r="G19" s="3">
        <v>-302</v>
      </c>
      <c r="H19" s="3">
        <v>-1358</v>
      </c>
      <c r="I19" s="11"/>
    </row>
    <row r="20" spans="3:13" ht="15.95" customHeight="1" x14ac:dyDescent="0.2">
      <c r="C20" s="1" t="s">
        <v>7</v>
      </c>
      <c r="D20" s="2" t="s">
        <v>43</v>
      </c>
      <c r="E20" s="3">
        <v>-66</v>
      </c>
      <c r="F20" s="3">
        <v>-135</v>
      </c>
      <c r="G20" s="3">
        <v>-259</v>
      </c>
      <c r="H20" s="3">
        <v>-1228</v>
      </c>
      <c r="I20" s="11"/>
    </row>
    <row r="21" spans="3:13" ht="15.95" customHeight="1" x14ac:dyDescent="0.2">
      <c r="C21" s="1" t="s">
        <v>22</v>
      </c>
      <c r="D21" s="2" t="s">
        <v>45</v>
      </c>
      <c r="E21" s="3">
        <v>-67</v>
      </c>
      <c r="F21" s="3">
        <v>-150</v>
      </c>
      <c r="G21" s="3">
        <v>-292</v>
      </c>
      <c r="H21" s="3">
        <v>-1333</v>
      </c>
      <c r="I21" s="11"/>
      <c r="J21" s="13">
        <f>SUM(E16:E21)/6</f>
        <v>-65.333333333333329</v>
      </c>
      <c r="K21" s="13">
        <f>SUM(F16:F21)/6</f>
        <v>-143</v>
      </c>
      <c r="L21" s="13">
        <f>SUM(G16:G21)/6</f>
        <v>-277.16666666666669</v>
      </c>
      <c r="M21" s="13">
        <f>SUM(H16:H21)/6</f>
        <v>-1268.8333333333333</v>
      </c>
    </row>
    <row r="22" spans="3:13" ht="15.95" customHeight="1" x14ac:dyDescent="0.2">
      <c r="C22" s="1" t="s">
        <v>9</v>
      </c>
      <c r="D22" s="2" t="s">
        <v>42</v>
      </c>
      <c r="E22" s="3">
        <v>-68</v>
      </c>
      <c r="F22" s="3">
        <v>-136</v>
      </c>
      <c r="G22" s="3">
        <v>-264</v>
      </c>
      <c r="H22" s="3">
        <v>-1146</v>
      </c>
      <c r="I22" s="12"/>
    </row>
    <row r="23" spans="3:13" ht="15.95" customHeight="1" x14ac:dyDescent="0.2">
      <c r="C23" s="1" t="s">
        <v>18</v>
      </c>
      <c r="D23" s="2" t="s">
        <v>44</v>
      </c>
      <c r="E23" s="3">
        <v>-68</v>
      </c>
      <c r="F23" s="3">
        <v>-148</v>
      </c>
      <c r="G23" s="3">
        <v>-291</v>
      </c>
      <c r="H23" s="3">
        <v>-1365</v>
      </c>
      <c r="I23" s="12"/>
    </row>
    <row r="24" spans="3:13" ht="15.95" customHeight="1" x14ac:dyDescent="0.2">
      <c r="C24" s="1" t="s">
        <v>35</v>
      </c>
      <c r="D24" s="2" t="s">
        <v>48</v>
      </c>
      <c r="E24" s="3">
        <v>-69</v>
      </c>
      <c r="F24" s="3">
        <v>-170</v>
      </c>
      <c r="G24" s="3">
        <v>-322</v>
      </c>
      <c r="H24" s="3">
        <v>-1410</v>
      </c>
      <c r="I24" s="12"/>
    </row>
    <row r="25" spans="3:13" ht="15.95" customHeight="1" x14ac:dyDescent="0.2">
      <c r="C25" s="1" t="s">
        <v>13</v>
      </c>
      <c r="D25" s="2" t="s">
        <v>49</v>
      </c>
      <c r="E25" s="3">
        <v>-70</v>
      </c>
      <c r="F25" s="3">
        <v>-141</v>
      </c>
      <c r="G25" s="3">
        <v>-277</v>
      </c>
      <c r="H25" s="3">
        <v>-1249</v>
      </c>
      <c r="I25" s="12"/>
      <c r="J25" s="13">
        <f>SUM(E22:E25)/4</f>
        <v>-68.75</v>
      </c>
      <c r="K25" s="13">
        <f>SUM(F22:F25)/4</f>
        <v>-148.75</v>
      </c>
      <c r="L25" s="13">
        <f>SUM(G22:G25)/4</f>
        <v>-288.5</v>
      </c>
      <c r="M25" s="13">
        <f>SUM(H22:H25)/4</f>
        <v>-1292.5</v>
      </c>
    </row>
    <row r="26" spans="3:13" ht="15.95" customHeight="1" x14ac:dyDescent="0.2">
      <c r="C26" s="1" t="s">
        <v>11</v>
      </c>
      <c r="D26" s="2" t="s">
        <v>48</v>
      </c>
      <c r="E26" s="3">
        <v>-72</v>
      </c>
      <c r="F26" s="3">
        <v>-139</v>
      </c>
      <c r="G26" s="3">
        <v>-261</v>
      </c>
      <c r="H26" s="3">
        <v>-1291</v>
      </c>
      <c r="I26" s="11"/>
    </row>
    <row r="27" spans="3:13" ht="15.95" customHeight="1" x14ac:dyDescent="0.2">
      <c r="C27" s="1" t="s">
        <v>15</v>
      </c>
      <c r="D27" s="2" t="s">
        <v>45</v>
      </c>
      <c r="E27" s="3">
        <v>-72</v>
      </c>
      <c r="F27" s="3">
        <v>-143</v>
      </c>
      <c r="G27" s="3">
        <v>-265</v>
      </c>
      <c r="H27" s="3">
        <v>-1238</v>
      </c>
      <c r="I27" s="11"/>
    </row>
    <row r="28" spans="3:13" ht="15.95" customHeight="1" x14ac:dyDescent="0.2">
      <c r="C28" s="1" t="s">
        <v>14</v>
      </c>
      <c r="D28" s="2" t="s">
        <v>42</v>
      </c>
      <c r="E28" s="3">
        <v>-73</v>
      </c>
      <c r="F28" s="3">
        <v>-142</v>
      </c>
      <c r="G28" s="3">
        <v>-267</v>
      </c>
      <c r="H28" s="3">
        <v>-1147</v>
      </c>
      <c r="I28" s="11"/>
      <c r="J28" s="13">
        <f>SUM(E26:E28)/3</f>
        <v>-72.333333333333329</v>
      </c>
      <c r="K28" s="13">
        <f>SUM(F26:F28)/3</f>
        <v>-141.33333333333334</v>
      </c>
      <c r="L28" s="13">
        <f>SUM(G26:G28)/3</f>
        <v>-264.33333333333331</v>
      </c>
      <c r="M28" s="13">
        <f>SUM(H26:H28)/3</f>
        <v>-1225.3333333333333</v>
      </c>
    </row>
    <row r="29" spans="3:13" ht="15.95" customHeight="1" x14ac:dyDescent="0.2">
      <c r="C29" s="1" t="s">
        <v>10</v>
      </c>
      <c r="D29" s="2" t="s">
        <v>50</v>
      </c>
      <c r="E29" s="3">
        <v>-73</v>
      </c>
      <c r="F29" s="3">
        <v>-138</v>
      </c>
      <c r="G29" s="3">
        <v>-256</v>
      </c>
      <c r="H29" s="3">
        <v>-1207</v>
      </c>
      <c r="I29" s="12"/>
    </row>
    <row r="30" spans="3:13" ht="15.95" customHeight="1" x14ac:dyDescent="0.2">
      <c r="C30" s="1" t="s">
        <v>21</v>
      </c>
      <c r="D30" s="2" t="s">
        <v>50</v>
      </c>
      <c r="E30" s="3">
        <v>-74</v>
      </c>
      <c r="F30" s="3">
        <v>-149</v>
      </c>
      <c r="G30" s="3">
        <v>-265</v>
      </c>
      <c r="H30" s="3">
        <v>-1150</v>
      </c>
      <c r="I30" s="12"/>
    </row>
    <row r="31" spans="3:13" ht="15.95" customHeight="1" x14ac:dyDescent="0.2">
      <c r="C31" s="1" t="s">
        <v>19</v>
      </c>
      <c r="D31" s="2" t="s">
        <v>45</v>
      </c>
      <c r="E31" s="3">
        <v>-75</v>
      </c>
      <c r="F31" s="3">
        <v>-149</v>
      </c>
      <c r="G31" s="3">
        <v>-268</v>
      </c>
      <c r="H31" s="3">
        <v>-1211</v>
      </c>
      <c r="I31" s="12"/>
      <c r="J31" s="13">
        <f>SUM(E29:E31)/3</f>
        <v>-74</v>
      </c>
      <c r="K31" s="13">
        <f>SUM(F29:F31)/3</f>
        <v>-145.33333333333334</v>
      </c>
      <c r="L31" s="13">
        <f>SUM(G29:G31)/3</f>
        <v>-263</v>
      </c>
      <c r="M31" s="13">
        <f>SUM(H29:H31)/3</f>
        <v>-1189.3333333333333</v>
      </c>
    </row>
    <row r="32" spans="3:13" ht="15.95" customHeight="1" x14ac:dyDescent="0.2">
      <c r="C32" s="1" t="s">
        <v>27</v>
      </c>
      <c r="D32" s="2" t="s">
        <v>40</v>
      </c>
      <c r="E32" s="3">
        <v>-77</v>
      </c>
      <c r="F32" s="3">
        <v>-152</v>
      </c>
      <c r="G32" s="3">
        <v>-292</v>
      </c>
      <c r="H32" s="3">
        <v>-1324</v>
      </c>
      <c r="I32" s="11"/>
    </row>
    <row r="33" spans="3:13" ht="15.95" customHeight="1" x14ac:dyDescent="0.2">
      <c r="C33" s="1" t="s">
        <v>20</v>
      </c>
      <c r="D33" s="2" t="s">
        <v>45</v>
      </c>
      <c r="E33" s="3">
        <v>-77</v>
      </c>
      <c r="F33" s="3">
        <v>-149</v>
      </c>
      <c r="G33" s="3">
        <v>-270</v>
      </c>
      <c r="H33" s="3">
        <v>-1249</v>
      </c>
      <c r="I33" s="11"/>
    </row>
    <row r="34" spans="3:13" ht="15.95" customHeight="1" x14ac:dyDescent="0.2">
      <c r="C34" s="1" t="s">
        <v>25</v>
      </c>
      <c r="D34" s="2" t="s">
        <v>43</v>
      </c>
      <c r="E34" s="3">
        <v>-78</v>
      </c>
      <c r="F34" s="3">
        <v>-152</v>
      </c>
      <c r="G34" s="3">
        <v>-287</v>
      </c>
      <c r="H34" s="3">
        <v>-1286</v>
      </c>
      <c r="I34" s="11"/>
    </row>
    <row r="35" spans="3:13" ht="15.95" customHeight="1" x14ac:dyDescent="0.2">
      <c r="C35" s="1" t="s">
        <v>37</v>
      </c>
      <c r="D35" s="2" t="s">
        <v>48</v>
      </c>
      <c r="E35" s="3">
        <v>-79</v>
      </c>
      <c r="F35" s="3">
        <v>-178</v>
      </c>
      <c r="G35" s="3">
        <v>-326</v>
      </c>
      <c r="H35" s="3">
        <v>-1388</v>
      </c>
      <c r="I35" s="11"/>
    </row>
    <row r="36" spans="3:13" ht="15.95" customHeight="1" x14ac:dyDescent="0.2">
      <c r="C36" s="1" t="s">
        <v>26</v>
      </c>
      <c r="D36" s="2" t="s">
        <v>43</v>
      </c>
      <c r="E36" s="3">
        <v>-79</v>
      </c>
      <c r="F36" s="3">
        <v>-152</v>
      </c>
      <c r="G36" s="3">
        <v>-287</v>
      </c>
      <c r="H36" s="3">
        <v>-1287</v>
      </c>
      <c r="I36" s="11"/>
      <c r="J36" s="13">
        <f>SUM(E32:E36)/5</f>
        <v>-78</v>
      </c>
      <c r="K36" s="13">
        <f>SUM(F32:F36)/5</f>
        <v>-156.6</v>
      </c>
      <c r="L36" s="13">
        <f>SUM(G32:G36)/5</f>
        <v>-292.39999999999998</v>
      </c>
      <c r="M36" s="13">
        <f>SUM(H32:H36)/5</f>
        <v>-1306.8</v>
      </c>
    </row>
    <row r="37" spans="3:13" ht="15.95" customHeight="1" x14ac:dyDescent="0.2">
      <c r="C37" s="1" t="s">
        <v>34</v>
      </c>
      <c r="D37" s="2" t="s">
        <v>46</v>
      </c>
      <c r="E37" s="3">
        <v>-79</v>
      </c>
      <c r="F37" s="3">
        <v>-169</v>
      </c>
      <c r="G37" s="3">
        <v>-292</v>
      </c>
      <c r="H37" s="3">
        <v>-1273</v>
      </c>
      <c r="I37" s="12"/>
    </row>
    <row r="38" spans="3:13" ht="15.95" customHeight="1" x14ac:dyDescent="0.2">
      <c r="C38" s="1" t="s">
        <v>36</v>
      </c>
      <c r="D38" s="2" t="s">
        <v>46</v>
      </c>
      <c r="E38" s="3">
        <v>-80</v>
      </c>
      <c r="F38" s="3">
        <v>-176</v>
      </c>
      <c r="G38" s="3">
        <v>-314</v>
      </c>
      <c r="H38" s="3">
        <v>-1337</v>
      </c>
      <c r="I38" s="12"/>
    </row>
    <row r="39" spans="3:13" ht="15.95" customHeight="1" x14ac:dyDescent="0.2">
      <c r="C39" s="1" t="s">
        <v>39</v>
      </c>
      <c r="D39" s="2" t="s">
        <v>48</v>
      </c>
      <c r="E39" s="3">
        <v>-81</v>
      </c>
      <c r="F39" s="3">
        <v>-186</v>
      </c>
      <c r="G39" s="3">
        <v>-335</v>
      </c>
      <c r="H39" s="3">
        <v>-1427</v>
      </c>
      <c r="I39" s="12"/>
    </row>
    <row r="40" spans="3:13" ht="15.95" customHeight="1" x14ac:dyDescent="0.2">
      <c r="C40" s="1" t="s">
        <v>31</v>
      </c>
      <c r="D40" s="2" t="s">
        <v>43</v>
      </c>
      <c r="E40" s="3">
        <v>-82</v>
      </c>
      <c r="F40" s="3">
        <v>-157</v>
      </c>
      <c r="G40" s="3">
        <v>-296</v>
      </c>
      <c r="H40" s="3">
        <v>-1311</v>
      </c>
      <c r="I40" s="12"/>
      <c r="J40" s="13">
        <f>SUM(E37:E40)/4</f>
        <v>-80.5</v>
      </c>
      <c r="K40" s="13">
        <f>SUM(F37:F40)/4</f>
        <v>-172</v>
      </c>
      <c r="L40" s="13">
        <f>SUM(G37:G40)/4</f>
        <v>-309.25</v>
      </c>
      <c r="M40" s="13">
        <f>SUM(H37:H40)/4</f>
        <v>-1337</v>
      </c>
    </row>
    <row r="41" spans="3:13" ht="15.95" customHeight="1" x14ac:dyDescent="0.2">
      <c r="C41" s="1" t="s">
        <v>33</v>
      </c>
      <c r="D41" s="2" t="s">
        <v>51</v>
      </c>
      <c r="E41" s="3">
        <v>-83</v>
      </c>
      <c r="F41" s="3">
        <v>-167</v>
      </c>
      <c r="G41" s="3">
        <v>-305</v>
      </c>
      <c r="H41" s="3">
        <v>-1262</v>
      </c>
      <c r="I41" s="11"/>
    </row>
    <row r="42" spans="3:13" ht="15.95" customHeight="1" x14ac:dyDescent="0.2">
      <c r="C42" s="1" t="s">
        <v>38</v>
      </c>
      <c r="D42" s="2" t="s">
        <v>48</v>
      </c>
      <c r="E42" s="3">
        <v>-84</v>
      </c>
      <c r="F42" s="3">
        <v>-183</v>
      </c>
      <c r="G42" s="3">
        <v>-329</v>
      </c>
      <c r="H42" s="3">
        <v>-1387</v>
      </c>
      <c r="I42" s="11"/>
      <c r="J42" s="13">
        <f>SUM(E41:E42)/2</f>
        <v>-83.5</v>
      </c>
      <c r="K42" s="13">
        <f>SUM(F41:F42)/2</f>
        <v>-175</v>
      </c>
      <c r="L42" s="13">
        <f>SUM(G41:G42)/2</f>
        <v>-317</v>
      </c>
      <c r="M42" s="13">
        <f>SUM(H41:H42)/2</f>
        <v>-1324.5</v>
      </c>
    </row>
    <row r="43" spans="3:13" ht="15.95" customHeight="1" x14ac:dyDescent="0.2">
      <c r="C43" s="1" t="s">
        <v>32</v>
      </c>
      <c r="D43" s="2" t="s">
        <v>46</v>
      </c>
      <c r="E43" s="3">
        <v>-89</v>
      </c>
      <c r="F43" s="3">
        <v>-158</v>
      </c>
      <c r="G43" s="3">
        <v>-271</v>
      </c>
      <c r="H43" s="3">
        <v>-1234</v>
      </c>
      <c r="I43" s="12"/>
      <c r="J43" s="13">
        <f>SUM(E43)/1</f>
        <v>-89</v>
      </c>
      <c r="K43" s="13">
        <f>SUM(F43)/1</f>
        <v>-158</v>
      </c>
      <c r="L43" s="13">
        <f>SUM(G43)/1</f>
        <v>-271</v>
      </c>
      <c r="M43" s="13">
        <f>SUM(H43)/1</f>
        <v>-1234</v>
      </c>
    </row>
    <row r="44" spans="3:13" ht="15.95" customHeight="1" x14ac:dyDescent="0.2">
      <c r="E44" s="4"/>
      <c r="F44" s="4"/>
      <c r="G44" s="4"/>
      <c r="H44" s="4"/>
    </row>
    <row r="45" spans="3:13" ht="15.95" customHeight="1" x14ac:dyDescent="0.2"/>
    <row r="46" spans="3:13" ht="15.95" customHeight="1" x14ac:dyDescent="0.2"/>
    <row r="47" spans="3:13" ht="15.95" customHeight="1" x14ac:dyDescent="0.2"/>
    <row r="48" spans="3:13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</sheetData>
  <phoneticPr fontId="0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5"/>
  <sheetViews>
    <sheetView zoomScale="90" workbookViewId="0">
      <selection activeCell="R4" sqref="R4:S14"/>
    </sheetView>
  </sheetViews>
  <sheetFormatPr defaultRowHeight="12.75" x14ac:dyDescent="0.2"/>
  <cols>
    <col min="4" max="4" width="20.140625" customWidth="1"/>
    <col min="15" max="15" width="11.42578125" customWidth="1"/>
  </cols>
  <sheetData>
    <row r="1" spans="1:19" ht="15.95" customHeight="1" x14ac:dyDescent="0.2"/>
    <row r="2" spans="1:19" ht="15.95" customHeight="1" x14ac:dyDescent="0.2">
      <c r="A2" s="14">
        <v>40.5</v>
      </c>
      <c r="B2" s="15">
        <v>40.1</v>
      </c>
      <c r="E2" s="5">
        <v>2</v>
      </c>
      <c r="F2" s="5">
        <v>5</v>
      </c>
      <c r="G2" s="5">
        <v>10</v>
      </c>
      <c r="H2" s="5">
        <v>40</v>
      </c>
    </row>
    <row r="3" spans="1:19" ht="15.95" customHeight="1" x14ac:dyDescent="0.2">
      <c r="A3" s="6">
        <f>+H3/F3</f>
        <v>11.136363636363637</v>
      </c>
      <c r="B3" s="6">
        <f>+H3/G3</f>
        <v>4.939516129032258</v>
      </c>
      <c r="C3" s="1">
        <v>1505</v>
      </c>
      <c r="D3" s="2" t="s">
        <v>40</v>
      </c>
      <c r="E3" s="3">
        <v>-31</v>
      </c>
      <c r="F3" s="3">
        <v>-110</v>
      </c>
      <c r="G3" s="3">
        <v>-248</v>
      </c>
      <c r="H3" s="3">
        <v>-1225</v>
      </c>
      <c r="N3" s="7"/>
      <c r="Q3" s="10">
        <v>10</v>
      </c>
    </row>
    <row r="4" spans="1:19" ht="15.95" customHeight="1" x14ac:dyDescent="0.2">
      <c r="A4" s="6">
        <f t="shared" ref="A4:A43" si="0">+H4/F4</f>
        <v>9.0940170940170937</v>
      </c>
      <c r="B4" s="6">
        <f t="shared" ref="B4:B43" si="1">+H4/G4</f>
        <v>4.6060606060606064</v>
      </c>
      <c r="C4" s="1" t="s">
        <v>0</v>
      </c>
      <c r="D4" s="2" t="s">
        <v>44</v>
      </c>
      <c r="E4" s="3">
        <v>-58</v>
      </c>
      <c r="F4" s="3">
        <v>-117</v>
      </c>
      <c r="G4" s="3">
        <v>-231</v>
      </c>
      <c r="H4" s="3">
        <v>-1064</v>
      </c>
      <c r="I4" s="11"/>
      <c r="N4" s="7"/>
      <c r="O4" s="9" t="s">
        <v>54</v>
      </c>
      <c r="P4" s="10">
        <f>186-117</f>
        <v>69</v>
      </c>
      <c r="Q4">
        <f>P4/Q3</f>
        <v>6.9</v>
      </c>
      <c r="S4">
        <f>F4</f>
        <v>-117</v>
      </c>
    </row>
    <row r="5" spans="1:19" ht="15.95" customHeight="1" x14ac:dyDescent="0.2">
      <c r="A5" s="6">
        <f t="shared" si="0"/>
        <v>8.9262295081967213</v>
      </c>
      <c r="B5" s="6">
        <f t="shared" si="1"/>
        <v>4.5756302521008401</v>
      </c>
      <c r="C5" s="1" t="s">
        <v>1</v>
      </c>
      <c r="D5" s="2" t="s">
        <v>44</v>
      </c>
      <c r="E5" s="3">
        <v>-58</v>
      </c>
      <c r="F5" s="3">
        <v>-122</v>
      </c>
      <c r="G5" s="3">
        <v>-238</v>
      </c>
      <c r="H5" s="3">
        <v>-1089</v>
      </c>
      <c r="I5" s="11"/>
      <c r="J5" s="13">
        <f>SUM(E4:E5)/2</f>
        <v>-58</v>
      </c>
      <c r="K5" s="13">
        <f>SUM(F4:F5)/2</f>
        <v>-119.5</v>
      </c>
      <c r="L5" s="13">
        <f>SUM(G4:G5)/2</f>
        <v>-234.5</v>
      </c>
      <c r="M5" s="13">
        <f>SUM(H4:H5)/2</f>
        <v>-1076.5</v>
      </c>
      <c r="N5" s="7"/>
      <c r="R5">
        <v>1</v>
      </c>
      <c r="S5">
        <f>S4-$Q$4</f>
        <v>-123.9</v>
      </c>
    </row>
    <row r="6" spans="1:19" ht="15.95" customHeight="1" x14ac:dyDescent="0.2">
      <c r="A6" s="6">
        <f t="shared" si="0"/>
        <v>8.5793650793650791</v>
      </c>
      <c r="B6" s="6">
        <f t="shared" si="1"/>
        <v>4.4854771784232366</v>
      </c>
      <c r="C6" s="1" t="s">
        <v>2</v>
      </c>
      <c r="D6" s="2" t="s">
        <v>44</v>
      </c>
      <c r="E6" s="3">
        <v>-64</v>
      </c>
      <c r="F6" s="3">
        <v>-126</v>
      </c>
      <c r="G6" s="3">
        <v>-241</v>
      </c>
      <c r="H6" s="3">
        <v>-1081</v>
      </c>
      <c r="I6" s="12"/>
      <c r="N6" s="7"/>
      <c r="R6">
        <v>2</v>
      </c>
      <c r="S6">
        <f t="shared" ref="S6:S14" si="2">S5-$Q$4</f>
        <v>-130.80000000000001</v>
      </c>
    </row>
    <row r="7" spans="1:19" ht="15.95" customHeight="1" x14ac:dyDescent="0.2">
      <c r="A7" s="6">
        <f t="shared" si="0"/>
        <v>8.792307692307693</v>
      </c>
      <c r="B7" s="6">
        <f t="shared" si="1"/>
        <v>4.46484375</v>
      </c>
      <c r="C7" s="1" t="s">
        <v>3</v>
      </c>
      <c r="D7" s="2" t="s">
        <v>42</v>
      </c>
      <c r="E7" s="3">
        <v>-63</v>
      </c>
      <c r="F7" s="3">
        <v>-130</v>
      </c>
      <c r="G7" s="3">
        <v>-256</v>
      </c>
      <c r="H7" s="3">
        <v>-1143</v>
      </c>
      <c r="I7" s="12"/>
      <c r="J7" s="13">
        <f>SUM(E6:E7)/2</f>
        <v>-63.5</v>
      </c>
      <c r="K7" s="13">
        <f>SUM(F6:F7)/2</f>
        <v>-128</v>
      </c>
      <c r="L7" s="13">
        <f>SUM(G6:G7)/2</f>
        <v>-248.5</v>
      </c>
      <c r="M7" s="13">
        <f>SUM(H6:H7)/2</f>
        <v>-1112</v>
      </c>
      <c r="N7" s="7"/>
      <c r="R7">
        <v>3</v>
      </c>
      <c r="S7">
        <f t="shared" si="2"/>
        <v>-137.70000000000002</v>
      </c>
    </row>
    <row r="8" spans="1:19" ht="15.95" customHeight="1" x14ac:dyDescent="0.2">
      <c r="A8" s="6">
        <f t="shared" si="0"/>
        <v>9.7121212121212128</v>
      </c>
      <c r="B8" s="6">
        <f t="shared" si="1"/>
        <v>4.730627306273063</v>
      </c>
      <c r="C8" s="1" t="s">
        <v>4</v>
      </c>
      <c r="D8" s="2" t="s">
        <v>42</v>
      </c>
      <c r="E8" s="3">
        <v>-60</v>
      </c>
      <c r="F8" s="3">
        <v>-132</v>
      </c>
      <c r="G8" s="3">
        <v>-271</v>
      </c>
      <c r="H8" s="3">
        <v>-1282</v>
      </c>
      <c r="I8" s="11"/>
      <c r="N8" s="7"/>
      <c r="R8">
        <v>4</v>
      </c>
      <c r="S8">
        <f t="shared" si="2"/>
        <v>-144.60000000000002</v>
      </c>
    </row>
    <row r="9" spans="1:19" ht="15.95" customHeight="1" x14ac:dyDescent="0.2">
      <c r="A9" s="6">
        <f t="shared" si="0"/>
        <v>8.563909774436091</v>
      </c>
      <c r="B9" s="6">
        <f t="shared" si="1"/>
        <v>4.4319066147859925</v>
      </c>
      <c r="C9" s="1" t="s">
        <v>5</v>
      </c>
      <c r="D9" s="2" t="s">
        <v>42</v>
      </c>
      <c r="E9" s="3">
        <v>-65</v>
      </c>
      <c r="F9" s="3">
        <v>-133</v>
      </c>
      <c r="G9" s="3">
        <v>-257</v>
      </c>
      <c r="H9" s="3">
        <v>-1139</v>
      </c>
      <c r="I9" s="11"/>
      <c r="N9" s="7"/>
      <c r="R9">
        <v>5</v>
      </c>
      <c r="S9">
        <f t="shared" si="2"/>
        <v>-151.50000000000003</v>
      </c>
    </row>
    <row r="10" spans="1:19" ht="15.95" customHeight="1" x14ac:dyDescent="0.2">
      <c r="A10" s="6">
        <f t="shared" si="0"/>
        <v>8.9776119402985071</v>
      </c>
      <c r="B10" s="6">
        <f t="shared" si="1"/>
        <v>4.7176470588235295</v>
      </c>
      <c r="C10" s="1" t="s">
        <v>6</v>
      </c>
      <c r="D10" s="2" t="s">
        <v>45</v>
      </c>
      <c r="E10" s="3">
        <v>-64</v>
      </c>
      <c r="F10" s="3">
        <v>-134</v>
      </c>
      <c r="G10" s="3">
        <v>-255</v>
      </c>
      <c r="H10" s="3">
        <v>-1203</v>
      </c>
      <c r="I10" s="11"/>
      <c r="N10" s="7"/>
      <c r="R10">
        <v>6</v>
      </c>
      <c r="S10">
        <f t="shared" si="2"/>
        <v>-158.40000000000003</v>
      </c>
    </row>
    <row r="11" spans="1:19" ht="15.95" customHeight="1" x14ac:dyDescent="0.2">
      <c r="A11" s="6">
        <f t="shared" si="0"/>
        <v>9.0962962962962965</v>
      </c>
      <c r="B11" s="6">
        <f t="shared" si="1"/>
        <v>4.7413127413127416</v>
      </c>
      <c r="C11" s="1" t="s">
        <v>7</v>
      </c>
      <c r="D11" s="2" t="s">
        <v>43</v>
      </c>
      <c r="E11" s="3">
        <v>-66</v>
      </c>
      <c r="F11" s="3">
        <v>-135</v>
      </c>
      <c r="G11" s="3">
        <v>-259</v>
      </c>
      <c r="H11" s="3">
        <v>-1228</v>
      </c>
      <c r="I11" s="11"/>
      <c r="N11" s="7"/>
      <c r="R11">
        <v>7</v>
      </c>
      <c r="S11">
        <f t="shared" si="2"/>
        <v>-165.30000000000004</v>
      </c>
    </row>
    <row r="12" spans="1:19" ht="15.95" customHeight="1" x14ac:dyDescent="0.2">
      <c r="A12" s="6">
        <f t="shared" si="0"/>
        <v>9.4632352941176467</v>
      </c>
      <c r="B12" s="6">
        <f t="shared" si="1"/>
        <v>4.68</v>
      </c>
      <c r="C12" s="1" t="s">
        <v>8</v>
      </c>
      <c r="D12" s="2" t="s">
        <v>42</v>
      </c>
      <c r="E12" s="3">
        <v>-63</v>
      </c>
      <c r="F12" s="3">
        <v>-136</v>
      </c>
      <c r="G12" s="3">
        <v>-275</v>
      </c>
      <c r="H12" s="3">
        <v>-1287</v>
      </c>
      <c r="I12" s="11"/>
      <c r="N12" s="7"/>
      <c r="R12">
        <v>8</v>
      </c>
      <c r="S12">
        <f t="shared" si="2"/>
        <v>-172.20000000000005</v>
      </c>
    </row>
    <row r="13" spans="1:19" ht="15.95" customHeight="1" x14ac:dyDescent="0.2">
      <c r="A13" s="6">
        <f t="shared" si="0"/>
        <v>8.4264705882352935</v>
      </c>
      <c r="B13" s="6">
        <f t="shared" si="1"/>
        <v>4.3409090909090908</v>
      </c>
      <c r="C13" s="1" t="s">
        <v>9</v>
      </c>
      <c r="D13" s="2" t="s">
        <v>42</v>
      </c>
      <c r="E13" s="3">
        <v>-68</v>
      </c>
      <c r="F13" s="3">
        <v>-136</v>
      </c>
      <c r="G13" s="3">
        <v>-264</v>
      </c>
      <c r="H13" s="3">
        <v>-1146</v>
      </c>
      <c r="I13" s="11"/>
      <c r="J13" s="13">
        <f>SUM(E8:E13)/6</f>
        <v>-64.333333333333329</v>
      </c>
      <c r="K13" s="13">
        <f>SUM(F8:F13)/6</f>
        <v>-134.33333333333334</v>
      </c>
      <c r="L13" s="13">
        <f>SUM(G8:G13)/6</f>
        <v>-263.5</v>
      </c>
      <c r="M13" s="13">
        <f>SUM(H8:H13)/6</f>
        <v>-1214.1666666666667</v>
      </c>
      <c r="N13" s="7"/>
      <c r="R13">
        <v>9</v>
      </c>
      <c r="S13">
        <f t="shared" si="2"/>
        <v>-179.10000000000005</v>
      </c>
    </row>
    <row r="14" spans="1:19" ht="15.95" customHeight="1" x14ac:dyDescent="0.2">
      <c r="A14" s="6">
        <f t="shared" si="0"/>
        <v>8.7463768115942031</v>
      </c>
      <c r="B14" s="6">
        <f t="shared" si="1"/>
        <v>4.71484375</v>
      </c>
      <c r="C14" s="1" t="s">
        <v>10</v>
      </c>
      <c r="D14" s="2" t="s">
        <v>50</v>
      </c>
      <c r="E14" s="3">
        <v>-73</v>
      </c>
      <c r="F14" s="3">
        <v>-138</v>
      </c>
      <c r="G14" s="3">
        <v>-256</v>
      </c>
      <c r="H14" s="3">
        <v>-1207</v>
      </c>
      <c r="I14" s="12"/>
      <c r="N14" s="7"/>
      <c r="R14">
        <v>10</v>
      </c>
      <c r="S14">
        <f t="shared" si="2"/>
        <v>-186.00000000000006</v>
      </c>
    </row>
    <row r="15" spans="1:19" ht="15.95" customHeight="1" x14ac:dyDescent="0.2">
      <c r="A15" s="6">
        <f t="shared" si="0"/>
        <v>9.2877697841726619</v>
      </c>
      <c r="B15" s="6">
        <f t="shared" si="1"/>
        <v>4.9463601532567054</v>
      </c>
      <c r="C15" s="1" t="s">
        <v>11</v>
      </c>
      <c r="D15" s="2" t="s">
        <v>48</v>
      </c>
      <c r="E15" s="3">
        <v>-72</v>
      </c>
      <c r="F15" s="3">
        <v>-139</v>
      </c>
      <c r="G15" s="3">
        <v>-261</v>
      </c>
      <c r="H15" s="3">
        <v>-1291</v>
      </c>
      <c r="I15" s="12"/>
      <c r="N15" s="7"/>
    </row>
    <row r="16" spans="1:19" ht="15.95" customHeight="1" x14ac:dyDescent="0.2">
      <c r="A16" s="6">
        <f t="shared" si="0"/>
        <v>8.2836879432624109</v>
      </c>
      <c r="B16" s="6">
        <f t="shared" si="1"/>
        <v>4.4750957854406126</v>
      </c>
      <c r="C16" s="1" t="s">
        <v>12</v>
      </c>
      <c r="D16" s="2" t="s">
        <v>46</v>
      </c>
      <c r="E16" s="3">
        <v>-62</v>
      </c>
      <c r="F16" s="3">
        <v>-141</v>
      </c>
      <c r="G16" s="3">
        <v>-261</v>
      </c>
      <c r="H16" s="3">
        <v>-1168</v>
      </c>
      <c r="I16" s="12"/>
      <c r="N16" s="7"/>
    </row>
    <row r="17" spans="1:14" ht="15.95" customHeight="1" x14ac:dyDescent="0.2">
      <c r="A17" s="6">
        <f t="shared" si="0"/>
        <v>8.8581560283687946</v>
      </c>
      <c r="B17" s="6">
        <f t="shared" si="1"/>
        <v>4.5090252707581229</v>
      </c>
      <c r="C17" s="1" t="s">
        <v>13</v>
      </c>
      <c r="D17" s="2" t="s">
        <v>49</v>
      </c>
      <c r="E17" s="3">
        <v>-70</v>
      </c>
      <c r="F17" s="3">
        <v>-141</v>
      </c>
      <c r="G17" s="3">
        <v>-277</v>
      </c>
      <c r="H17" s="3">
        <v>-1249</v>
      </c>
      <c r="I17" s="12"/>
      <c r="N17" s="7"/>
    </row>
    <row r="18" spans="1:14" ht="15.95" customHeight="1" x14ac:dyDescent="0.2">
      <c r="A18" s="6">
        <f t="shared" si="0"/>
        <v>8.077464788732394</v>
      </c>
      <c r="B18" s="6">
        <f t="shared" si="1"/>
        <v>4.2958801498127341</v>
      </c>
      <c r="C18" s="1" t="s">
        <v>14</v>
      </c>
      <c r="D18" s="2" t="s">
        <v>42</v>
      </c>
      <c r="E18" s="3">
        <v>-73</v>
      </c>
      <c r="F18" s="3">
        <v>-142</v>
      </c>
      <c r="G18" s="3">
        <v>-267</v>
      </c>
      <c r="H18" s="3">
        <v>-1147</v>
      </c>
      <c r="I18" s="12"/>
      <c r="N18" s="7"/>
    </row>
    <row r="19" spans="1:14" ht="15.95" customHeight="1" x14ac:dyDescent="0.2">
      <c r="A19" s="6">
        <f t="shared" si="0"/>
        <v>8.6573426573426566</v>
      </c>
      <c r="B19" s="6">
        <f t="shared" si="1"/>
        <v>4.6716981132075475</v>
      </c>
      <c r="C19" s="1" t="s">
        <v>15</v>
      </c>
      <c r="D19" s="2" t="s">
        <v>45</v>
      </c>
      <c r="E19" s="3">
        <v>-72</v>
      </c>
      <c r="F19" s="3">
        <v>-143</v>
      </c>
      <c r="G19" s="3">
        <v>-265</v>
      </c>
      <c r="H19" s="3">
        <v>-1238</v>
      </c>
      <c r="I19" s="12"/>
      <c r="N19" s="7"/>
    </row>
    <row r="20" spans="1:14" ht="15.95" customHeight="1" x14ac:dyDescent="0.2">
      <c r="A20" s="6">
        <f t="shared" si="0"/>
        <v>9.1527777777777786</v>
      </c>
      <c r="B20" s="6">
        <f t="shared" si="1"/>
        <v>4.7410071942446042</v>
      </c>
      <c r="C20" s="1" t="s">
        <v>16</v>
      </c>
      <c r="D20" s="2" t="s">
        <v>41</v>
      </c>
      <c r="E20" s="3">
        <v>-61</v>
      </c>
      <c r="F20" s="3">
        <v>-144</v>
      </c>
      <c r="G20" s="3">
        <v>-278</v>
      </c>
      <c r="H20" s="3">
        <v>-1318</v>
      </c>
      <c r="I20" s="12"/>
      <c r="J20" s="13">
        <f>SUM(E14:E20)/7</f>
        <v>-69</v>
      </c>
      <c r="K20" s="13">
        <f>SUM(F14:F20)/7</f>
        <v>-141.14285714285714</v>
      </c>
      <c r="L20" s="13">
        <f>SUM(G14:G20)/7</f>
        <v>-266.42857142857144</v>
      </c>
      <c r="M20" s="13">
        <f>SUM(H14:H20)/7</f>
        <v>-1231.1428571428571</v>
      </c>
      <c r="N20" s="7"/>
    </row>
    <row r="21" spans="1:14" ht="15.95" customHeight="1" x14ac:dyDescent="0.2">
      <c r="A21" s="6">
        <f t="shared" si="0"/>
        <v>8.9034482758620683</v>
      </c>
      <c r="B21" s="6">
        <f t="shared" si="1"/>
        <v>4.6272401433691757</v>
      </c>
      <c r="C21" s="1" t="s">
        <v>17</v>
      </c>
      <c r="D21" s="2" t="s">
        <v>45</v>
      </c>
      <c r="E21" s="3">
        <v>-62</v>
      </c>
      <c r="F21" s="3">
        <v>-145</v>
      </c>
      <c r="G21" s="3">
        <v>-279</v>
      </c>
      <c r="H21" s="3">
        <v>-1291</v>
      </c>
      <c r="I21" s="11"/>
      <c r="N21" s="7"/>
    </row>
    <row r="22" spans="1:14" ht="15.95" customHeight="1" x14ac:dyDescent="0.2">
      <c r="A22" s="6">
        <f t="shared" si="0"/>
        <v>9.2229729729729737</v>
      </c>
      <c r="B22" s="6">
        <f t="shared" si="1"/>
        <v>4.6907216494845363</v>
      </c>
      <c r="C22" s="1" t="s">
        <v>18</v>
      </c>
      <c r="D22" s="2" t="s">
        <v>44</v>
      </c>
      <c r="E22" s="3">
        <v>-68</v>
      </c>
      <c r="F22" s="3">
        <v>-148</v>
      </c>
      <c r="G22" s="3">
        <v>-291</v>
      </c>
      <c r="H22" s="3">
        <v>-1365</v>
      </c>
      <c r="I22" s="11"/>
      <c r="N22" s="7"/>
    </row>
    <row r="23" spans="1:14" ht="15.95" customHeight="1" x14ac:dyDescent="0.2">
      <c r="A23" s="6">
        <f t="shared" si="0"/>
        <v>7.7181208053691277</v>
      </c>
      <c r="B23" s="6">
        <f t="shared" si="1"/>
        <v>4.3396226415094343</v>
      </c>
      <c r="C23" s="1" t="s">
        <v>21</v>
      </c>
      <c r="D23" s="2" t="s">
        <v>50</v>
      </c>
      <c r="E23" s="3">
        <v>-74</v>
      </c>
      <c r="F23" s="3">
        <v>-149</v>
      </c>
      <c r="G23" s="3">
        <v>-265</v>
      </c>
      <c r="H23" s="3">
        <v>-1150</v>
      </c>
      <c r="I23" s="11"/>
      <c r="N23" s="7"/>
    </row>
    <row r="24" spans="1:14" ht="15.95" customHeight="1" x14ac:dyDescent="0.2">
      <c r="A24" s="6">
        <f t="shared" si="0"/>
        <v>8.1275167785234892</v>
      </c>
      <c r="B24" s="6">
        <f t="shared" si="1"/>
        <v>4.5186567164179108</v>
      </c>
      <c r="C24" s="1" t="s">
        <v>19</v>
      </c>
      <c r="D24" s="2" t="s">
        <v>45</v>
      </c>
      <c r="E24" s="3">
        <v>-75</v>
      </c>
      <c r="F24" s="3">
        <v>-149</v>
      </c>
      <c r="G24" s="3">
        <v>-268</v>
      </c>
      <c r="H24" s="3">
        <v>-1211</v>
      </c>
      <c r="I24" s="11"/>
      <c r="N24" s="7"/>
    </row>
    <row r="25" spans="1:14" ht="15.95" customHeight="1" x14ac:dyDescent="0.2">
      <c r="A25" s="6">
        <f t="shared" si="0"/>
        <v>8.3825503355704694</v>
      </c>
      <c r="B25" s="6">
        <f t="shared" si="1"/>
        <v>4.6259259259259258</v>
      </c>
      <c r="C25" s="1" t="s">
        <v>20</v>
      </c>
      <c r="D25" s="2" t="s">
        <v>45</v>
      </c>
      <c r="E25" s="3">
        <v>-77</v>
      </c>
      <c r="F25" s="3">
        <v>-149</v>
      </c>
      <c r="G25" s="3">
        <v>-270</v>
      </c>
      <c r="H25" s="3">
        <v>-1249</v>
      </c>
      <c r="I25" s="11"/>
      <c r="N25" s="7"/>
    </row>
    <row r="26" spans="1:14" ht="15.95" customHeight="1" x14ac:dyDescent="0.2">
      <c r="A26" s="6">
        <f t="shared" si="0"/>
        <v>8.8866666666666667</v>
      </c>
      <c r="B26" s="6">
        <f t="shared" si="1"/>
        <v>4.5650684931506849</v>
      </c>
      <c r="C26" s="1" t="s">
        <v>22</v>
      </c>
      <c r="D26" s="2" t="s">
        <v>45</v>
      </c>
      <c r="E26" s="3">
        <v>-67</v>
      </c>
      <c r="F26" s="3">
        <v>-150</v>
      </c>
      <c r="G26" s="3">
        <v>-292</v>
      </c>
      <c r="H26" s="3">
        <v>-1333</v>
      </c>
      <c r="I26" s="11"/>
      <c r="N26" s="7"/>
    </row>
    <row r="27" spans="1:14" ht="15.95" customHeight="1" x14ac:dyDescent="0.2">
      <c r="A27" s="6">
        <f t="shared" si="0"/>
        <v>8.1258278145695364</v>
      </c>
      <c r="B27" s="6">
        <f t="shared" si="1"/>
        <v>4.6832061068702293</v>
      </c>
      <c r="C27" s="1" t="s">
        <v>23</v>
      </c>
      <c r="D27" s="2" t="s">
        <v>41</v>
      </c>
      <c r="E27" s="3">
        <v>-61</v>
      </c>
      <c r="F27" s="3">
        <v>-151</v>
      </c>
      <c r="G27" s="3">
        <v>-262</v>
      </c>
      <c r="H27" s="3">
        <v>-1227</v>
      </c>
      <c r="I27" s="11"/>
      <c r="J27" s="13">
        <f>SUM(E21:E27)/7</f>
        <v>-69.142857142857139</v>
      </c>
      <c r="K27" s="13">
        <f>SUM(F21:F27)/7</f>
        <v>-148.71428571428572</v>
      </c>
      <c r="L27" s="13">
        <f>SUM(G21:G27)/7</f>
        <v>-275.28571428571428</v>
      </c>
      <c r="M27" s="13">
        <f>SUM(H21:H27)/7</f>
        <v>-1260.8571428571429</v>
      </c>
      <c r="N27" s="7"/>
    </row>
    <row r="28" spans="1:14" ht="15.95" customHeight="1" x14ac:dyDescent="0.2">
      <c r="A28" s="6">
        <f t="shared" si="0"/>
        <v>8.625</v>
      </c>
      <c r="B28" s="6">
        <f t="shared" si="1"/>
        <v>4.5206896551724141</v>
      </c>
      <c r="C28" s="1" t="s">
        <v>24</v>
      </c>
      <c r="D28" s="2" t="s">
        <v>41</v>
      </c>
      <c r="E28" s="3">
        <v>-63</v>
      </c>
      <c r="F28" s="3">
        <v>-152</v>
      </c>
      <c r="G28" s="3">
        <v>-290</v>
      </c>
      <c r="H28" s="3">
        <v>-1311</v>
      </c>
      <c r="I28" s="12"/>
      <c r="N28" s="7"/>
    </row>
    <row r="29" spans="1:14" ht="15.95" customHeight="1" x14ac:dyDescent="0.2">
      <c r="A29" s="6">
        <f t="shared" si="0"/>
        <v>8.7105263157894743</v>
      </c>
      <c r="B29" s="6">
        <f t="shared" si="1"/>
        <v>4.5342465753424657</v>
      </c>
      <c r="C29" s="1" t="s">
        <v>27</v>
      </c>
      <c r="D29" s="2" t="s">
        <v>40</v>
      </c>
      <c r="E29" s="3">
        <v>-77</v>
      </c>
      <c r="F29" s="3">
        <v>-152</v>
      </c>
      <c r="G29" s="3">
        <v>-292</v>
      </c>
      <c r="H29" s="3">
        <v>-1324</v>
      </c>
      <c r="I29" s="12"/>
      <c r="N29" s="7"/>
    </row>
    <row r="30" spans="1:14" ht="15.95" customHeight="1" x14ac:dyDescent="0.2">
      <c r="A30" s="6">
        <f t="shared" si="0"/>
        <v>8.4605263157894743</v>
      </c>
      <c r="B30" s="6">
        <f t="shared" si="1"/>
        <v>4.480836236933798</v>
      </c>
      <c r="C30" s="1" t="s">
        <v>25</v>
      </c>
      <c r="D30" s="2" t="s">
        <v>43</v>
      </c>
      <c r="E30" s="3">
        <v>-78</v>
      </c>
      <c r="F30" s="3">
        <v>-152</v>
      </c>
      <c r="G30" s="3">
        <v>-287</v>
      </c>
      <c r="H30" s="3">
        <v>-1286</v>
      </c>
      <c r="I30" s="12"/>
      <c r="N30" s="7"/>
    </row>
    <row r="31" spans="1:14" ht="15.95" customHeight="1" x14ac:dyDescent="0.2">
      <c r="A31" s="6">
        <f t="shared" si="0"/>
        <v>8.4671052631578956</v>
      </c>
      <c r="B31" s="6">
        <f t="shared" si="1"/>
        <v>4.484320557491289</v>
      </c>
      <c r="C31" s="1" t="s">
        <v>26</v>
      </c>
      <c r="D31" s="2" t="s">
        <v>43</v>
      </c>
      <c r="E31" s="3">
        <v>-79</v>
      </c>
      <c r="F31" s="3">
        <v>-152</v>
      </c>
      <c r="G31" s="3">
        <v>-287</v>
      </c>
      <c r="H31" s="3">
        <v>-1287</v>
      </c>
      <c r="I31" s="12"/>
      <c r="N31" s="7"/>
    </row>
    <row r="32" spans="1:14" ht="15.95" customHeight="1" x14ac:dyDescent="0.2">
      <c r="A32" s="6">
        <f t="shared" si="0"/>
        <v>8.8366013071895431</v>
      </c>
      <c r="B32" s="6">
        <f t="shared" si="1"/>
        <v>4.5369127516778525</v>
      </c>
      <c r="C32" s="1" t="s">
        <v>28</v>
      </c>
      <c r="D32" s="2" t="s">
        <v>47</v>
      </c>
      <c r="E32" s="3">
        <v>-65</v>
      </c>
      <c r="F32" s="3">
        <v>-153</v>
      </c>
      <c r="G32" s="3">
        <v>-298</v>
      </c>
      <c r="H32" s="3">
        <v>-1352</v>
      </c>
      <c r="I32" s="12"/>
      <c r="N32" s="7"/>
    </row>
    <row r="33" spans="1:14" ht="15.95" customHeight="1" x14ac:dyDescent="0.2">
      <c r="A33" s="6">
        <f t="shared" si="0"/>
        <v>8.8758169934640527</v>
      </c>
      <c r="B33" s="6">
        <f t="shared" si="1"/>
        <v>4.4966887417218544</v>
      </c>
      <c r="C33" s="1" t="s">
        <v>29</v>
      </c>
      <c r="D33" s="2" t="s">
        <v>44</v>
      </c>
      <c r="E33" s="3">
        <v>-65</v>
      </c>
      <c r="F33" s="3">
        <v>-153</v>
      </c>
      <c r="G33" s="3">
        <v>-302</v>
      </c>
      <c r="H33" s="3">
        <v>-1358</v>
      </c>
      <c r="I33" s="12"/>
      <c r="N33" s="7"/>
    </row>
    <row r="34" spans="1:14" ht="15.95" customHeight="1" x14ac:dyDescent="0.2">
      <c r="A34" s="6">
        <f t="shared" si="0"/>
        <v>8.9096774193548391</v>
      </c>
      <c r="B34" s="6">
        <f t="shared" si="1"/>
        <v>4.6655405405405403</v>
      </c>
      <c r="C34" s="1" t="s">
        <v>30</v>
      </c>
      <c r="D34" s="2" t="s">
        <v>41</v>
      </c>
      <c r="E34" s="3">
        <v>-64</v>
      </c>
      <c r="F34" s="3">
        <v>-155</v>
      </c>
      <c r="G34" s="3">
        <v>-296</v>
      </c>
      <c r="H34" s="3">
        <v>-1381</v>
      </c>
      <c r="I34" s="12"/>
      <c r="N34" s="7"/>
    </row>
    <row r="35" spans="1:14" ht="15.95" customHeight="1" x14ac:dyDescent="0.2">
      <c r="A35" s="6">
        <f t="shared" si="0"/>
        <v>8.3503184713375802</v>
      </c>
      <c r="B35" s="6">
        <f t="shared" si="1"/>
        <v>4.4290540540540544</v>
      </c>
      <c r="C35" s="1" t="s">
        <v>31</v>
      </c>
      <c r="D35" s="2" t="s">
        <v>43</v>
      </c>
      <c r="E35" s="3">
        <v>-82</v>
      </c>
      <c r="F35" s="3">
        <v>-157</v>
      </c>
      <c r="G35" s="3">
        <v>-296</v>
      </c>
      <c r="H35" s="3">
        <v>-1311</v>
      </c>
      <c r="I35" s="12"/>
      <c r="J35" s="13">
        <f>SUM(E28:E35)/8</f>
        <v>-71.625</v>
      </c>
      <c r="K35" s="13">
        <f>SUM(F28:F35)/8</f>
        <v>-153.25</v>
      </c>
      <c r="L35" s="13">
        <f>SUM(G28:G35)/8</f>
        <v>-293.5</v>
      </c>
      <c r="M35" s="13">
        <f>SUM(H28:H35)/8</f>
        <v>-1326.25</v>
      </c>
      <c r="N35" s="7"/>
    </row>
    <row r="36" spans="1:14" ht="15.95" customHeight="1" x14ac:dyDescent="0.2">
      <c r="A36" s="6">
        <f t="shared" si="0"/>
        <v>7.8101265822784809</v>
      </c>
      <c r="B36" s="6">
        <f t="shared" si="1"/>
        <v>4.5535055350553506</v>
      </c>
      <c r="C36" s="1" t="s">
        <v>32</v>
      </c>
      <c r="D36" s="2" t="s">
        <v>46</v>
      </c>
      <c r="E36" s="3">
        <v>-89</v>
      </c>
      <c r="F36" s="3">
        <v>-158</v>
      </c>
      <c r="G36" s="3">
        <v>-271</v>
      </c>
      <c r="H36" s="3">
        <v>-1234</v>
      </c>
      <c r="I36" s="11"/>
      <c r="N36" s="7"/>
    </row>
    <row r="37" spans="1:14" ht="15.95" customHeight="1" x14ac:dyDescent="0.2">
      <c r="A37" s="6">
        <f t="shared" si="0"/>
        <v>7.5568862275449105</v>
      </c>
      <c r="B37" s="6">
        <f t="shared" si="1"/>
        <v>4.1377049180327869</v>
      </c>
      <c r="C37" s="1" t="s">
        <v>33</v>
      </c>
      <c r="D37" s="2" t="s">
        <v>51</v>
      </c>
      <c r="E37" s="3">
        <v>-83</v>
      </c>
      <c r="F37" s="3">
        <v>-167</v>
      </c>
      <c r="G37" s="3">
        <v>-305</v>
      </c>
      <c r="H37" s="3">
        <v>-1262</v>
      </c>
      <c r="I37" s="11"/>
      <c r="J37" s="13">
        <f>SUM(E36:E37)/2</f>
        <v>-86</v>
      </c>
      <c r="K37" s="13">
        <f>SUM(F36:F37)/2</f>
        <v>-162.5</v>
      </c>
      <c r="L37" s="13">
        <f>SUM(G36:G37)/2</f>
        <v>-288</v>
      </c>
      <c r="M37" s="13">
        <f>SUM(H36:H37)/2</f>
        <v>-1248</v>
      </c>
      <c r="N37" s="7"/>
    </row>
    <row r="38" spans="1:14" ht="15.95" customHeight="1" x14ac:dyDescent="0.2">
      <c r="A38" s="6">
        <f t="shared" si="0"/>
        <v>7.5325443786982245</v>
      </c>
      <c r="B38" s="6">
        <f t="shared" si="1"/>
        <v>4.3595890410958908</v>
      </c>
      <c r="C38" s="1" t="s">
        <v>34</v>
      </c>
      <c r="D38" s="2" t="s">
        <v>46</v>
      </c>
      <c r="E38" s="3">
        <v>-79</v>
      </c>
      <c r="F38" s="3">
        <v>-169</v>
      </c>
      <c r="G38" s="3">
        <v>-292</v>
      </c>
      <c r="H38" s="3">
        <v>-1273</v>
      </c>
      <c r="I38" s="12"/>
      <c r="N38" s="7"/>
    </row>
    <row r="39" spans="1:14" ht="15.95" customHeight="1" x14ac:dyDescent="0.2">
      <c r="A39" s="6">
        <f t="shared" si="0"/>
        <v>8.2941176470588243</v>
      </c>
      <c r="B39" s="6">
        <f t="shared" si="1"/>
        <v>4.3788819875776399</v>
      </c>
      <c r="C39" s="1" t="s">
        <v>35</v>
      </c>
      <c r="D39" s="2" t="s">
        <v>48</v>
      </c>
      <c r="E39" s="3">
        <v>-69</v>
      </c>
      <c r="F39" s="3">
        <v>-170</v>
      </c>
      <c r="G39" s="3">
        <v>-322</v>
      </c>
      <c r="H39" s="3">
        <v>-1410</v>
      </c>
      <c r="I39" s="12"/>
      <c r="J39" s="13">
        <f>SUM(E38:E39)/2</f>
        <v>-74</v>
      </c>
      <c r="K39" s="13">
        <f>SUM(F38:F39)/2</f>
        <v>-169.5</v>
      </c>
      <c r="L39" s="13">
        <f>SUM(G38:G39)/2</f>
        <v>-307</v>
      </c>
      <c r="M39" s="13">
        <f>SUM(H38:H39)/2</f>
        <v>-1341.5</v>
      </c>
      <c r="N39" s="7"/>
    </row>
    <row r="40" spans="1:14" ht="15.95" customHeight="1" x14ac:dyDescent="0.2">
      <c r="A40" s="6">
        <f t="shared" si="0"/>
        <v>7.5965909090909092</v>
      </c>
      <c r="B40" s="6">
        <f t="shared" si="1"/>
        <v>4.2579617834394901</v>
      </c>
      <c r="C40" s="1" t="s">
        <v>36</v>
      </c>
      <c r="D40" s="2" t="s">
        <v>46</v>
      </c>
      <c r="E40" s="3">
        <v>-80</v>
      </c>
      <c r="F40" s="3">
        <v>-176</v>
      </c>
      <c r="G40" s="3">
        <v>-314</v>
      </c>
      <c r="H40" s="3">
        <v>-1337</v>
      </c>
      <c r="I40" s="11"/>
      <c r="N40" s="7"/>
    </row>
    <row r="41" spans="1:14" ht="15.95" customHeight="1" x14ac:dyDescent="0.2">
      <c r="A41" s="6">
        <f t="shared" si="0"/>
        <v>7.797752808988764</v>
      </c>
      <c r="B41" s="6">
        <f t="shared" si="1"/>
        <v>4.257668711656442</v>
      </c>
      <c r="C41" s="1" t="s">
        <v>37</v>
      </c>
      <c r="D41" s="2" t="s">
        <v>48</v>
      </c>
      <c r="E41" s="3">
        <v>-79</v>
      </c>
      <c r="F41" s="3">
        <v>-178</v>
      </c>
      <c r="G41" s="3">
        <v>-326</v>
      </c>
      <c r="H41" s="3">
        <v>-1388</v>
      </c>
      <c r="I41" s="11"/>
      <c r="J41" s="13">
        <f>SUM(E40:E41)/2</f>
        <v>-79.5</v>
      </c>
      <c r="K41" s="13">
        <f>SUM(F40:F41)/2</f>
        <v>-177</v>
      </c>
      <c r="L41" s="13">
        <f>SUM(G40:G41)/2</f>
        <v>-320</v>
      </c>
      <c r="M41" s="13">
        <f>SUM(H40:H41)/2</f>
        <v>-1362.5</v>
      </c>
      <c r="N41" s="7"/>
    </row>
    <row r="42" spans="1:14" ht="15.95" customHeight="1" x14ac:dyDescent="0.2">
      <c r="A42" s="6">
        <f t="shared" si="0"/>
        <v>7.5792349726775958</v>
      </c>
      <c r="B42" s="6">
        <f t="shared" si="1"/>
        <v>4.2158054711246198</v>
      </c>
      <c r="C42" s="1" t="s">
        <v>38</v>
      </c>
      <c r="D42" s="2" t="s">
        <v>48</v>
      </c>
      <c r="E42" s="3">
        <v>-84</v>
      </c>
      <c r="F42" s="3">
        <v>-183</v>
      </c>
      <c r="G42" s="3">
        <v>-329</v>
      </c>
      <c r="H42" s="3">
        <v>-1387</v>
      </c>
      <c r="I42" s="12"/>
      <c r="N42" s="7"/>
    </row>
    <row r="43" spans="1:14" ht="15.95" customHeight="1" x14ac:dyDescent="0.2">
      <c r="A43" s="6">
        <f t="shared" si="0"/>
        <v>7.672043010752688</v>
      </c>
      <c r="B43" s="6">
        <f t="shared" si="1"/>
        <v>4.2597014925373138</v>
      </c>
      <c r="C43" s="1" t="s">
        <v>39</v>
      </c>
      <c r="D43" s="2" t="s">
        <v>48</v>
      </c>
      <c r="E43" s="3">
        <v>-81</v>
      </c>
      <c r="F43" s="3">
        <v>-186</v>
      </c>
      <c r="G43" s="3">
        <v>-335</v>
      </c>
      <c r="H43" s="3">
        <v>-1427</v>
      </c>
      <c r="I43" s="12"/>
      <c r="J43" s="13">
        <f>SUM(E42:E43)/2</f>
        <v>-82.5</v>
      </c>
      <c r="K43" s="13">
        <f>SUM(F42:F43)/2</f>
        <v>-184.5</v>
      </c>
      <c r="L43" s="13">
        <f>SUM(G42:G43)/2</f>
        <v>-332</v>
      </c>
      <c r="M43" s="13">
        <f>SUM(H42:H43)/2</f>
        <v>-1407</v>
      </c>
      <c r="N43" s="7"/>
    </row>
    <row r="44" spans="1:14" ht="15.95" customHeight="1" x14ac:dyDescent="0.2">
      <c r="E44" s="4"/>
      <c r="F44" s="4"/>
      <c r="G44" s="4"/>
      <c r="H44" s="4"/>
    </row>
    <row r="45" spans="1:14" ht="15.95" customHeight="1" x14ac:dyDescent="0.2"/>
    <row r="46" spans="1:14" ht="15.95" customHeight="1" x14ac:dyDescent="0.2"/>
    <row r="47" spans="1:14" ht="15.95" customHeight="1" x14ac:dyDescent="0.2"/>
    <row r="48" spans="1:1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I255"/>
  <sheetViews>
    <sheetView topLeftCell="K210" zoomScale="90" workbookViewId="0">
      <selection activeCell="AC229" sqref="AC229"/>
    </sheetView>
  </sheetViews>
  <sheetFormatPr defaultRowHeight="12.75" x14ac:dyDescent="0.2"/>
  <cols>
    <col min="4" max="4" width="20.140625" customWidth="1"/>
    <col min="13" max="13" width="9.28515625" customWidth="1"/>
    <col min="15" max="15" width="11.42578125" customWidth="1"/>
  </cols>
  <sheetData>
    <row r="1" spans="1:61" ht="15.95" customHeight="1" x14ac:dyDescent="0.2"/>
    <row r="2" spans="1:61" ht="15.95" customHeight="1" x14ac:dyDescent="0.25">
      <c r="A2" s="14">
        <v>40.5</v>
      </c>
      <c r="B2" s="15">
        <v>40.1</v>
      </c>
      <c r="E2" s="5">
        <v>2</v>
      </c>
      <c r="F2" s="5">
        <v>5</v>
      </c>
      <c r="G2" s="5">
        <v>10</v>
      </c>
      <c r="H2" s="5">
        <v>40</v>
      </c>
      <c r="J2" s="59" t="s">
        <v>100</v>
      </c>
      <c r="BI2" s="105" t="s">
        <v>86</v>
      </c>
    </row>
    <row r="3" spans="1:61" ht="15.95" customHeight="1" x14ac:dyDescent="0.2">
      <c r="A3" s="6">
        <f>+H3/F3</f>
        <v>11.136363636363637</v>
      </c>
      <c r="B3" s="6">
        <f>+H3/G3</f>
        <v>4.939516129032258</v>
      </c>
      <c r="C3" s="1">
        <v>1505</v>
      </c>
      <c r="D3" s="2" t="s">
        <v>40</v>
      </c>
      <c r="E3" s="3">
        <v>-31</v>
      </c>
      <c r="F3" s="3">
        <v>-110</v>
      </c>
      <c r="G3" s="3">
        <v>-248</v>
      </c>
      <c r="H3" s="3">
        <v>-1225</v>
      </c>
      <c r="Q3" s="10">
        <v>10</v>
      </c>
    </row>
    <row r="4" spans="1:61" ht="15.95" customHeight="1" x14ac:dyDescent="0.2">
      <c r="A4" s="6">
        <f t="shared" ref="A4:A43" si="0">+H4/F4</f>
        <v>9.0940170940170937</v>
      </c>
      <c r="B4" s="6">
        <f t="shared" ref="B4:B43" si="1">+H4/G4</f>
        <v>4.6060606060606064</v>
      </c>
      <c r="C4" s="1" t="s">
        <v>0</v>
      </c>
      <c r="D4" s="2" t="s">
        <v>44</v>
      </c>
      <c r="E4" s="3">
        <v>-58</v>
      </c>
      <c r="F4" s="3">
        <v>-117</v>
      </c>
      <c r="G4" s="3">
        <v>-231</v>
      </c>
      <c r="H4" s="3">
        <v>-1064</v>
      </c>
      <c r="I4" s="11"/>
      <c r="O4" s="9" t="s">
        <v>52</v>
      </c>
      <c r="P4" s="10">
        <f>335-231</f>
        <v>104</v>
      </c>
      <c r="Q4">
        <f>P4/Q3</f>
        <v>10.4</v>
      </c>
      <c r="S4">
        <f>G4</f>
        <v>-231</v>
      </c>
    </row>
    <row r="5" spans="1:61" ht="15.95" customHeight="1" x14ac:dyDescent="0.2">
      <c r="A5" s="6">
        <f t="shared" si="0"/>
        <v>8.9262295081967213</v>
      </c>
      <c r="B5" s="6">
        <f t="shared" si="1"/>
        <v>4.5756302521008401</v>
      </c>
      <c r="C5" s="1" t="s">
        <v>1</v>
      </c>
      <c r="D5" s="2" t="s">
        <v>44</v>
      </c>
      <c r="E5" s="3">
        <v>-58</v>
      </c>
      <c r="F5" s="3">
        <v>-122</v>
      </c>
      <c r="G5" s="3">
        <v>-238</v>
      </c>
      <c r="H5" s="3">
        <v>-1089</v>
      </c>
      <c r="I5" s="11"/>
      <c r="J5" s="13">
        <f>SUM(E4:E5)/2</f>
        <v>-58</v>
      </c>
      <c r="K5" s="13">
        <f>SUM(F4:F5)/2</f>
        <v>-119.5</v>
      </c>
      <c r="L5" s="13">
        <f>SUM(G4:G5)/2</f>
        <v>-234.5</v>
      </c>
      <c r="M5" s="13">
        <f>SUM(H4:H5)/2</f>
        <v>-1076.5</v>
      </c>
      <c r="R5" s="11">
        <v>1</v>
      </c>
      <c r="S5">
        <f>S4-$Q$4</f>
        <v>-241.4</v>
      </c>
    </row>
    <row r="6" spans="1:61" ht="15.95" customHeight="1" x14ac:dyDescent="0.2">
      <c r="A6" s="6">
        <f t="shared" si="0"/>
        <v>8.5793650793650791</v>
      </c>
      <c r="B6" s="6">
        <f t="shared" si="1"/>
        <v>4.4854771784232366</v>
      </c>
      <c r="C6" s="1" t="s">
        <v>2</v>
      </c>
      <c r="D6" s="2" t="s">
        <v>44</v>
      </c>
      <c r="E6" s="3">
        <v>-64</v>
      </c>
      <c r="F6" s="3">
        <v>-126</v>
      </c>
      <c r="G6" s="3">
        <v>-241</v>
      </c>
      <c r="H6" s="3">
        <v>-1081</v>
      </c>
      <c r="I6" s="12"/>
      <c r="J6" s="16">
        <f>(J5+J7)/2</f>
        <v>-61</v>
      </c>
      <c r="K6" s="16">
        <f>(K5+K7)/2</f>
        <v>-124.75</v>
      </c>
      <c r="L6" s="16">
        <f>(L5+L7)/2</f>
        <v>-241.25</v>
      </c>
      <c r="M6" s="16">
        <f>(M5+M7)/2</f>
        <v>-1109.25</v>
      </c>
      <c r="N6" s="19">
        <f>+M6/L6</f>
        <v>4.5979274611398964</v>
      </c>
      <c r="R6" s="12">
        <v>2</v>
      </c>
      <c r="S6">
        <f t="shared" ref="S6:S14" si="2">S5-$Q$4</f>
        <v>-251.8</v>
      </c>
    </row>
    <row r="7" spans="1:61" ht="15.95" customHeight="1" x14ac:dyDescent="0.2">
      <c r="A7" s="6">
        <f t="shared" si="0"/>
        <v>8.9776119402985071</v>
      </c>
      <c r="B7" s="6">
        <f t="shared" si="1"/>
        <v>4.7176470588235295</v>
      </c>
      <c r="C7" s="1" t="s">
        <v>6</v>
      </c>
      <c r="D7" s="2" t="s">
        <v>45</v>
      </c>
      <c r="E7" s="3">
        <v>-64</v>
      </c>
      <c r="F7" s="3">
        <v>-134</v>
      </c>
      <c r="G7" s="3">
        <v>-255</v>
      </c>
      <c r="H7" s="3">
        <v>-1203</v>
      </c>
      <c r="I7" s="12"/>
      <c r="J7" s="13">
        <f>SUM(E6:E7)/2</f>
        <v>-64</v>
      </c>
      <c r="K7" s="13">
        <f>SUM(F6:F7)/2</f>
        <v>-130</v>
      </c>
      <c r="L7" s="13">
        <f>SUM(G6:G7)/2</f>
        <v>-248</v>
      </c>
      <c r="M7" s="13">
        <f>SUM(H6:H7)/2</f>
        <v>-1142</v>
      </c>
      <c r="N7" s="19">
        <f>+M7/L7</f>
        <v>4.604838709677419</v>
      </c>
      <c r="R7" s="11">
        <v>3</v>
      </c>
      <c r="S7">
        <f t="shared" si="2"/>
        <v>-262.2</v>
      </c>
    </row>
    <row r="8" spans="1:61" ht="15.95" customHeight="1" x14ac:dyDescent="0.2">
      <c r="A8" s="6">
        <f t="shared" si="0"/>
        <v>8.792307692307693</v>
      </c>
      <c r="B8" s="6">
        <f t="shared" si="1"/>
        <v>4.46484375</v>
      </c>
      <c r="C8" s="1" t="s">
        <v>3</v>
      </c>
      <c r="D8" s="2" t="s">
        <v>42</v>
      </c>
      <c r="E8" s="3">
        <v>-63</v>
      </c>
      <c r="F8" s="3">
        <v>-130</v>
      </c>
      <c r="G8" s="3">
        <v>-256</v>
      </c>
      <c r="H8" s="3">
        <v>-1143</v>
      </c>
      <c r="I8" s="11"/>
      <c r="R8" s="12">
        <v>4</v>
      </c>
      <c r="S8">
        <f t="shared" si="2"/>
        <v>-272.59999999999997</v>
      </c>
    </row>
    <row r="9" spans="1:61" ht="15.95" customHeight="1" x14ac:dyDescent="0.2">
      <c r="A9" s="6">
        <f t="shared" si="0"/>
        <v>8.7463768115942031</v>
      </c>
      <c r="B9" s="6">
        <f t="shared" si="1"/>
        <v>4.71484375</v>
      </c>
      <c r="C9" s="1" t="s">
        <v>10</v>
      </c>
      <c r="D9" s="2" t="s">
        <v>50</v>
      </c>
      <c r="E9" s="3">
        <v>-73</v>
      </c>
      <c r="F9" s="3">
        <v>-138</v>
      </c>
      <c r="G9" s="3">
        <v>-256</v>
      </c>
      <c r="H9" s="3">
        <v>-1207</v>
      </c>
      <c r="I9" s="11"/>
      <c r="R9" s="11">
        <v>5</v>
      </c>
      <c r="S9">
        <f t="shared" si="2"/>
        <v>-282.99999999999994</v>
      </c>
    </row>
    <row r="10" spans="1:61" ht="15.95" customHeight="1" x14ac:dyDescent="0.2">
      <c r="A10" s="6">
        <f t="shared" si="0"/>
        <v>8.563909774436091</v>
      </c>
      <c r="B10" s="6">
        <f t="shared" si="1"/>
        <v>4.4319066147859925</v>
      </c>
      <c r="C10" s="1" t="s">
        <v>5</v>
      </c>
      <c r="D10" s="2" t="s">
        <v>42</v>
      </c>
      <c r="E10" s="3">
        <v>-65</v>
      </c>
      <c r="F10" s="3">
        <v>-133</v>
      </c>
      <c r="G10" s="3">
        <v>-257</v>
      </c>
      <c r="H10" s="3">
        <v>-1139</v>
      </c>
      <c r="I10" s="11"/>
      <c r="R10" s="12">
        <v>6</v>
      </c>
      <c r="S10">
        <f t="shared" si="2"/>
        <v>-293.39999999999992</v>
      </c>
    </row>
    <row r="11" spans="1:61" ht="15.95" customHeight="1" x14ac:dyDescent="0.2">
      <c r="A11" s="6">
        <f t="shared" si="0"/>
        <v>9.0962962962962965</v>
      </c>
      <c r="B11" s="6">
        <f t="shared" si="1"/>
        <v>4.7413127413127416</v>
      </c>
      <c r="C11" s="1" t="s">
        <v>7</v>
      </c>
      <c r="D11" s="2" t="s">
        <v>43</v>
      </c>
      <c r="E11" s="3">
        <v>-66</v>
      </c>
      <c r="F11" s="3">
        <v>-135</v>
      </c>
      <c r="G11" s="3">
        <v>-259</v>
      </c>
      <c r="H11" s="3">
        <v>-1228</v>
      </c>
      <c r="I11" s="11"/>
      <c r="R11" s="11">
        <v>7</v>
      </c>
      <c r="S11">
        <f t="shared" si="2"/>
        <v>-303.7999999999999</v>
      </c>
    </row>
    <row r="12" spans="1:61" ht="15.95" customHeight="1" x14ac:dyDescent="0.2">
      <c r="A12" s="6">
        <f t="shared" si="0"/>
        <v>9.2877697841726619</v>
      </c>
      <c r="B12" s="6">
        <f t="shared" si="1"/>
        <v>4.9463601532567054</v>
      </c>
      <c r="C12" s="1" t="s">
        <v>11</v>
      </c>
      <c r="D12" s="2" t="s">
        <v>48</v>
      </c>
      <c r="E12" s="3">
        <v>-72</v>
      </c>
      <c r="F12" s="3">
        <v>-139</v>
      </c>
      <c r="G12" s="3">
        <v>-261</v>
      </c>
      <c r="H12" s="3">
        <v>-1291</v>
      </c>
      <c r="I12" s="11"/>
      <c r="R12" s="12">
        <v>8</v>
      </c>
      <c r="S12">
        <f t="shared" si="2"/>
        <v>-314.19999999999987</v>
      </c>
    </row>
    <row r="13" spans="1:61" ht="15.95" customHeight="1" x14ac:dyDescent="0.2">
      <c r="A13" s="6">
        <f t="shared" si="0"/>
        <v>8.2836879432624109</v>
      </c>
      <c r="B13" s="6">
        <f t="shared" si="1"/>
        <v>4.4750957854406126</v>
      </c>
      <c r="C13" s="1" t="s">
        <v>12</v>
      </c>
      <c r="D13" s="2" t="s">
        <v>46</v>
      </c>
      <c r="E13" s="3">
        <v>-62</v>
      </c>
      <c r="F13" s="3">
        <v>-141</v>
      </c>
      <c r="G13" s="3">
        <v>-261</v>
      </c>
      <c r="H13" s="3">
        <v>-1168</v>
      </c>
      <c r="I13" s="11"/>
      <c r="R13" s="11">
        <v>9</v>
      </c>
      <c r="S13">
        <f t="shared" si="2"/>
        <v>-324.59999999999985</v>
      </c>
    </row>
    <row r="14" spans="1:61" ht="15.95" customHeight="1" x14ac:dyDescent="0.2">
      <c r="A14" s="6">
        <f t="shared" si="0"/>
        <v>8.1258278145695364</v>
      </c>
      <c r="B14" s="6">
        <f t="shared" si="1"/>
        <v>4.6832061068702293</v>
      </c>
      <c r="C14" s="1" t="s">
        <v>23</v>
      </c>
      <c r="D14" s="2" t="s">
        <v>41</v>
      </c>
      <c r="E14" s="3">
        <v>-61</v>
      </c>
      <c r="F14" s="3">
        <v>-151</v>
      </c>
      <c r="G14" s="3">
        <v>-262</v>
      </c>
      <c r="H14" s="3">
        <v>-1227</v>
      </c>
      <c r="I14" s="11"/>
      <c r="J14" s="13">
        <f>SUM(E8:E14)/7</f>
        <v>-66</v>
      </c>
      <c r="K14" s="13">
        <f>SUM(F8:F14)/7</f>
        <v>-138.14285714285714</v>
      </c>
      <c r="L14" s="13">
        <f>SUM(G8:G14)/7</f>
        <v>-258.85714285714283</v>
      </c>
      <c r="M14" s="13">
        <f>SUM(H8:H14)/7</f>
        <v>-1200.4285714285713</v>
      </c>
      <c r="N14" s="19">
        <f>+M14/L14</f>
        <v>4.637417218543046</v>
      </c>
      <c r="R14" s="12">
        <v>10</v>
      </c>
      <c r="S14">
        <f t="shared" si="2"/>
        <v>-334.99999999999983</v>
      </c>
    </row>
    <row r="15" spans="1:61" ht="15.95" customHeight="1" x14ac:dyDescent="0.2">
      <c r="A15" s="6">
        <f t="shared" si="0"/>
        <v>8.4264705882352935</v>
      </c>
      <c r="B15" s="6">
        <f t="shared" si="1"/>
        <v>4.3409090909090908</v>
      </c>
      <c r="C15" s="1" t="s">
        <v>9</v>
      </c>
      <c r="D15" s="2" t="s">
        <v>42</v>
      </c>
      <c r="E15" s="3">
        <v>-68</v>
      </c>
      <c r="F15" s="3">
        <v>-136</v>
      </c>
      <c r="G15" s="3">
        <v>-264</v>
      </c>
      <c r="H15" s="3">
        <v>-1146</v>
      </c>
      <c r="I15" s="12"/>
    </row>
    <row r="16" spans="1:61" ht="15.95" customHeight="1" x14ac:dyDescent="0.2">
      <c r="A16" s="6">
        <f t="shared" si="0"/>
        <v>8.6573426573426566</v>
      </c>
      <c r="B16" s="6">
        <f t="shared" si="1"/>
        <v>4.6716981132075475</v>
      </c>
      <c r="C16" s="1" t="s">
        <v>15</v>
      </c>
      <c r="D16" s="2" t="s">
        <v>45</v>
      </c>
      <c r="E16" s="3">
        <v>-72</v>
      </c>
      <c r="F16" s="3">
        <v>-143</v>
      </c>
      <c r="G16" s="3">
        <v>-265</v>
      </c>
      <c r="H16" s="3">
        <v>-1238</v>
      </c>
      <c r="I16" s="12"/>
    </row>
    <row r="17" spans="1:14" ht="15.95" customHeight="1" x14ac:dyDescent="0.2">
      <c r="A17" s="6">
        <f t="shared" si="0"/>
        <v>7.7181208053691277</v>
      </c>
      <c r="B17" s="6">
        <f t="shared" si="1"/>
        <v>4.3396226415094343</v>
      </c>
      <c r="C17" s="1" t="s">
        <v>21</v>
      </c>
      <c r="D17" s="2" t="s">
        <v>50</v>
      </c>
      <c r="E17" s="3">
        <v>-74</v>
      </c>
      <c r="F17" s="3">
        <v>-149</v>
      </c>
      <c r="G17" s="3">
        <v>-265</v>
      </c>
      <c r="H17" s="3">
        <v>-1150</v>
      </c>
      <c r="I17" s="12"/>
    </row>
    <row r="18" spans="1:14" ht="15.95" customHeight="1" x14ac:dyDescent="0.2">
      <c r="A18" s="6">
        <f t="shared" si="0"/>
        <v>8.077464788732394</v>
      </c>
      <c r="B18" s="6">
        <f t="shared" si="1"/>
        <v>4.2958801498127341</v>
      </c>
      <c r="C18" s="1" t="s">
        <v>14</v>
      </c>
      <c r="D18" s="2" t="s">
        <v>42</v>
      </c>
      <c r="E18" s="3">
        <v>-73</v>
      </c>
      <c r="F18" s="3">
        <v>-142</v>
      </c>
      <c r="G18" s="3">
        <v>-267</v>
      </c>
      <c r="H18" s="3">
        <v>-1147</v>
      </c>
      <c r="I18" s="12"/>
    </row>
    <row r="19" spans="1:14" ht="15.95" customHeight="1" x14ac:dyDescent="0.2">
      <c r="A19" s="6">
        <f t="shared" si="0"/>
        <v>8.1275167785234892</v>
      </c>
      <c r="B19" s="6">
        <f t="shared" si="1"/>
        <v>4.5186567164179108</v>
      </c>
      <c r="C19" s="1" t="s">
        <v>19</v>
      </c>
      <c r="D19" s="2" t="s">
        <v>45</v>
      </c>
      <c r="E19" s="3">
        <v>-75</v>
      </c>
      <c r="F19" s="3">
        <v>-149</v>
      </c>
      <c r="G19" s="3">
        <v>-268</v>
      </c>
      <c r="H19" s="3">
        <v>-1211</v>
      </c>
      <c r="I19" s="12"/>
    </row>
    <row r="20" spans="1:14" ht="15.95" customHeight="1" x14ac:dyDescent="0.2">
      <c r="A20" s="6">
        <f t="shared" si="0"/>
        <v>8.3825503355704694</v>
      </c>
      <c r="B20" s="6">
        <f t="shared" si="1"/>
        <v>4.6259259259259258</v>
      </c>
      <c r="C20" s="1" t="s">
        <v>20</v>
      </c>
      <c r="D20" s="2" t="s">
        <v>45</v>
      </c>
      <c r="E20" s="3">
        <v>-77</v>
      </c>
      <c r="F20" s="3">
        <v>-149</v>
      </c>
      <c r="G20" s="3">
        <v>-270</v>
      </c>
      <c r="H20" s="3">
        <v>-1249</v>
      </c>
      <c r="I20" s="12"/>
    </row>
    <row r="21" spans="1:14" ht="15.95" customHeight="1" x14ac:dyDescent="0.2">
      <c r="A21" s="6">
        <f t="shared" si="0"/>
        <v>9.7121212121212128</v>
      </c>
      <c r="B21" s="6">
        <f t="shared" si="1"/>
        <v>4.730627306273063</v>
      </c>
      <c r="C21" s="1" t="s">
        <v>4</v>
      </c>
      <c r="D21" s="2" t="s">
        <v>42</v>
      </c>
      <c r="E21" s="3">
        <v>-60</v>
      </c>
      <c r="F21" s="3">
        <v>-132</v>
      </c>
      <c r="G21" s="3">
        <v>-271</v>
      </c>
      <c r="H21" s="3">
        <v>-1282</v>
      </c>
      <c r="I21" s="12"/>
    </row>
    <row r="22" spans="1:14" ht="15.95" customHeight="1" x14ac:dyDescent="0.2">
      <c r="A22" s="6">
        <f t="shared" si="0"/>
        <v>7.8101265822784809</v>
      </c>
      <c r="B22" s="6">
        <f t="shared" si="1"/>
        <v>4.5535055350553506</v>
      </c>
      <c r="C22" s="1" t="s">
        <v>32</v>
      </c>
      <c r="D22" s="2" t="s">
        <v>46</v>
      </c>
      <c r="E22" s="3">
        <v>-89</v>
      </c>
      <c r="F22" s="3">
        <v>-158</v>
      </c>
      <c r="G22" s="3">
        <v>-271</v>
      </c>
      <c r="H22" s="3">
        <v>-1234</v>
      </c>
      <c r="I22" s="12"/>
      <c r="J22" s="13">
        <f>SUM(E15:E22)/8</f>
        <v>-73.5</v>
      </c>
      <c r="K22" s="13">
        <f>SUM(F15:F22)/8</f>
        <v>-144.75</v>
      </c>
      <c r="L22" s="13">
        <f>SUM(G15:G22)/8</f>
        <v>-267.625</v>
      </c>
      <c r="M22" s="13">
        <f>SUM(H15:H22)/8</f>
        <v>-1207.125</v>
      </c>
    </row>
    <row r="23" spans="1:14" ht="15.95" customHeight="1" x14ac:dyDescent="0.2">
      <c r="A23" s="6">
        <f t="shared" si="0"/>
        <v>9.4632352941176467</v>
      </c>
      <c r="B23" s="6">
        <f t="shared" si="1"/>
        <v>4.68</v>
      </c>
      <c r="C23" s="1" t="s">
        <v>8</v>
      </c>
      <c r="D23" s="2" t="s">
        <v>42</v>
      </c>
      <c r="E23" s="3">
        <v>-63</v>
      </c>
      <c r="F23" s="3">
        <v>-136</v>
      </c>
      <c r="G23" s="3">
        <v>-275</v>
      </c>
      <c r="H23" s="3">
        <v>-1287</v>
      </c>
      <c r="I23" s="11"/>
    </row>
    <row r="24" spans="1:14" ht="15.95" customHeight="1" x14ac:dyDescent="0.2">
      <c r="A24" s="6">
        <f t="shared" si="0"/>
        <v>8.8581560283687946</v>
      </c>
      <c r="B24" s="6">
        <f t="shared" si="1"/>
        <v>4.5090252707581229</v>
      </c>
      <c r="C24" s="1" t="s">
        <v>13</v>
      </c>
      <c r="D24" s="2" t="s">
        <v>49</v>
      </c>
      <c r="E24" s="3">
        <v>-70</v>
      </c>
      <c r="F24" s="3">
        <v>-141</v>
      </c>
      <c r="G24" s="3">
        <v>-277</v>
      </c>
      <c r="H24" s="3">
        <v>-1249</v>
      </c>
      <c r="I24" s="11"/>
    </row>
    <row r="25" spans="1:14" ht="15.95" customHeight="1" x14ac:dyDescent="0.2">
      <c r="A25" s="6">
        <f t="shared" si="0"/>
        <v>9.1527777777777786</v>
      </c>
      <c r="B25" s="6">
        <f t="shared" si="1"/>
        <v>4.7410071942446042</v>
      </c>
      <c r="C25" s="1" t="s">
        <v>16</v>
      </c>
      <c r="D25" s="2" t="s">
        <v>41</v>
      </c>
      <c r="E25" s="3">
        <v>-61</v>
      </c>
      <c r="F25" s="3">
        <v>-144</v>
      </c>
      <c r="G25" s="3">
        <v>-278</v>
      </c>
      <c r="H25" s="3">
        <v>-1318</v>
      </c>
      <c r="I25" s="11"/>
    </row>
    <row r="26" spans="1:14" ht="15.95" customHeight="1" x14ac:dyDescent="0.2">
      <c r="A26" s="6">
        <f t="shared" si="0"/>
        <v>8.9034482758620683</v>
      </c>
      <c r="B26" s="6">
        <f t="shared" si="1"/>
        <v>4.6272401433691757</v>
      </c>
      <c r="C26" s="1" t="s">
        <v>17</v>
      </c>
      <c r="D26" s="2" t="s">
        <v>45</v>
      </c>
      <c r="E26" s="3">
        <v>-62</v>
      </c>
      <c r="F26" s="3">
        <v>-145</v>
      </c>
      <c r="G26" s="3">
        <v>-279</v>
      </c>
      <c r="H26" s="3">
        <v>-1291</v>
      </c>
      <c r="I26" s="11"/>
      <c r="J26" s="13">
        <f>SUM(E23:E26)/4</f>
        <v>-64</v>
      </c>
      <c r="K26" s="13">
        <f>SUM(F23:F26)/4</f>
        <v>-141.5</v>
      </c>
      <c r="L26" s="13">
        <f>SUM(G23:G26)/4</f>
        <v>-277.25</v>
      </c>
      <c r="M26" s="13">
        <f>SUM(H23:H26)/4</f>
        <v>-1286.25</v>
      </c>
      <c r="N26" s="19">
        <f>+M26/L26</f>
        <v>4.6393146979260598</v>
      </c>
    </row>
    <row r="27" spans="1:14" ht="15.95" customHeight="1" x14ac:dyDescent="0.2">
      <c r="A27" s="6">
        <f t="shared" si="0"/>
        <v>8.4605263157894743</v>
      </c>
      <c r="B27" s="6">
        <f t="shared" si="1"/>
        <v>4.480836236933798</v>
      </c>
      <c r="C27" s="1" t="s">
        <v>25</v>
      </c>
      <c r="D27" s="2" t="s">
        <v>43</v>
      </c>
      <c r="E27" s="3">
        <v>-78</v>
      </c>
      <c r="F27" s="3">
        <v>-152</v>
      </c>
      <c r="G27" s="3">
        <v>-287</v>
      </c>
      <c r="H27" s="3">
        <v>-1286</v>
      </c>
      <c r="I27" s="12"/>
    </row>
    <row r="28" spans="1:14" ht="15.95" customHeight="1" x14ac:dyDescent="0.2">
      <c r="A28" s="6">
        <f t="shared" si="0"/>
        <v>8.4671052631578956</v>
      </c>
      <c r="B28" s="6">
        <f t="shared" si="1"/>
        <v>4.484320557491289</v>
      </c>
      <c r="C28" s="1" t="s">
        <v>26</v>
      </c>
      <c r="D28" s="2" t="s">
        <v>43</v>
      </c>
      <c r="E28" s="3">
        <v>-79</v>
      </c>
      <c r="F28" s="3">
        <v>-152</v>
      </c>
      <c r="G28" s="3">
        <v>-287</v>
      </c>
      <c r="H28" s="3">
        <v>-1287</v>
      </c>
      <c r="I28" s="12"/>
    </row>
    <row r="29" spans="1:14" ht="15.95" customHeight="1" x14ac:dyDescent="0.2">
      <c r="A29" s="6">
        <f t="shared" si="0"/>
        <v>8.625</v>
      </c>
      <c r="B29" s="6">
        <f t="shared" si="1"/>
        <v>4.5206896551724141</v>
      </c>
      <c r="C29" s="1" t="s">
        <v>24</v>
      </c>
      <c r="D29" s="2" t="s">
        <v>41</v>
      </c>
      <c r="E29" s="3">
        <v>-63</v>
      </c>
      <c r="F29" s="3">
        <v>-152</v>
      </c>
      <c r="G29" s="3">
        <v>-290</v>
      </c>
      <c r="H29" s="3">
        <v>-1311</v>
      </c>
      <c r="I29" s="12"/>
    </row>
    <row r="30" spans="1:14" ht="15.95" customHeight="1" x14ac:dyDescent="0.2">
      <c r="A30" s="6">
        <f t="shared" si="0"/>
        <v>9.2229729729729737</v>
      </c>
      <c r="B30" s="6">
        <f t="shared" si="1"/>
        <v>4.6907216494845363</v>
      </c>
      <c r="C30" s="1" t="s">
        <v>18</v>
      </c>
      <c r="D30" s="2" t="s">
        <v>44</v>
      </c>
      <c r="E30" s="3">
        <v>-68</v>
      </c>
      <c r="F30" s="3">
        <v>-148</v>
      </c>
      <c r="G30" s="3">
        <v>-291</v>
      </c>
      <c r="H30" s="3">
        <v>-1365</v>
      </c>
      <c r="I30" s="12"/>
    </row>
    <row r="31" spans="1:14" ht="15.95" customHeight="1" x14ac:dyDescent="0.2">
      <c r="A31" s="6">
        <f t="shared" si="0"/>
        <v>8.8866666666666667</v>
      </c>
      <c r="B31" s="6">
        <f t="shared" si="1"/>
        <v>4.5650684931506849</v>
      </c>
      <c r="C31" s="1" t="s">
        <v>22</v>
      </c>
      <c r="D31" s="2" t="s">
        <v>45</v>
      </c>
      <c r="E31" s="3">
        <v>-67</v>
      </c>
      <c r="F31" s="3">
        <v>-150</v>
      </c>
      <c r="G31" s="3">
        <v>-292</v>
      </c>
      <c r="H31" s="3">
        <v>-1333</v>
      </c>
      <c r="I31" s="12"/>
    </row>
    <row r="32" spans="1:14" ht="15.95" customHeight="1" x14ac:dyDescent="0.2">
      <c r="A32" s="6">
        <f t="shared" si="0"/>
        <v>8.7105263157894743</v>
      </c>
      <c r="B32" s="6">
        <f t="shared" si="1"/>
        <v>4.5342465753424657</v>
      </c>
      <c r="C32" s="1" t="s">
        <v>27</v>
      </c>
      <c r="D32" s="2" t="s">
        <v>40</v>
      </c>
      <c r="E32" s="3">
        <v>-77</v>
      </c>
      <c r="F32" s="3">
        <v>-152</v>
      </c>
      <c r="G32" s="3">
        <v>-292</v>
      </c>
      <c r="H32" s="3">
        <v>-1324</v>
      </c>
      <c r="I32" s="12"/>
    </row>
    <row r="33" spans="1:18" ht="15.95" customHeight="1" x14ac:dyDescent="0.2">
      <c r="A33" s="6">
        <f t="shared" si="0"/>
        <v>7.5325443786982245</v>
      </c>
      <c r="B33" s="6">
        <f t="shared" si="1"/>
        <v>4.3595890410958908</v>
      </c>
      <c r="C33" s="1" t="s">
        <v>34</v>
      </c>
      <c r="D33" s="2" t="s">
        <v>46</v>
      </c>
      <c r="E33" s="3">
        <v>-79</v>
      </c>
      <c r="F33" s="3">
        <v>-169</v>
      </c>
      <c r="G33" s="3">
        <v>-292</v>
      </c>
      <c r="H33" s="3">
        <v>-1273</v>
      </c>
      <c r="I33" s="12"/>
      <c r="J33" s="13">
        <f>SUM(E27:E33)/7</f>
        <v>-73</v>
      </c>
      <c r="K33" s="13">
        <f>SUM(F27:F33)/7</f>
        <v>-153.57142857142858</v>
      </c>
      <c r="L33" s="13">
        <f>SUM(G27:G33)/7</f>
        <v>-290.14285714285717</v>
      </c>
      <c r="M33" s="13">
        <f>SUM(H27:H33)/7</f>
        <v>-1311.2857142857142</v>
      </c>
      <c r="N33" s="19">
        <f>+M33/L33</f>
        <v>4.5194485475135391</v>
      </c>
    </row>
    <row r="34" spans="1:18" ht="15.95" customHeight="1" x14ac:dyDescent="0.2">
      <c r="A34" s="6">
        <f t="shared" si="0"/>
        <v>8.9096774193548391</v>
      </c>
      <c r="B34" s="6">
        <f t="shared" si="1"/>
        <v>4.6655405405405403</v>
      </c>
      <c r="C34" s="1" t="s">
        <v>30</v>
      </c>
      <c r="D34" s="2" t="s">
        <v>41</v>
      </c>
      <c r="E34" s="3">
        <v>-64</v>
      </c>
      <c r="F34" s="3">
        <v>-155</v>
      </c>
      <c r="G34" s="3">
        <v>-296</v>
      </c>
      <c r="H34" s="3">
        <v>-1381</v>
      </c>
      <c r="I34" s="11"/>
    </row>
    <row r="35" spans="1:18" ht="15.95" customHeight="1" x14ac:dyDescent="0.2">
      <c r="A35" s="6">
        <f t="shared" si="0"/>
        <v>8.3503184713375802</v>
      </c>
      <c r="B35" s="6">
        <f t="shared" si="1"/>
        <v>4.4290540540540544</v>
      </c>
      <c r="C35" s="1" t="s">
        <v>31</v>
      </c>
      <c r="D35" s="2" t="s">
        <v>43</v>
      </c>
      <c r="E35" s="3">
        <v>-82</v>
      </c>
      <c r="F35" s="3">
        <v>-157</v>
      </c>
      <c r="G35" s="3">
        <v>-296</v>
      </c>
      <c r="H35" s="3">
        <v>-1311</v>
      </c>
      <c r="I35" s="11"/>
    </row>
    <row r="36" spans="1:18" ht="15.95" customHeight="1" x14ac:dyDescent="0.2">
      <c r="A36" s="6">
        <f t="shared" si="0"/>
        <v>8.8366013071895431</v>
      </c>
      <c r="B36" s="6">
        <f t="shared" si="1"/>
        <v>4.5369127516778525</v>
      </c>
      <c r="C36" s="1" t="s">
        <v>28</v>
      </c>
      <c r="D36" s="2" t="s">
        <v>47</v>
      </c>
      <c r="E36" s="3">
        <v>-65</v>
      </c>
      <c r="F36" s="3">
        <v>-153</v>
      </c>
      <c r="G36" s="3">
        <v>-298</v>
      </c>
      <c r="H36" s="3">
        <v>-1352</v>
      </c>
      <c r="I36" s="11"/>
    </row>
    <row r="37" spans="1:18" ht="15.95" customHeight="1" x14ac:dyDescent="0.2">
      <c r="A37" s="6">
        <f t="shared" si="0"/>
        <v>8.8758169934640527</v>
      </c>
      <c r="B37" s="6">
        <f t="shared" si="1"/>
        <v>4.4966887417218544</v>
      </c>
      <c r="C37" s="1" t="s">
        <v>29</v>
      </c>
      <c r="D37" s="2" t="s">
        <v>44</v>
      </c>
      <c r="E37" s="3">
        <v>-65</v>
      </c>
      <c r="F37" s="3">
        <v>-153</v>
      </c>
      <c r="G37" s="3">
        <v>-302</v>
      </c>
      <c r="H37" s="3">
        <v>-1358</v>
      </c>
      <c r="I37" s="11"/>
      <c r="J37" s="13">
        <f>SUM(E34:E37)/4</f>
        <v>-69</v>
      </c>
      <c r="K37" s="13">
        <f>SUM(F34:F37)/4</f>
        <v>-154.5</v>
      </c>
      <c r="L37" s="13">
        <f>SUM(G34:G37)/4</f>
        <v>-298</v>
      </c>
      <c r="M37" s="13">
        <f>SUM(H34:H37)/4</f>
        <v>-1350.5</v>
      </c>
      <c r="N37" s="19">
        <f>+M37/L37</f>
        <v>4.5318791946308723</v>
      </c>
    </row>
    <row r="38" spans="1:18" ht="15.95" customHeight="1" x14ac:dyDescent="0.2">
      <c r="A38" s="6">
        <f t="shared" si="0"/>
        <v>7.5568862275449105</v>
      </c>
      <c r="B38" s="6">
        <f t="shared" si="1"/>
        <v>4.1377049180327869</v>
      </c>
      <c r="C38" s="1" t="s">
        <v>33</v>
      </c>
      <c r="D38" s="2" t="s">
        <v>51</v>
      </c>
      <c r="E38" s="3">
        <v>-83</v>
      </c>
      <c r="F38" s="3">
        <v>-167</v>
      </c>
      <c r="G38" s="3">
        <v>-305</v>
      </c>
      <c r="H38" s="3">
        <v>-1262</v>
      </c>
      <c r="I38" s="12"/>
    </row>
    <row r="39" spans="1:18" ht="15.95" customHeight="1" x14ac:dyDescent="0.2">
      <c r="A39" s="6">
        <f t="shared" si="0"/>
        <v>7.5965909090909092</v>
      </c>
      <c r="B39" s="6">
        <f t="shared" si="1"/>
        <v>4.2579617834394901</v>
      </c>
      <c r="C39" s="1" t="s">
        <v>36</v>
      </c>
      <c r="D39" s="2" t="s">
        <v>46</v>
      </c>
      <c r="E39" s="3">
        <v>-80</v>
      </c>
      <c r="F39" s="3">
        <v>-176</v>
      </c>
      <c r="G39" s="3">
        <v>-314</v>
      </c>
      <c r="H39" s="3">
        <v>-1337</v>
      </c>
      <c r="I39" s="12"/>
      <c r="J39" s="13">
        <f>SUM(E38:E39)/2</f>
        <v>-81.5</v>
      </c>
      <c r="K39" s="13">
        <f>SUM(F38:F39)/2</f>
        <v>-171.5</v>
      </c>
      <c r="L39" s="13">
        <f>SUM(G38:G39)/2</f>
        <v>-309.5</v>
      </c>
      <c r="M39" s="13">
        <f>SUM(H38:H39)/2</f>
        <v>-1299.5</v>
      </c>
      <c r="N39" s="19">
        <f>+M39/L39</f>
        <v>4.1987075928917612</v>
      </c>
    </row>
    <row r="40" spans="1:18" ht="15.95" customHeight="1" x14ac:dyDescent="0.2">
      <c r="A40" s="6">
        <f t="shared" si="0"/>
        <v>8.2941176470588243</v>
      </c>
      <c r="B40" s="6">
        <f t="shared" si="1"/>
        <v>4.3788819875776399</v>
      </c>
      <c r="C40" s="1" t="s">
        <v>35</v>
      </c>
      <c r="D40" s="2" t="s">
        <v>48</v>
      </c>
      <c r="E40" s="3">
        <v>-69</v>
      </c>
      <c r="F40" s="3">
        <v>-170</v>
      </c>
      <c r="G40" s="3">
        <v>-322</v>
      </c>
      <c r="H40" s="3">
        <v>-1410</v>
      </c>
      <c r="I40" s="11"/>
      <c r="L40" s="16">
        <f>(L39+L41)/2</f>
        <v>-316.75</v>
      </c>
      <c r="M40" s="16">
        <f>(M39+M41)/2</f>
        <v>-1349.25</v>
      </c>
      <c r="N40" s="19">
        <f>+M40/L40</f>
        <v>4.2596685082872927</v>
      </c>
    </row>
    <row r="41" spans="1:18" ht="15.95" customHeight="1" x14ac:dyDescent="0.2">
      <c r="A41" s="6">
        <f t="shared" si="0"/>
        <v>7.797752808988764</v>
      </c>
      <c r="B41" s="6">
        <f t="shared" si="1"/>
        <v>4.257668711656442</v>
      </c>
      <c r="C41" s="1" t="s">
        <v>37</v>
      </c>
      <c r="D41" s="2" t="s">
        <v>48</v>
      </c>
      <c r="E41" s="3">
        <v>-79</v>
      </c>
      <c r="F41" s="3">
        <v>-178</v>
      </c>
      <c r="G41" s="3">
        <v>-326</v>
      </c>
      <c r="H41" s="3">
        <v>-1388</v>
      </c>
      <c r="I41" s="11"/>
      <c r="J41" s="13">
        <f>SUM(E40:E41)/2</f>
        <v>-74</v>
      </c>
      <c r="K41" s="13">
        <f>SUM(F40:F41)/2</f>
        <v>-174</v>
      </c>
      <c r="L41" s="13">
        <f>SUM(G40:G41)/2</f>
        <v>-324</v>
      </c>
      <c r="M41" s="13">
        <f>SUM(H40:H41)/2</f>
        <v>-1399</v>
      </c>
      <c r="N41" s="19">
        <f>+M41/L41</f>
        <v>4.3179012345679011</v>
      </c>
    </row>
    <row r="42" spans="1:18" ht="15.95" customHeight="1" x14ac:dyDescent="0.2">
      <c r="A42" s="6">
        <f t="shared" si="0"/>
        <v>7.5792349726775958</v>
      </c>
      <c r="B42" s="6">
        <f t="shared" si="1"/>
        <v>4.2158054711246198</v>
      </c>
      <c r="C42" s="1" t="s">
        <v>38</v>
      </c>
      <c r="D42" s="2" t="s">
        <v>48</v>
      </c>
      <c r="E42" s="3">
        <v>-84</v>
      </c>
      <c r="F42" s="3">
        <v>-183</v>
      </c>
      <c r="G42" s="3">
        <v>-329</v>
      </c>
      <c r="H42" s="3">
        <v>-1387</v>
      </c>
      <c r="I42" s="12"/>
      <c r="J42" s="16">
        <f>(J41+J43)/2</f>
        <v>-78.25</v>
      </c>
      <c r="K42" s="16">
        <f>(K41+K43)/2</f>
        <v>-179.25</v>
      </c>
      <c r="L42" s="16">
        <f>(L41+L43)/2</f>
        <v>-328</v>
      </c>
      <c r="M42" s="16">
        <f>(M41+M43)/2</f>
        <v>-1403</v>
      </c>
      <c r="N42" s="19">
        <f>+M42/L42</f>
        <v>4.2774390243902438</v>
      </c>
    </row>
    <row r="43" spans="1:18" ht="15.95" customHeight="1" x14ac:dyDescent="0.2">
      <c r="A43" s="6">
        <f t="shared" si="0"/>
        <v>7.672043010752688</v>
      </c>
      <c r="B43" s="6">
        <f t="shared" si="1"/>
        <v>4.2597014925373138</v>
      </c>
      <c r="C43" s="1" t="s">
        <v>39</v>
      </c>
      <c r="D43" s="2" t="s">
        <v>48</v>
      </c>
      <c r="E43" s="3">
        <v>-81</v>
      </c>
      <c r="F43" s="3">
        <v>-186</v>
      </c>
      <c r="G43" s="3">
        <v>-335</v>
      </c>
      <c r="H43" s="3">
        <v>-1427</v>
      </c>
      <c r="I43" s="12"/>
      <c r="J43" s="13">
        <f>SUM(E42:E43)/2</f>
        <v>-82.5</v>
      </c>
      <c r="K43" s="13">
        <f>SUM(F42:F43)/2</f>
        <v>-184.5</v>
      </c>
      <c r="L43" s="13">
        <f>SUM(G42:G43)/2</f>
        <v>-332</v>
      </c>
      <c r="M43" s="13">
        <f>SUM(H42:H43)/2</f>
        <v>-1407</v>
      </c>
      <c r="N43" s="19">
        <f>+M43/L43</f>
        <v>4.2379518072289155</v>
      </c>
    </row>
    <row r="44" spans="1:18" ht="15.95" customHeight="1" x14ac:dyDescent="0.2">
      <c r="E44" s="4"/>
      <c r="F44" s="4"/>
      <c r="G44" s="4"/>
      <c r="H44" s="4"/>
    </row>
    <row r="45" spans="1:18" ht="15.95" customHeight="1" thickBot="1" x14ac:dyDescent="0.25"/>
    <row r="46" spans="1:18" ht="15.95" customHeight="1" x14ac:dyDescent="0.2">
      <c r="I46" s="24"/>
      <c r="J46" s="55">
        <f>INDEX(LINEST(J$49:J$50,($L$49:$L$50)^{1}),1)</f>
        <v>0.24026932612125312</v>
      </c>
      <c r="K46" s="55">
        <f>INDEX(LINEST(K$49:K$50,($L$49:$L$50)^{1}),1)</f>
        <v>0.49019607843137247</v>
      </c>
      <c r="L46" s="56"/>
      <c r="M46" s="55">
        <f>INDEX(LINEST(M$49:M$50,($L$49:$L$50)^{1}),1)</f>
        <v>4.6977011494252876</v>
      </c>
      <c r="N46" s="25"/>
      <c r="O46" s="25"/>
      <c r="P46" s="25"/>
      <c r="Q46" s="25"/>
      <c r="R46" s="26"/>
    </row>
    <row r="47" spans="1:18" ht="15.95" customHeight="1" x14ac:dyDescent="0.2">
      <c r="I47" s="27"/>
      <c r="J47" s="57">
        <f>INDEX(LINEST(J$49:J$50,($L$49:$L$50)^{1}),2)</f>
        <v>5.3865224250557731E-3</v>
      </c>
      <c r="K47" s="57">
        <f>INDEX(LINEST(K$49:K$50,($L$49:$L$50)^{1}),2)</f>
        <v>2.8421709430404007E-14</v>
      </c>
      <c r="L47" s="49"/>
      <c r="M47" s="57">
        <f>INDEX(LINEST(M$49:M$50,($L$49:$L$50)^{1}),2)</f>
        <v>0.65402298850585794</v>
      </c>
      <c r="N47" s="29"/>
      <c r="O47" s="29"/>
      <c r="P47" s="29"/>
      <c r="Q47" s="29"/>
      <c r="R47" s="30"/>
    </row>
    <row r="48" spans="1:18" ht="15.95" customHeight="1" x14ac:dyDescent="0.2">
      <c r="I48" s="27"/>
      <c r="J48" s="29"/>
      <c r="K48" s="31" t="s">
        <v>58</v>
      </c>
      <c r="L48" s="29" t="s">
        <v>56</v>
      </c>
      <c r="M48" s="31" t="s">
        <v>57</v>
      </c>
      <c r="N48" s="47">
        <v>4.7</v>
      </c>
      <c r="O48" s="29">
        <f>2*1.02</f>
        <v>2.04</v>
      </c>
      <c r="P48" s="29"/>
      <c r="Q48" s="29"/>
      <c r="R48" s="30"/>
    </row>
    <row r="49" spans="9:18" ht="15.95" customHeight="1" x14ac:dyDescent="0.2">
      <c r="I49" s="27"/>
      <c r="J49" s="46">
        <f>118.137/2.04</f>
        <v>57.910294117647055</v>
      </c>
      <c r="K49" s="46">
        <f>241/2.04</f>
        <v>118.13725490196079</v>
      </c>
      <c r="L49" s="29">
        <v>241</v>
      </c>
      <c r="M49" s="46">
        <v>1132.8</v>
      </c>
      <c r="N49" s="45">
        <f>+M49/L49</f>
        <v>4.7004149377593363</v>
      </c>
      <c r="O49" s="45">
        <f>+L49/K49</f>
        <v>2.04</v>
      </c>
      <c r="P49" s="45">
        <f>+K49/J49</f>
        <v>2.0400044016692487</v>
      </c>
      <c r="Q49" s="29"/>
      <c r="R49" s="30"/>
    </row>
    <row r="50" spans="9:18" ht="15.95" customHeight="1" x14ac:dyDescent="0.2">
      <c r="I50" s="27"/>
      <c r="J50" s="46">
        <f>160.78/2.04</f>
        <v>78.813725490196077</v>
      </c>
      <c r="K50" s="46">
        <f>328/2.04</f>
        <v>160.78431372549019</v>
      </c>
      <c r="L50" s="29">
        <v>328</v>
      </c>
      <c r="M50" s="46">
        <v>1541.5</v>
      </c>
      <c r="N50" s="45">
        <f>+M50/L50</f>
        <v>4.6996951219512191</v>
      </c>
      <c r="O50" s="45">
        <f>+L50/K50</f>
        <v>2.04</v>
      </c>
      <c r="P50" s="45">
        <f>+K50/J50</f>
        <v>2.0400547331757681</v>
      </c>
      <c r="Q50" s="29"/>
      <c r="R50" s="30"/>
    </row>
    <row r="51" spans="9:18" ht="15.95" customHeight="1" x14ac:dyDescent="0.2">
      <c r="I51" s="27"/>
      <c r="J51" s="17">
        <f>(J$46*L51)+J$47</f>
        <v>63.917027270678389</v>
      </c>
      <c r="K51" s="17">
        <f>(K$46*L51)+K$47</f>
        <v>130.39215686274511</v>
      </c>
      <c r="L51" s="32">
        <v>266</v>
      </c>
      <c r="M51" s="17">
        <f>(M$46*L51)+M$47</f>
        <v>1250.2425287356323</v>
      </c>
      <c r="N51" s="29"/>
      <c r="O51" s="29"/>
      <c r="P51" s="29"/>
      <c r="Q51" s="29"/>
      <c r="R51" s="30"/>
    </row>
    <row r="52" spans="9:18" ht="15.95" customHeight="1" x14ac:dyDescent="0.2">
      <c r="I52" s="27"/>
      <c r="J52" s="29"/>
      <c r="K52" s="29"/>
      <c r="L52" s="29"/>
      <c r="M52" s="29"/>
      <c r="N52" s="33"/>
      <c r="O52" s="29"/>
      <c r="P52" s="29"/>
      <c r="Q52" s="29"/>
      <c r="R52" s="30"/>
    </row>
    <row r="53" spans="9:18" ht="15.95" customHeight="1" x14ac:dyDescent="0.2">
      <c r="I53" s="27"/>
      <c r="J53" s="17">
        <f>(J$46*L53)+J$47</f>
        <v>51.451737257432207</v>
      </c>
      <c r="K53" s="17">
        <f>(K$46*L53)+K$47</f>
        <v>104.9605448478208</v>
      </c>
      <c r="L53" s="43">
        <f>+L54/$N$56</f>
        <v>214.11951148955441</v>
      </c>
      <c r="M53" s="17">
        <f>(M$46*L53)+M$47</f>
        <v>1006.5234982273666</v>
      </c>
      <c r="N53" s="29"/>
      <c r="O53" s="29"/>
      <c r="P53" s="29"/>
      <c r="Q53" s="29"/>
      <c r="R53" s="30"/>
    </row>
    <row r="54" spans="9:18" ht="15.95" customHeight="1" x14ac:dyDescent="0.2">
      <c r="I54" s="27"/>
      <c r="J54" s="17">
        <f t="shared" ref="J54:J60" si="3">(J$46*L54)+J$47</f>
        <v>55.310213562557742</v>
      </c>
      <c r="K54" s="17">
        <f t="shared" ref="K54:K61" si="4">(K$46*L54)+K$47</f>
        <v>112.83258571140735</v>
      </c>
      <c r="L54" s="43">
        <f>+L55/$N$56</f>
        <v>230.17847485127098</v>
      </c>
      <c r="M54" s="17">
        <f t="shared" ref="M54:M61" si="5">(M$46*L54)+M$47</f>
        <v>1081.9637088702812</v>
      </c>
      <c r="N54" s="29"/>
      <c r="O54" s="29"/>
      <c r="P54" s="29"/>
      <c r="Q54" s="29"/>
      <c r="R54" s="30"/>
    </row>
    <row r="55" spans="9:18" ht="15.95" customHeight="1" x14ac:dyDescent="0.2">
      <c r="I55" s="27"/>
      <c r="J55" s="17">
        <f t="shared" si="3"/>
        <v>59.458075590567695</v>
      </c>
      <c r="K55" s="17">
        <f t="shared" si="4"/>
        <v>121.2950296397629</v>
      </c>
      <c r="L55" s="43">
        <f>+L56/$N$56</f>
        <v>247.44186046511629</v>
      </c>
      <c r="M55" s="17">
        <f t="shared" si="5"/>
        <v>1163.0619353114143</v>
      </c>
      <c r="N55" s="29"/>
      <c r="O55" s="29"/>
      <c r="P55" s="29"/>
      <c r="Q55" s="29"/>
      <c r="R55" s="30"/>
    </row>
    <row r="56" spans="9:18" ht="15.95" customHeight="1" x14ac:dyDescent="0.2">
      <c r="I56" s="27"/>
      <c r="J56" s="40">
        <f t="shared" si="3"/>
        <v>63.917027270678389</v>
      </c>
      <c r="K56" s="40">
        <f t="shared" si="4"/>
        <v>130.39215686274511</v>
      </c>
      <c r="L56" s="41">
        <v>266</v>
      </c>
      <c r="M56" s="40">
        <f>(M$46*L56)+M$47</f>
        <v>1250.2425287356323</v>
      </c>
      <c r="N56" s="29">
        <v>1.075</v>
      </c>
      <c r="O56" s="29"/>
      <c r="P56" s="29"/>
      <c r="Q56" s="29"/>
      <c r="R56" s="30"/>
    </row>
    <row r="57" spans="9:18" ht="15.95" customHeight="1" x14ac:dyDescent="0.2">
      <c r="I57" s="27"/>
      <c r="J57" s="17">
        <f t="shared" si="3"/>
        <v>68.710400326797384</v>
      </c>
      <c r="K57" s="17">
        <f t="shared" si="4"/>
        <v>140.17156862745099</v>
      </c>
      <c r="L57" s="43">
        <f>+L56*$N$56</f>
        <v>285.95</v>
      </c>
      <c r="M57" s="17">
        <f>(M$46*L57)+M$47</f>
        <v>1343.9616666666668</v>
      </c>
      <c r="N57" s="29"/>
      <c r="O57" s="29"/>
      <c r="P57" s="29"/>
      <c r="Q57" s="29"/>
      <c r="R57" s="30"/>
    </row>
    <row r="58" spans="9:18" ht="15.95" customHeight="1" x14ac:dyDescent="0.2">
      <c r="I58" s="27"/>
      <c r="J58" s="17">
        <f t="shared" si="3"/>
        <v>73.863276362125305</v>
      </c>
      <c r="K58" s="17">
        <f t="shared" si="4"/>
        <v>150.68443627450978</v>
      </c>
      <c r="L58" s="43">
        <f>+L57*$N$56</f>
        <v>307.39624999999995</v>
      </c>
      <c r="M58" s="17">
        <f t="shared" si="5"/>
        <v>1444.7097399425286</v>
      </c>
      <c r="N58" s="29"/>
      <c r="O58" s="29"/>
      <c r="P58" s="29"/>
      <c r="Q58" s="29"/>
      <c r="R58" s="30"/>
    </row>
    <row r="59" spans="9:18" ht="15.95" customHeight="1" x14ac:dyDescent="0.2">
      <c r="I59" s="27"/>
      <c r="J59" s="17">
        <f t="shared" si="3"/>
        <v>79.402618100102814</v>
      </c>
      <c r="K59" s="17">
        <f t="shared" si="4"/>
        <v>161.98576899509803</v>
      </c>
      <c r="L59" s="43">
        <f>+L58*$N$56</f>
        <v>330.45096874999996</v>
      </c>
      <c r="M59" s="17">
        <f t="shared" si="5"/>
        <v>1553.0139187140805</v>
      </c>
      <c r="N59" s="29"/>
      <c r="O59" s="29"/>
      <c r="P59" s="29"/>
      <c r="Q59" s="29"/>
      <c r="R59" s="30"/>
    </row>
    <row r="60" spans="9:18" ht="15.95" customHeight="1" x14ac:dyDescent="0.2">
      <c r="I60" s="27"/>
      <c r="J60" s="17">
        <f t="shared" si="3"/>
        <v>85.357410468428654</v>
      </c>
      <c r="K60" s="17">
        <f t="shared" si="4"/>
        <v>174.13470166973036</v>
      </c>
      <c r="L60" s="43">
        <f>+L59*$N$56</f>
        <v>355.23479140624994</v>
      </c>
      <c r="M60" s="17">
        <f t="shared" si="5"/>
        <v>1669.4409108934985</v>
      </c>
      <c r="N60" s="29"/>
      <c r="O60" s="29"/>
      <c r="P60" s="29"/>
      <c r="Q60" s="29"/>
      <c r="R60" s="30"/>
    </row>
    <row r="61" spans="9:18" ht="15.95" customHeight="1" x14ac:dyDescent="0.2">
      <c r="I61" s="27"/>
      <c r="J61" s="17">
        <f>(J$46*L61)+J$47</f>
        <v>91.758812264378918</v>
      </c>
      <c r="K61" s="17">
        <f t="shared" si="4"/>
        <v>187.19480429496014</v>
      </c>
      <c r="L61" s="43">
        <f>+L60*$N$56</f>
        <v>381.87740076171866</v>
      </c>
      <c r="M61" s="17">
        <f t="shared" si="5"/>
        <v>1794.5999274863727</v>
      </c>
      <c r="N61" s="29"/>
      <c r="O61" s="29"/>
      <c r="P61" s="29"/>
      <c r="Q61" s="29"/>
      <c r="R61" s="30"/>
    </row>
    <row r="62" spans="9:18" ht="15.95" customHeight="1" x14ac:dyDescent="0.2">
      <c r="I62" s="27"/>
      <c r="J62" s="29"/>
      <c r="K62" s="29"/>
      <c r="L62" s="29"/>
      <c r="M62" s="29"/>
      <c r="N62" s="29"/>
      <c r="O62" s="29"/>
      <c r="P62" s="29"/>
      <c r="Q62" s="29"/>
      <c r="R62" s="30"/>
    </row>
    <row r="63" spans="9:18" ht="15.95" customHeight="1" x14ac:dyDescent="0.2">
      <c r="I63" s="34" t="s">
        <v>64</v>
      </c>
      <c r="J63" s="29">
        <v>-3</v>
      </c>
      <c r="K63" s="29">
        <v>-2</v>
      </c>
      <c r="L63" s="18">
        <v>-1</v>
      </c>
      <c r="M63" s="29" t="s">
        <v>59</v>
      </c>
      <c r="N63" s="35" t="s">
        <v>60</v>
      </c>
      <c r="O63" s="35" t="s">
        <v>61</v>
      </c>
      <c r="P63" s="35" t="s">
        <v>62</v>
      </c>
      <c r="Q63" s="35" t="s">
        <v>63</v>
      </c>
      <c r="R63" s="51" t="s">
        <v>65</v>
      </c>
    </row>
    <row r="64" spans="9:18" ht="15.95" customHeight="1" x14ac:dyDescent="0.2">
      <c r="I64" s="27">
        <v>2</v>
      </c>
      <c r="J64" s="36">
        <f>+J$53</f>
        <v>51.451737257432207</v>
      </c>
      <c r="K64" s="36">
        <f>+J$54</f>
        <v>55.310213562557742</v>
      </c>
      <c r="L64" s="23">
        <f>+J$55</f>
        <v>59.458075590567695</v>
      </c>
      <c r="M64" s="42">
        <f>+J$56</f>
        <v>63.917027270678389</v>
      </c>
      <c r="N64" s="36">
        <f>+J$57</f>
        <v>68.710400326797384</v>
      </c>
      <c r="O64" s="36">
        <f>+J$58</f>
        <v>73.863276362125305</v>
      </c>
      <c r="P64" s="36">
        <f>+J$59</f>
        <v>79.402618100102814</v>
      </c>
      <c r="Q64" s="36">
        <f>+J$60</f>
        <v>85.357410468428654</v>
      </c>
      <c r="R64" s="52">
        <f>+J$61</f>
        <v>91.758812264378918</v>
      </c>
    </row>
    <row r="65" spans="9:18" ht="15.95" customHeight="1" x14ac:dyDescent="0.2">
      <c r="I65" s="27">
        <v>5</v>
      </c>
      <c r="J65" s="36">
        <f>+K$53</f>
        <v>104.9605448478208</v>
      </c>
      <c r="K65" s="36">
        <f>+K$54</f>
        <v>112.83258571140735</v>
      </c>
      <c r="L65" s="23">
        <f>+K$55</f>
        <v>121.2950296397629</v>
      </c>
      <c r="M65" s="42">
        <f>+K$56</f>
        <v>130.39215686274511</v>
      </c>
      <c r="N65" s="36">
        <f>+K$57</f>
        <v>140.17156862745099</v>
      </c>
      <c r="O65" s="36">
        <f>+K$58</f>
        <v>150.68443627450978</v>
      </c>
      <c r="P65" s="36">
        <f>+K$59</f>
        <v>161.98576899509803</v>
      </c>
      <c r="Q65" s="36">
        <f>+K$60</f>
        <v>174.13470166973036</v>
      </c>
      <c r="R65" s="52">
        <f>+K$61</f>
        <v>187.19480429496014</v>
      </c>
    </row>
    <row r="66" spans="9:18" ht="15.95" customHeight="1" x14ac:dyDescent="0.2">
      <c r="I66" s="27">
        <v>10</v>
      </c>
      <c r="J66" s="36">
        <f>+L$53</f>
        <v>214.11951148955441</v>
      </c>
      <c r="K66" s="36">
        <f>+L$54</f>
        <v>230.17847485127098</v>
      </c>
      <c r="L66" s="23">
        <f>+L$55</f>
        <v>247.44186046511629</v>
      </c>
      <c r="M66" s="42">
        <f>+L$56</f>
        <v>266</v>
      </c>
      <c r="N66" s="36">
        <f>+L$57</f>
        <v>285.95</v>
      </c>
      <c r="O66" s="36">
        <f>+L$58</f>
        <v>307.39624999999995</v>
      </c>
      <c r="P66" s="36">
        <f>+L$59</f>
        <v>330.45096874999996</v>
      </c>
      <c r="Q66" s="36">
        <f>+L$60</f>
        <v>355.23479140624994</v>
      </c>
      <c r="R66" s="52">
        <f>+L$61</f>
        <v>381.87740076171866</v>
      </c>
    </row>
    <row r="67" spans="9:18" ht="15.95" customHeight="1" x14ac:dyDescent="0.2">
      <c r="I67" s="27">
        <v>40</v>
      </c>
      <c r="J67" s="36">
        <f>+M$53</f>
        <v>1006.5234982273666</v>
      </c>
      <c r="K67" s="36">
        <f>+M$54</f>
        <v>1081.9637088702812</v>
      </c>
      <c r="L67" s="23">
        <f>+M$55</f>
        <v>1163.0619353114143</v>
      </c>
      <c r="M67" s="42">
        <f>+M$56</f>
        <v>1250.2425287356323</v>
      </c>
      <c r="N67" s="36">
        <f>+M$57</f>
        <v>1343.9616666666668</v>
      </c>
      <c r="O67" s="36">
        <f>+M$58</f>
        <v>1444.7097399425286</v>
      </c>
      <c r="P67" s="36">
        <f>+M$59</f>
        <v>1553.0139187140805</v>
      </c>
      <c r="Q67" s="36">
        <f>+M$60</f>
        <v>1669.4409108934985</v>
      </c>
      <c r="R67" s="52">
        <f>+M$61</f>
        <v>1794.5999274863727</v>
      </c>
    </row>
    <row r="68" spans="9:18" ht="15.95" customHeight="1" x14ac:dyDescent="0.2">
      <c r="I68" s="27">
        <v>40.1</v>
      </c>
      <c r="J68" s="37">
        <f>+J67/J66</f>
        <v>4.7007556257967122</v>
      </c>
      <c r="K68" s="37">
        <f t="shared" ref="K68:R68" si="6">+K67/K66</f>
        <v>4.7005425227940547</v>
      </c>
      <c r="L68" s="37">
        <f t="shared" si="6"/>
        <v>4.7003442874427455</v>
      </c>
      <c r="M68" s="37">
        <f t="shared" si="6"/>
        <v>4.7001598824647832</v>
      </c>
      <c r="N68" s="37">
        <f t="shared" si="6"/>
        <v>4.6999883429503999</v>
      </c>
      <c r="O68" s="37">
        <f t="shared" si="6"/>
        <v>4.6998287713091127</v>
      </c>
      <c r="P68" s="37">
        <f t="shared" si="6"/>
        <v>4.6996803325730321</v>
      </c>
      <c r="Q68" s="37">
        <f t="shared" si="6"/>
        <v>4.6995422500278412</v>
      </c>
      <c r="R68" s="53">
        <f t="shared" si="6"/>
        <v>4.6994138011485926</v>
      </c>
    </row>
    <row r="69" spans="9:18" ht="15.95" customHeight="1" thickBot="1" x14ac:dyDescent="0.25">
      <c r="I69" s="38"/>
      <c r="J69" s="39"/>
      <c r="K69" s="44">
        <f t="shared" ref="K69:R69" si="7">+K64/J64</f>
        <v>1.0749921481916178</v>
      </c>
      <c r="L69" s="44">
        <f t="shared" si="7"/>
        <v>1.0749926959388536</v>
      </c>
      <c r="M69" s="44">
        <f t="shared" si="7"/>
        <v>1.0749932054783498</v>
      </c>
      <c r="N69" s="44">
        <f t="shared" si="7"/>
        <v>1.0749936794747952</v>
      </c>
      <c r="O69" s="44">
        <f t="shared" si="7"/>
        <v>1.0749941204071005</v>
      </c>
      <c r="P69" s="44">
        <f t="shared" si="7"/>
        <v>1.0749945305813418</v>
      </c>
      <c r="Q69" s="44">
        <f t="shared" si="7"/>
        <v>1.0749949121428042</v>
      </c>
      <c r="R69" s="54">
        <f t="shared" si="7"/>
        <v>1.0749952670871847</v>
      </c>
    </row>
    <row r="70" spans="9:18" ht="15.95" customHeight="1" thickBot="1" x14ac:dyDescent="0.25"/>
    <row r="71" spans="9:18" ht="15.95" customHeight="1" x14ac:dyDescent="0.2">
      <c r="I71" s="24"/>
      <c r="J71" s="55">
        <f>INDEX(LINEST(J$74:J$75,($L$74:$L$75)^{1}),1)</f>
        <v>0.26219609089464474</v>
      </c>
      <c r="K71" s="55">
        <f>INDEX(LINEST(K$74:K$75,($L$74:$L$75)^{1}),1)</f>
        <v>0.51203277009728632</v>
      </c>
      <c r="L71" s="56"/>
      <c r="M71" s="55">
        <f>INDEX(LINEST(M$74:M$75,($L$74:$L$75)^{1}),1)</f>
        <v>4.5</v>
      </c>
      <c r="N71" s="25"/>
      <c r="O71" s="25"/>
      <c r="P71" s="25"/>
      <c r="Q71" s="25"/>
      <c r="R71" s="26"/>
    </row>
    <row r="72" spans="9:18" ht="15.95" customHeight="1" x14ac:dyDescent="0.2">
      <c r="I72" s="27"/>
      <c r="J72" s="57">
        <f>INDEX(LINEST(J$74:J$75,($L$74:$L$75)^{1}),2)</f>
        <v>-4.4140756042736484E-3</v>
      </c>
      <c r="K72" s="57">
        <f>INDEX(LINEST(K$74:K$75,($L$74:$L$75)^{1}),2)</f>
        <v>-2.8421709430404007E-14</v>
      </c>
      <c r="L72" s="49"/>
      <c r="M72" s="57">
        <f>INDEX(LINEST(M$74:M$75,($L$74:$L$75)^{1}),2)</f>
        <v>0</v>
      </c>
      <c r="N72" s="29"/>
      <c r="O72" s="29"/>
      <c r="P72" s="29"/>
      <c r="Q72" s="29"/>
      <c r="R72" s="30"/>
    </row>
    <row r="73" spans="9:18" ht="15.95" customHeight="1" x14ac:dyDescent="0.2">
      <c r="I73" s="27"/>
      <c r="J73" s="29"/>
      <c r="K73" s="31" t="s">
        <v>58</v>
      </c>
      <c r="L73" s="29" t="s">
        <v>56</v>
      </c>
      <c r="M73" s="31" t="s">
        <v>57</v>
      </c>
      <c r="N73" s="28">
        <f>4.5/4.7</f>
        <v>0.95744680851063824</v>
      </c>
      <c r="O73" s="48">
        <f>2.04*0.95745</f>
        <v>1.953198</v>
      </c>
      <c r="P73" s="29"/>
      <c r="Q73" s="29"/>
      <c r="R73" s="30"/>
    </row>
    <row r="74" spans="9:18" ht="15.95" customHeight="1" x14ac:dyDescent="0.2">
      <c r="I74" s="27"/>
      <c r="J74" s="46">
        <f>123.4/1.953</f>
        <v>63.184843830005121</v>
      </c>
      <c r="K74" s="46">
        <f>241/1.953</f>
        <v>123.39989759344597</v>
      </c>
      <c r="L74" s="29">
        <v>241</v>
      </c>
      <c r="M74" s="46">
        <f>241*4.5</f>
        <v>1084.5</v>
      </c>
      <c r="N74" s="45">
        <f>+M74/L74</f>
        <v>4.5</v>
      </c>
      <c r="O74" s="45">
        <f>+L74/K74</f>
        <v>1.9530000000000001</v>
      </c>
      <c r="P74" s="45">
        <f>+K74/J74</f>
        <v>1.952998379254457</v>
      </c>
      <c r="Q74" s="29"/>
      <c r="R74" s="30"/>
    </row>
    <row r="75" spans="9:18" ht="15.95" customHeight="1" x14ac:dyDescent="0.2">
      <c r="I75" s="27"/>
      <c r="J75" s="46">
        <f>167.95/1.953</f>
        <v>85.995903737839214</v>
      </c>
      <c r="K75" s="46">
        <f>328/1.953</f>
        <v>167.94674859190988</v>
      </c>
      <c r="L75" s="29">
        <v>328</v>
      </c>
      <c r="M75" s="46">
        <f>328*4.5</f>
        <v>1476</v>
      </c>
      <c r="N75" s="45">
        <f>+M75/L75</f>
        <v>4.5</v>
      </c>
      <c r="O75" s="45">
        <f>+L75/K75</f>
        <v>1.9530000000000001</v>
      </c>
      <c r="P75" s="45">
        <f>+K75/J75</f>
        <v>1.9529621911283122</v>
      </c>
      <c r="Q75" s="29"/>
      <c r="R75" s="30"/>
    </row>
    <row r="76" spans="9:18" ht="15.95" customHeight="1" x14ac:dyDescent="0.2">
      <c r="I76" s="27"/>
      <c r="J76" s="17">
        <f>(J$71*$L76)+J$72</f>
        <v>72.83365997492804</v>
      </c>
      <c r="K76" s="17">
        <f>(K$71*$L76)+K$72</f>
        <v>142.24270353302612</v>
      </c>
      <c r="L76" s="32">
        <v>277.8</v>
      </c>
      <c r="M76" s="17">
        <f>(M$71*$L76)+M$72</f>
        <v>1250.1000000000001</v>
      </c>
      <c r="N76" s="29"/>
      <c r="O76" s="29"/>
      <c r="P76" s="29"/>
      <c r="Q76" s="29"/>
      <c r="R76" s="30"/>
    </row>
    <row r="77" spans="9:18" ht="15.95" customHeight="1" x14ac:dyDescent="0.2">
      <c r="I77" s="27"/>
      <c r="J77" s="29"/>
      <c r="K77" s="29"/>
      <c r="L77" s="29"/>
      <c r="M77" s="29"/>
      <c r="N77" s="33"/>
      <c r="O77" s="29"/>
      <c r="P77" s="29"/>
      <c r="Q77" s="29"/>
      <c r="R77" s="30"/>
    </row>
    <row r="78" spans="9:18" ht="15.95" customHeight="1" x14ac:dyDescent="0.2">
      <c r="I78" s="27"/>
      <c r="J78" s="17">
        <f>(J$71*$L78)+J$72</f>
        <v>58.627363494094851</v>
      </c>
      <c r="K78" s="17">
        <f>(K$71*$L78)+K$72</f>
        <v>114.49976764453032</v>
      </c>
      <c r="L78" s="43">
        <f>+L79/$N$56</f>
        <v>223.61804620976773</v>
      </c>
      <c r="M78" s="17">
        <f>(M$71*$L78)+M$72</f>
        <v>1006.2812079439548</v>
      </c>
      <c r="N78" s="29"/>
      <c r="O78" s="29"/>
      <c r="P78" s="29"/>
      <c r="Q78" s="29"/>
      <c r="R78" s="30"/>
    </row>
    <row r="79" spans="9:18" ht="15.95" customHeight="1" x14ac:dyDescent="0.2">
      <c r="I79" s="27"/>
      <c r="J79" s="17">
        <f t="shared" ref="J79:K86" si="8">(J$71*$L79)+J$72</f>
        <v>63.024746811822283</v>
      </c>
      <c r="K79" s="17">
        <f t="shared" si="8"/>
        <v>123.08725021787009</v>
      </c>
      <c r="L79" s="43">
        <f>+L80/$N$56</f>
        <v>240.3893996755003</v>
      </c>
      <c r="M79" s="17">
        <f t="shared" ref="M79:M86" si="9">(M$71*$L79)+M$72</f>
        <v>1081.7522985397513</v>
      </c>
      <c r="N79" s="29"/>
      <c r="O79" s="29"/>
      <c r="P79" s="29"/>
      <c r="Q79" s="29"/>
      <c r="R79" s="30"/>
    </row>
    <row r="80" spans="9:18" ht="15.95" customHeight="1" x14ac:dyDescent="0.2">
      <c r="I80" s="27"/>
      <c r="J80" s="17">
        <f t="shared" si="8"/>
        <v>67.751933878379276</v>
      </c>
      <c r="K80" s="17">
        <f t="shared" si="8"/>
        <v>132.31879398421034</v>
      </c>
      <c r="L80" s="43">
        <f>+L81/$N$56</f>
        <v>258.41860465116281</v>
      </c>
      <c r="M80" s="17">
        <f t="shared" si="9"/>
        <v>1162.8837209302326</v>
      </c>
      <c r="N80" s="29"/>
      <c r="O80" s="29"/>
      <c r="P80" s="29"/>
      <c r="Q80" s="29"/>
      <c r="R80" s="30"/>
    </row>
    <row r="81" spans="9:18" ht="15.95" customHeight="1" x14ac:dyDescent="0.2">
      <c r="I81" s="27"/>
      <c r="J81" s="40">
        <f t="shared" si="8"/>
        <v>72.83365997492804</v>
      </c>
      <c r="K81" s="40">
        <f t="shared" si="8"/>
        <v>142.24270353302612</v>
      </c>
      <c r="L81" s="41">
        <v>277.8</v>
      </c>
      <c r="M81" s="40">
        <f t="shared" si="9"/>
        <v>1250.1000000000001</v>
      </c>
      <c r="N81" s="29"/>
      <c r="O81" s="29"/>
      <c r="P81" s="29"/>
      <c r="Q81" s="29"/>
      <c r="R81" s="30"/>
    </row>
    <row r="82" spans="9:18" ht="15.95" customHeight="1" x14ac:dyDescent="0.2">
      <c r="I82" s="27"/>
      <c r="J82" s="17">
        <f t="shared" si="8"/>
        <v>78.296515528717961</v>
      </c>
      <c r="K82" s="17">
        <f t="shared" si="8"/>
        <v>152.91090629800306</v>
      </c>
      <c r="L82" s="43">
        <f>+L81*$N$56</f>
        <v>298.63499999999999</v>
      </c>
      <c r="M82" s="17">
        <f t="shared" si="9"/>
        <v>1343.8575000000001</v>
      </c>
      <c r="N82" s="29"/>
      <c r="O82" s="29"/>
      <c r="P82" s="29"/>
      <c r="Q82" s="29"/>
      <c r="R82" s="30"/>
    </row>
    <row r="83" spans="9:18" ht="15.95" customHeight="1" x14ac:dyDescent="0.2">
      <c r="I83" s="27"/>
      <c r="J83" s="17">
        <f t="shared" si="8"/>
        <v>84.169085249042126</v>
      </c>
      <c r="K83" s="17">
        <f t="shared" si="8"/>
        <v>164.37922427035329</v>
      </c>
      <c r="L83" s="43">
        <f>+L82*$N$56</f>
        <v>321.032625</v>
      </c>
      <c r="M83" s="17">
        <f t="shared" si="9"/>
        <v>1444.6468124999999</v>
      </c>
      <c r="N83" s="29"/>
      <c r="O83" s="29"/>
      <c r="P83" s="29"/>
      <c r="Q83" s="29"/>
      <c r="R83" s="30"/>
    </row>
    <row r="84" spans="9:18" ht="15.95" customHeight="1" x14ac:dyDescent="0.2">
      <c r="I84" s="27"/>
      <c r="J84" s="17">
        <f t="shared" si="8"/>
        <v>90.482097698390589</v>
      </c>
      <c r="K84" s="17">
        <f t="shared" si="8"/>
        <v>176.70766609062977</v>
      </c>
      <c r="L84" s="43">
        <f>+L83*$N$56</f>
        <v>345.11007187499996</v>
      </c>
      <c r="M84" s="17">
        <f t="shared" si="9"/>
        <v>1552.9953234374998</v>
      </c>
      <c r="N84" s="29"/>
      <c r="O84" s="29"/>
      <c r="P84" s="29"/>
      <c r="Q84" s="29"/>
      <c r="R84" s="30"/>
    </row>
    <row r="85" spans="9:18" ht="15.95" customHeight="1" x14ac:dyDescent="0.2">
      <c r="I85" s="27"/>
      <c r="J85" s="17">
        <f t="shared" si="8"/>
        <v>97.268586081440205</v>
      </c>
      <c r="K85" s="17">
        <f t="shared" si="8"/>
        <v>189.96074104742701</v>
      </c>
      <c r="L85" s="43">
        <f>+L84*$N$56</f>
        <v>370.99332726562494</v>
      </c>
      <c r="M85" s="17">
        <f t="shared" si="9"/>
        <v>1669.4699726953122</v>
      </c>
      <c r="N85" s="29"/>
      <c r="O85" s="29"/>
      <c r="P85" s="29"/>
      <c r="Q85" s="29"/>
      <c r="R85" s="30"/>
    </row>
    <row r="86" spans="9:18" ht="15.95" customHeight="1" x14ac:dyDescent="0.2">
      <c r="I86" s="27"/>
      <c r="J86" s="17">
        <f t="shared" si="8"/>
        <v>104.56406109321854</v>
      </c>
      <c r="K86" s="17">
        <f t="shared" si="8"/>
        <v>204.20779662598403</v>
      </c>
      <c r="L86" s="43">
        <f>+L85*$N$56</f>
        <v>398.81782681054682</v>
      </c>
      <c r="M86" s="17">
        <f t="shared" si="9"/>
        <v>1794.6802206474606</v>
      </c>
      <c r="N86" s="29"/>
      <c r="O86" s="29"/>
      <c r="P86" s="29"/>
      <c r="Q86" s="29"/>
      <c r="R86" s="30"/>
    </row>
    <row r="87" spans="9:18" ht="15.95" customHeight="1" x14ac:dyDescent="0.2">
      <c r="I87" s="27"/>
      <c r="J87" s="29"/>
      <c r="R87" s="30"/>
    </row>
    <row r="88" spans="9:18" ht="15.95" customHeight="1" x14ac:dyDescent="0.2">
      <c r="I88" s="34" t="s">
        <v>64</v>
      </c>
      <c r="J88" s="29">
        <v>-3</v>
      </c>
      <c r="K88" s="29">
        <v>-2</v>
      </c>
      <c r="L88" s="18">
        <v>-1</v>
      </c>
      <c r="M88" s="29" t="s">
        <v>59</v>
      </c>
      <c r="N88" s="35" t="s">
        <v>60</v>
      </c>
      <c r="O88" s="35" t="s">
        <v>61</v>
      </c>
      <c r="P88" s="35" t="s">
        <v>62</v>
      </c>
      <c r="Q88" s="35" t="s">
        <v>63</v>
      </c>
      <c r="R88" s="51" t="s">
        <v>65</v>
      </c>
    </row>
    <row r="89" spans="9:18" ht="15.95" customHeight="1" x14ac:dyDescent="0.2">
      <c r="I89" s="27">
        <v>2</v>
      </c>
      <c r="J89" s="36">
        <f>+J$78</f>
        <v>58.627363494094851</v>
      </c>
      <c r="K89" s="36">
        <f>+J$79</f>
        <v>63.024746811822283</v>
      </c>
      <c r="L89" s="23">
        <f>+J$80</f>
        <v>67.751933878379276</v>
      </c>
      <c r="M89" s="42">
        <f>+J$81</f>
        <v>72.83365997492804</v>
      </c>
      <c r="N89" s="36">
        <f>+J$82</f>
        <v>78.296515528717961</v>
      </c>
      <c r="O89" s="36">
        <f>+J$83</f>
        <v>84.169085249042126</v>
      </c>
      <c r="P89" s="36">
        <f>+J$84</f>
        <v>90.482097698390589</v>
      </c>
      <c r="Q89" s="36">
        <f>+J$85</f>
        <v>97.268586081440205</v>
      </c>
      <c r="R89" s="52">
        <f>+J$86</f>
        <v>104.56406109321854</v>
      </c>
    </row>
    <row r="90" spans="9:18" ht="15.95" customHeight="1" x14ac:dyDescent="0.2">
      <c r="I90" s="27">
        <v>5</v>
      </c>
      <c r="J90" s="36">
        <f>+K$78</f>
        <v>114.49976764453032</v>
      </c>
      <c r="K90" s="36">
        <f>+K$79</f>
        <v>123.08725021787009</v>
      </c>
      <c r="L90" s="23">
        <f>+K$80</f>
        <v>132.31879398421034</v>
      </c>
      <c r="M90" s="42">
        <f>+K$81</f>
        <v>142.24270353302612</v>
      </c>
      <c r="N90" s="36">
        <f>+K$82</f>
        <v>152.91090629800306</v>
      </c>
      <c r="O90" s="36">
        <f>+K$83</f>
        <v>164.37922427035329</v>
      </c>
      <c r="P90" s="36">
        <f>+K$84</f>
        <v>176.70766609062977</v>
      </c>
      <c r="Q90" s="36">
        <f>+K$85</f>
        <v>189.96074104742701</v>
      </c>
      <c r="R90" s="52">
        <f>+K$86</f>
        <v>204.20779662598403</v>
      </c>
    </row>
    <row r="91" spans="9:18" ht="15.95" customHeight="1" x14ac:dyDescent="0.2">
      <c r="I91" s="27">
        <v>10</v>
      </c>
      <c r="J91" s="36">
        <f>+L$78</f>
        <v>223.61804620976773</v>
      </c>
      <c r="K91" s="36">
        <f>+L$79</f>
        <v>240.3893996755003</v>
      </c>
      <c r="L91" s="23">
        <f>+L$80</f>
        <v>258.41860465116281</v>
      </c>
      <c r="M91" s="42">
        <f>+L$81</f>
        <v>277.8</v>
      </c>
      <c r="N91" s="36">
        <f>+L$82</f>
        <v>298.63499999999999</v>
      </c>
      <c r="O91" s="36">
        <f>+L$83</f>
        <v>321.032625</v>
      </c>
      <c r="P91" s="36">
        <f>+L$84</f>
        <v>345.11007187499996</v>
      </c>
      <c r="Q91" s="36">
        <f>+L$85</f>
        <v>370.99332726562494</v>
      </c>
      <c r="R91" s="52">
        <f>+L$86</f>
        <v>398.81782681054682</v>
      </c>
    </row>
    <row r="92" spans="9:18" ht="15.95" customHeight="1" x14ac:dyDescent="0.2">
      <c r="I92" s="27">
        <v>40</v>
      </c>
      <c r="J92" s="36">
        <f>+M$78</f>
        <v>1006.2812079439548</v>
      </c>
      <c r="K92" s="36">
        <f>+M$79</f>
        <v>1081.7522985397513</v>
      </c>
      <c r="L92" s="23">
        <f>+M$80</f>
        <v>1162.8837209302326</v>
      </c>
      <c r="M92" s="42">
        <f>+M$81</f>
        <v>1250.1000000000001</v>
      </c>
      <c r="N92" s="36">
        <f>+M$82</f>
        <v>1343.8575000000001</v>
      </c>
      <c r="O92" s="36">
        <f>+M$83</f>
        <v>1444.6468124999999</v>
      </c>
      <c r="P92" s="36">
        <f>+M$84</f>
        <v>1552.9953234374998</v>
      </c>
      <c r="Q92" s="36">
        <f>+M$85</f>
        <v>1669.4699726953122</v>
      </c>
      <c r="R92" s="52">
        <f>+M$86</f>
        <v>1794.6802206474606</v>
      </c>
    </row>
    <row r="93" spans="9:18" ht="15.95" customHeight="1" x14ac:dyDescent="0.2">
      <c r="I93" s="27">
        <v>40.1</v>
      </c>
      <c r="J93" s="37">
        <f t="shared" ref="J93:R93" si="10">+J92/J91</f>
        <v>4.5</v>
      </c>
      <c r="K93" s="37">
        <f t="shared" si="10"/>
        <v>4.5</v>
      </c>
      <c r="L93" s="37">
        <f t="shared" si="10"/>
        <v>4.5</v>
      </c>
      <c r="M93" s="37">
        <f t="shared" si="10"/>
        <v>4.5</v>
      </c>
      <c r="N93" s="37">
        <f t="shared" si="10"/>
        <v>4.5</v>
      </c>
      <c r="O93" s="37">
        <f t="shared" si="10"/>
        <v>4.5</v>
      </c>
      <c r="P93" s="37">
        <f t="shared" si="10"/>
        <v>4.5</v>
      </c>
      <c r="Q93" s="37">
        <f t="shared" si="10"/>
        <v>4.5</v>
      </c>
      <c r="R93" s="53">
        <f t="shared" si="10"/>
        <v>4.5</v>
      </c>
    </row>
    <row r="94" spans="9:18" ht="15.95" customHeight="1" thickBot="1" x14ac:dyDescent="0.25">
      <c r="I94" s="38"/>
      <c r="J94" s="39"/>
      <c r="K94" s="44">
        <f t="shared" ref="K94:R94" si="11">+K89/J89</f>
        <v>1.075005646777385</v>
      </c>
      <c r="L94" s="44">
        <f t="shared" si="11"/>
        <v>1.0750052527885803</v>
      </c>
      <c r="M94" s="44">
        <f t="shared" si="11"/>
        <v>1.0750048862910824</v>
      </c>
      <c r="N94" s="44">
        <f t="shared" si="11"/>
        <v>1.0750045453663928</v>
      </c>
      <c r="O94" s="44">
        <f t="shared" si="11"/>
        <v>1.0750042282299292</v>
      </c>
      <c r="P94" s="44">
        <f t="shared" si="11"/>
        <v>1.075003933221673</v>
      </c>
      <c r="Q94" s="44">
        <f t="shared" si="11"/>
        <v>1.0750036587974721</v>
      </c>
      <c r="R94" s="54">
        <f t="shared" si="11"/>
        <v>1.0750034035209481</v>
      </c>
    </row>
    <row r="95" spans="9:18" ht="15.95" customHeight="1" x14ac:dyDescent="0.2"/>
    <row r="96" spans="9:18" ht="15.95" customHeight="1" thickBot="1" x14ac:dyDescent="0.25"/>
    <row r="97" spans="9:18" ht="15.95" customHeight="1" x14ac:dyDescent="0.2">
      <c r="I97" s="24"/>
      <c r="J97" s="55">
        <f>INDEX(LINEST(J$100:J$101,($L$100:$L$101)^{1}),1)</f>
        <v>0.28723312513089655</v>
      </c>
      <c r="K97" s="55">
        <f>INDEX(LINEST(K$100:K$101,($L$100:$L$101)^{1}),1)</f>
        <v>0.53590568060021448</v>
      </c>
      <c r="L97" s="25"/>
      <c r="M97" s="55">
        <f>INDEX(LINEST(M$100:M$101,($L$100:$L$101)^{1}),1)</f>
        <v>4.3</v>
      </c>
      <c r="N97" s="25"/>
      <c r="O97" s="25"/>
      <c r="P97" s="25"/>
      <c r="Q97" s="25"/>
      <c r="R97" s="26"/>
    </row>
    <row r="98" spans="9:18" ht="15.95" customHeight="1" x14ac:dyDescent="0.2">
      <c r="I98" s="27"/>
      <c r="J98" s="57">
        <f>INDEX(LINEST(J$100:J$101,($L$100:$L$101)^{1}),2)</f>
        <v>-1.0964507028390358E-2</v>
      </c>
      <c r="K98" s="57">
        <f>INDEX(LINEST(K$100:K$101,($L$100:$L$101)^{1}),2)</f>
        <v>-5.6843418860808015E-14</v>
      </c>
      <c r="L98" s="29"/>
      <c r="M98" s="57">
        <f>INDEX(LINEST(M$100:M$101,($L$100:$L$101)^{1}),2)</f>
        <v>0</v>
      </c>
      <c r="N98" s="29"/>
      <c r="O98" s="29"/>
      <c r="P98" s="29"/>
      <c r="Q98" s="29"/>
      <c r="R98" s="30"/>
    </row>
    <row r="99" spans="9:18" ht="15.95" customHeight="1" x14ac:dyDescent="0.2">
      <c r="I99" s="27"/>
      <c r="J99" s="29"/>
      <c r="K99" s="31" t="s">
        <v>58</v>
      </c>
      <c r="L99" s="29" t="s">
        <v>56</v>
      </c>
      <c r="M99" s="31" t="s">
        <v>57</v>
      </c>
      <c r="N99" s="28">
        <f>4.3/4.5</f>
        <v>0.95555555555555549</v>
      </c>
      <c r="O99" s="50">
        <f>1.953*0.9555</f>
        <v>1.8660915</v>
      </c>
      <c r="P99" s="29"/>
      <c r="Q99" s="29"/>
      <c r="R99" s="30"/>
    </row>
    <row r="100" spans="9:18" ht="15.95" customHeight="1" x14ac:dyDescent="0.2">
      <c r="I100" s="27"/>
      <c r="J100" s="46">
        <f>129.15/1.866</f>
        <v>69.212218649517681</v>
      </c>
      <c r="K100" s="46">
        <f>241/1.866</f>
        <v>129.15326902465165</v>
      </c>
      <c r="L100" s="29">
        <v>241</v>
      </c>
      <c r="M100" s="46">
        <f>241*4.3</f>
        <v>1036.3</v>
      </c>
      <c r="N100" s="45">
        <f>+M100/L100</f>
        <v>4.3</v>
      </c>
      <c r="O100" s="45">
        <f>+L100/K100</f>
        <v>1.8660000000000001</v>
      </c>
      <c r="P100" s="45">
        <f>+K100/J100</f>
        <v>1.8660472319008903</v>
      </c>
      <c r="Q100" s="29"/>
      <c r="R100" s="30"/>
    </row>
    <row r="101" spans="9:18" ht="15.95" customHeight="1" x14ac:dyDescent="0.2">
      <c r="I101" s="27"/>
      <c r="J101" s="46">
        <f>175.78/1.866</f>
        <v>94.20150053590568</v>
      </c>
      <c r="K101" s="46">
        <f>328/1.866</f>
        <v>175.7770632368703</v>
      </c>
      <c r="L101" s="29">
        <v>328</v>
      </c>
      <c r="M101" s="46">
        <f>328*4.3</f>
        <v>1410.3999999999999</v>
      </c>
      <c r="N101" s="45">
        <f>+M101/L101</f>
        <v>4.3</v>
      </c>
      <c r="O101" s="45">
        <f>+L101/K101</f>
        <v>1.8660000000000001</v>
      </c>
      <c r="P101" s="45">
        <f>+K101/J101</f>
        <v>1.8659688246671975</v>
      </c>
      <c r="Q101" s="29"/>
      <c r="R101" s="30"/>
    </row>
    <row r="102" spans="9:18" ht="15.95" customHeight="1" x14ac:dyDescent="0.2">
      <c r="I102" s="27"/>
      <c r="J102" s="17">
        <f>(J$97*$L102)+J$98</f>
        <v>83.516428281036326</v>
      </c>
      <c r="K102" s="17">
        <f>(K$97*$L102)+K$98</f>
        <v>155.84137191854231</v>
      </c>
      <c r="L102" s="32">
        <v>290.8</v>
      </c>
      <c r="M102" s="17">
        <f>(M$97*$L102)+M$98</f>
        <v>1250.44</v>
      </c>
      <c r="N102" s="29"/>
      <c r="O102" s="29"/>
      <c r="P102" s="29"/>
      <c r="Q102" s="29"/>
      <c r="R102" s="30"/>
    </row>
    <row r="103" spans="9:18" ht="15.95" customHeight="1" x14ac:dyDescent="0.2">
      <c r="I103" s="27"/>
      <c r="J103" s="29"/>
      <c r="K103" s="29"/>
      <c r="L103" s="29"/>
      <c r="M103" s="29"/>
      <c r="N103" s="33"/>
      <c r="O103" s="29"/>
      <c r="P103" s="29"/>
      <c r="Q103" s="29"/>
      <c r="R103" s="30"/>
    </row>
    <row r="104" spans="9:18" ht="15.95" customHeight="1" x14ac:dyDescent="0.2">
      <c r="I104" s="27"/>
      <c r="J104" s="17">
        <f>(J$97*$L104)+J$98</f>
        <v>67.225293161304492</v>
      </c>
      <c r="K104" s="17">
        <f>(K$97*$L104)+K$98</f>
        <v>125.44615949270766</v>
      </c>
      <c r="L104" s="43">
        <f>+L105/$N$56</f>
        <v>234.08253361339254</v>
      </c>
      <c r="M104" s="17">
        <f>(M$97*$L104)+M$98</f>
        <v>1006.5548945375879</v>
      </c>
      <c r="N104" s="29"/>
      <c r="O104" s="29"/>
      <c r="P104" s="29"/>
      <c r="Q104" s="29"/>
      <c r="R104" s="30"/>
    </row>
    <row r="105" spans="9:18" ht="15.95" customHeight="1" x14ac:dyDescent="0.2">
      <c r="I105" s="27"/>
      <c r="J105" s="17">
        <f t="shared" ref="J105:K112" si="12">(J$97*$L105)+J$98</f>
        <v>72.268012486429456</v>
      </c>
      <c r="K105" s="17">
        <f t="shared" si="12"/>
        <v>134.85462145466073</v>
      </c>
      <c r="L105" s="43">
        <f>+L106/$N$56</f>
        <v>251.63872363439697</v>
      </c>
      <c r="M105" s="17">
        <f t="shared" ref="M105:M112" si="13">(M$97*$L105)+M$98</f>
        <v>1082.046511627907</v>
      </c>
      <c r="N105" s="29"/>
      <c r="O105" s="29"/>
      <c r="P105" s="29"/>
      <c r="Q105" s="29"/>
      <c r="R105" s="30"/>
    </row>
    <row r="106" spans="9:18" ht="15.95" customHeight="1" x14ac:dyDescent="0.2">
      <c r="I106" s="27"/>
      <c r="J106" s="17">
        <f>(J$97*$L106)+J$98</f>
        <v>77.68893576093879</v>
      </c>
      <c r="K106" s="17">
        <f>(K$97*$L106)+K$98</f>
        <v>144.96871806376029</v>
      </c>
      <c r="L106" s="43">
        <f>+L107/$N$56</f>
        <v>270.51162790697674</v>
      </c>
      <c r="M106" s="17">
        <f t="shared" si="13"/>
        <v>1163.2</v>
      </c>
      <c r="N106" s="29"/>
      <c r="O106" s="29"/>
      <c r="P106" s="29"/>
      <c r="Q106" s="29"/>
      <c r="R106" s="30"/>
    </row>
    <row r="107" spans="9:18" ht="15.95" customHeight="1" x14ac:dyDescent="0.2">
      <c r="I107" s="27"/>
      <c r="J107" s="40">
        <f t="shared" si="12"/>
        <v>83.516428281036326</v>
      </c>
      <c r="K107" s="40">
        <f t="shared" si="12"/>
        <v>155.84137191854231</v>
      </c>
      <c r="L107" s="41">
        <v>290.8</v>
      </c>
      <c r="M107" s="40">
        <f t="shared" si="13"/>
        <v>1250.44</v>
      </c>
      <c r="N107" s="29"/>
      <c r="O107" s="29"/>
      <c r="P107" s="29"/>
      <c r="Q107" s="29"/>
      <c r="R107" s="30"/>
    </row>
    <row r="108" spans="9:18" ht="15.95" customHeight="1" x14ac:dyDescent="0.2">
      <c r="I108" s="27"/>
      <c r="J108" s="17">
        <f t="shared" si="12"/>
        <v>89.780982740141184</v>
      </c>
      <c r="K108" s="17">
        <f t="shared" si="12"/>
        <v>167.52947481243299</v>
      </c>
      <c r="L108" s="43">
        <f>+L107*$N$56</f>
        <v>312.61</v>
      </c>
      <c r="M108" s="17">
        <f t="shared" si="13"/>
        <v>1344.223</v>
      </c>
      <c r="N108" s="29"/>
      <c r="O108" s="29"/>
      <c r="P108" s="29"/>
      <c r="Q108" s="29"/>
      <c r="R108" s="30"/>
    </row>
    <row r="109" spans="9:18" ht="15.95" customHeight="1" x14ac:dyDescent="0.2">
      <c r="I109" s="27"/>
      <c r="J109" s="17">
        <f t="shared" si="12"/>
        <v>96.515378783678898</v>
      </c>
      <c r="K109" s="17">
        <f t="shared" si="12"/>
        <v>180.09418542336547</v>
      </c>
      <c r="L109" s="43">
        <f>+L108*$N$56</f>
        <v>336.05574999999999</v>
      </c>
      <c r="M109" s="17">
        <f t="shared" si="13"/>
        <v>1445.0397249999999</v>
      </c>
      <c r="N109" s="29"/>
      <c r="O109" s="29"/>
      <c r="P109" s="29"/>
      <c r="Q109" s="29"/>
      <c r="R109" s="30"/>
    </row>
    <row r="110" spans="9:18" ht="15.95" customHeight="1" x14ac:dyDescent="0.2">
      <c r="I110" s="27"/>
      <c r="J110" s="17">
        <f t="shared" si="12"/>
        <v>103.75485453048194</v>
      </c>
      <c r="K110" s="17">
        <f t="shared" si="12"/>
        <v>193.60124933011787</v>
      </c>
      <c r="L110" s="43">
        <f>+L109*$N$56</f>
        <v>361.25993124999997</v>
      </c>
      <c r="M110" s="17">
        <f t="shared" si="13"/>
        <v>1553.4177043749999</v>
      </c>
      <c r="N110" s="29"/>
      <c r="O110" s="29"/>
      <c r="P110" s="29"/>
      <c r="Q110" s="29"/>
      <c r="R110" s="30"/>
    </row>
    <row r="111" spans="9:18" ht="15.95" customHeight="1" x14ac:dyDescent="0.2">
      <c r="I111" s="27"/>
      <c r="J111" s="17">
        <f t="shared" si="12"/>
        <v>111.53729095829522</v>
      </c>
      <c r="K111" s="17">
        <f t="shared" si="12"/>
        <v>208.12134302987673</v>
      </c>
      <c r="L111" s="43">
        <f>+L110*$N$56</f>
        <v>388.35442609374996</v>
      </c>
      <c r="M111" s="17">
        <f t="shared" si="13"/>
        <v>1669.9240322031249</v>
      </c>
      <c r="N111" s="29"/>
      <c r="O111" s="29"/>
      <c r="P111" s="29"/>
      <c r="Q111" s="29"/>
      <c r="R111" s="30"/>
    </row>
    <row r="112" spans="9:18" ht="15.95" customHeight="1" x14ac:dyDescent="0.2">
      <c r="I112" s="27"/>
      <c r="J112" s="17">
        <f t="shared" si="12"/>
        <v>119.90341011819449</v>
      </c>
      <c r="K112" s="17">
        <f t="shared" si="12"/>
        <v>223.73044375711748</v>
      </c>
      <c r="L112" s="43">
        <f>+L111*$N$56</f>
        <v>417.48100805078121</v>
      </c>
      <c r="M112" s="17">
        <f t="shared" si="13"/>
        <v>1795.168334618359</v>
      </c>
      <c r="N112" s="29"/>
      <c r="O112" s="29"/>
      <c r="P112" s="29"/>
      <c r="Q112" s="29"/>
      <c r="R112" s="30"/>
    </row>
    <row r="113" spans="9:18" ht="15.95" customHeight="1" x14ac:dyDescent="0.2">
      <c r="I113" s="27"/>
      <c r="J113" s="29"/>
      <c r="K113" s="29"/>
      <c r="L113" s="29"/>
      <c r="M113" s="29"/>
      <c r="N113" s="29"/>
      <c r="O113" s="29"/>
      <c r="P113" s="29"/>
      <c r="Q113" s="29"/>
      <c r="R113" s="30"/>
    </row>
    <row r="114" spans="9:18" ht="15.95" customHeight="1" x14ac:dyDescent="0.2">
      <c r="I114" s="34" t="s">
        <v>64</v>
      </c>
      <c r="J114" s="29">
        <v>-3</v>
      </c>
      <c r="K114" s="29">
        <v>-2</v>
      </c>
      <c r="L114" s="18">
        <v>-1</v>
      </c>
      <c r="M114" s="29" t="s">
        <v>59</v>
      </c>
      <c r="N114" s="35" t="s">
        <v>60</v>
      </c>
      <c r="O114" s="35" t="s">
        <v>61</v>
      </c>
      <c r="P114" s="35" t="s">
        <v>62</v>
      </c>
      <c r="Q114" s="35" t="s">
        <v>63</v>
      </c>
      <c r="R114" s="51" t="s">
        <v>65</v>
      </c>
    </row>
    <row r="115" spans="9:18" ht="15.95" customHeight="1" x14ac:dyDescent="0.2">
      <c r="I115" s="27">
        <v>2</v>
      </c>
      <c r="J115" s="36">
        <f>+J$104</f>
        <v>67.225293161304492</v>
      </c>
      <c r="K115" s="36">
        <f>+J$105</f>
        <v>72.268012486429456</v>
      </c>
      <c r="L115" s="23">
        <f>+J$106</f>
        <v>77.68893576093879</v>
      </c>
      <c r="M115" s="42">
        <f>+J$107</f>
        <v>83.516428281036326</v>
      </c>
      <c r="N115" s="36">
        <f>+J$108</f>
        <v>89.780982740141184</v>
      </c>
      <c r="O115" s="36">
        <f>+J$109</f>
        <v>96.515378783678898</v>
      </c>
      <c r="P115" s="36">
        <f>+J$110</f>
        <v>103.75485453048194</v>
      </c>
      <c r="Q115" s="36">
        <f>+J$111</f>
        <v>111.53729095829522</v>
      </c>
      <c r="R115" s="52">
        <f>+J$112</f>
        <v>119.90341011819449</v>
      </c>
    </row>
    <row r="116" spans="9:18" ht="15.95" customHeight="1" x14ac:dyDescent="0.2">
      <c r="I116" s="27">
        <v>5</v>
      </c>
      <c r="J116" s="36">
        <f>+K$104</f>
        <v>125.44615949270766</v>
      </c>
      <c r="K116" s="36">
        <f>+K$105</f>
        <v>134.85462145466073</v>
      </c>
      <c r="L116" s="23">
        <f>+K$106</f>
        <v>144.96871806376029</v>
      </c>
      <c r="M116" s="42">
        <f>+K$107</f>
        <v>155.84137191854231</v>
      </c>
      <c r="N116" s="36">
        <f>+K$108</f>
        <v>167.52947481243299</v>
      </c>
      <c r="O116" s="36">
        <f>+K$109</f>
        <v>180.09418542336547</v>
      </c>
      <c r="P116" s="36">
        <f>+K$110</f>
        <v>193.60124933011787</v>
      </c>
      <c r="Q116" s="36">
        <f>+K$111</f>
        <v>208.12134302987673</v>
      </c>
      <c r="R116" s="52">
        <f>+K$112</f>
        <v>223.73044375711748</v>
      </c>
    </row>
    <row r="117" spans="9:18" ht="15.95" customHeight="1" x14ac:dyDescent="0.2">
      <c r="I117" s="27">
        <v>10</v>
      </c>
      <c r="J117" s="36">
        <f>+L$104</f>
        <v>234.08253361339254</v>
      </c>
      <c r="K117" s="36">
        <f>+L$105</f>
        <v>251.63872363439697</v>
      </c>
      <c r="L117" s="23">
        <f>+L$106</f>
        <v>270.51162790697674</v>
      </c>
      <c r="M117" s="42">
        <f>+L$107</f>
        <v>290.8</v>
      </c>
      <c r="N117" s="36">
        <f>+L$108</f>
        <v>312.61</v>
      </c>
      <c r="O117" s="36">
        <f>+L$109</f>
        <v>336.05574999999999</v>
      </c>
      <c r="P117" s="36">
        <f>+L$110</f>
        <v>361.25993124999997</v>
      </c>
      <c r="Q117" s="36">
        <f>+L$111</f>
        <v>388.35442609374996</v>
      </c>
      <c r="R117" s="52">
        <f>+L$112</f>
        <v>417.48100805078121</v>
      </c>
    </row>
    <row r="118" spans="9:18" ht="15.95" customHeight="1" x14ac:dyDescent="0.2">
      <c r="I118" s="27">
        <v>40</v>
      </c>
      <c r="J118" s="36">
        <f>+M$104</f>
        <v>1006.5548945375879</v>
      </c>
      <c r="K118" s="36">
        <f>+M$105</f>
        <v>1082.046511627907</v>
      </c>
      <c r="L118" s="23">
        <f>+M$106</f>
        <v>1163.2</v>
      </c>
      <c r="M118" s="42">
        <f>+M$107</f>
        <v>1250.44</v>
      </c>
      <c r="N118" s="36">
        <f>+M$108</f>
        <v>1344.223</v>
      </c>
      <c r="O118" s="36">
        <f>+M$109</f>
        <v>1445.0397249999999</v>
      </c>
      <c r="P118" s="36">
        <f>+M$110</f>
        <v>1553.4177043749999</v>
      </c>
      <c r="Q118" s="36">
        <f>+M$111</f>
        <v>1669.9240322031249</v>
      </c>
      <c r="R118" s="52">
        <f>+M$112</f>
        <v>1795.168334618359</v>
      </c>
    </row>
    <row r="119" spans="9:18" ht="15.95" customHeight="1" x14ac:dyDescent="0.2">
      <c r="I119" s="27">
        <v>40.1</v>
      </c>
      <c r="J119" s="37">
        <f t="shared" ref="J119:R119" si="14">+J118/J117</f>
        <v>4.3</v>
      </c>
      <c r="K119" s="37">
        <f t="shared" si="14"/>
        <v>4.3</v>
      </c>
      <c r="L119" s="37">
        <f t="shared" si="14"/>
        <v>4.3</v>
      </c>
      <c r="M119" s="37">
        <f t="shared" si="14"/>
        <v>4.3</v>
      </c>
      <c r="N119" s="37">
        <f t="shared" si="14"/>
        <v>4.3</v>
      </c>
      <c r="O119" s="37">
        <f t="shared" si="14"/>
        <v>4.3</v>
      </c>
      <c r="P119" s="37">
        <f t="shared" si="14"/>
        <v>4.3</v>
      </c>
      <c r="Q119" s="37">
        <f t="shared" si="14"/>
        <v>4.3</v>
      </c>
      <c r="R119" s="53">
        <f t="shared" si="14"/>
        <v>4.3</v>
      </c>
    </row>
    <row r="120" spans="9:18" ht="15.95" customHeight="1" thickBot="1" x14ac:dyDescent="0.25">
      <c r="I120" s="38"/>
      <c r="J120" s="39"/>
      <c r="K120" s="44">
        <f t="shared" ref="K120:R120" si="15">+K115/J115</f>
        <v>1.0750122325688509</v>
      </c>
      <c r="L120" s="44">
        <f t="shared" si="15"/>
        <v>1.0750113790043316</v>
      </c>
      <c r="M120" s="44">
        <f t="shared" si="15"/>
        <v>1.075010585008265</v>
      </c>
      <c r="N120" s="44">
        <f t="shared" si="15"/>
        <v>1.0750098464223634</v>
      </c>
      <c r="O120" s="44">
        <f t="shared" si="15"/>
        <v>1.0750091593787685</v>
      </c>
      <c r="P120" s="44">
        <f t="shared" si="15"/>
        <v>1.075008520279747</v>
      </c>
      <c r="Q120" s="44">
        <f t="shared" si="15"/>
        <v>1.0750079257788068</v>
      </c>
      <c r="R120" s="54">
        <f t="shared" si="15"/>
        <v>1.0750073727631366</v>
      </c>
    </row>
    <row r="121" spans="9:18" ht="15.95" customHeight="1" x14ac:dyDescent="0.2"/>
    <row r="122" spans="9:18" ht="15.95" customHeight="1" x14ac:dyDescent="0.2"/>
    <row r="123" spans="9:18" ht="15.95" customHeight="1" thickBot="1" x14ac:dyDescent="0.25"/>
    <row r="124" spans="9:18" ht="15.95" customHeight="1" x14ac:dyDescent="0.2">
      <c r="I124" s="24"/>
      <c r="J124" s="55">
        <f>INDEX(LINEST(J$127:J$128,($L$127:$L$128)^{1}),1)</f>
        <v>0.31594657982981522</v>
      </c>
      <c r="K124" s="55">
        <f>INDEX(LINEST(K$127:K$128,($L$127:$L$128)^{1}),1)</f>
        <v>0.5621135469364813</v>
      </c>
      <c r="L124" s="25"/>
      <c r="M124" s="55">
        <f>INDEX(LINEST(M$127:M$128,($L$127:$L$128)^{1}),1)</f>
        <v>4.1000000000000005</v>
      </c>
      <c r="N124" s="25"/>
      <c r="O124" s="25"/>
      <c r="P124" s="25"/>
      <c r="Q124" s="25"/>
      <c r="R124" s="26"/>
    </row>
    <row r="125" spans="9:18" ht="15.95" customHeight="1" x14ac:dyDescent="0.2">
      <c r="I125" s="27"/>
      <c r="J125" s="57">
        <f>INDEX(LINEST(J$127:J$128,($L$127:$L$128)^{1}),2)</f>
        <v>6.3964644996445941E-3</v>
      </c>
      <c r="K125" s="57">
        <f>INDEX(LINEST(K$127:K$128,($L$127:$L$128)^{1}),2)</f>
        <v>-2.8421709430404007E-14</v>
      </c>
      <c r="L125" s="29"/>
      <c r="M125" s="57">
        <f>INDEX(LINEST(M$127:M$128,($L$127:$L$128)^{1}),2)</f>
        <v>-2.2737367544323206E-13</v>
      </c>
      <c r="N125" s="29"/>
      <c r="O125" s="29"/>
      <c r="P125" s="29"/>
      <c r="Q125" s="29"/>
      <c r="R125" s="30"/>
    </row>
    <row r="126" spans="9:18" ht="15.95" customHeight="1" x14ac:dyDescent="0.2">
      <c r="I126" s="27"/>
      <c r="J126" s="29"/>
      <c r="K126" s="31" t="s">
        <v>58</v>
      </c>
      <c r="L126" s="29" t="s">
        <v>56</v>
      </c>
      <c r="M126" s="31" t="s">
        <v>57</v>
      </c>
      <c r="N126" s="28">
        <f>4.1/4.3</f>
        <v>0.95348837209302317</v>
      </c>
      <c r="O126" s="50">
        <f>1.866*0.9534</f>
        <v>1.7790444000000001</v>
      </c>
      <c r="P126" s="29"/>
      <c r="Q126" s="29"/>
      <c r="R126" s="30"/>
    </row>
    <row r="127" spans="9:18" ht="15.95" customHeight="1" x14ac:dyDescent="0.2">
      <c r="I127" s="27"/>
      <c r="J127" s="46">
        <f>135.47/1.779</f>
        <v>76.149522203485105</v>
      </c>
      <c r="K127" s="46">
        <f>241/1.779</f>
        <v>135.46936481169197</v>
      </c>
      <c r="L127" s="29">
        <v>241</v>
      </c>
      <c r="M127" s="46">
        <f>241*4.1</f>
        <v>988.09999999999991</v>
      </c>
      <c r="N127" s="45">
        <f>+M127/L127</f>
        <v>4.0999999999999996</v>
      </c>
      <c r="O127" s="45">
        <f>+L127/K127</f>
        <v>1.7789999999999999</v>
      </c>
      <c r="P127" s="45">
        <f>+K127/J127</f>
        <v>1.7789916586698162</v>
      </c>
      <c r="Q127" s="29"/>
      <c r="R127" s="30"/>
    </row>
    <row r="128" spans="9:18" ht="15.95" customHeight="1" x14ac:dyDescent="0.2">
      <c r="I128" s="27"/>
      <c r="J128" s="46">
        <f>184.37/1.779</f>
        <v>103.63687464867904</v>
      </c>
      <c r="K128" s="46">
        <f>328/1.779</f>
        <v>184.37324339516584</v>
      </c>
      <c r="L128" s="29">
        <v>328</v>
      </c>
      <c r="M128" s="46">
        <f>328*4.1</f>
        <v>1344.8</v>
      </c>
      <c r="N128" s="45">
        <f>+M128/L128</f>
        <v>4.0999999999999996</v>
      </c>
      <c r="O128" s="45">
        <f>+L128/K128</f>
        <v>1.7789999999999999</v>
      </c>
      <c r="P128" s="45">
        <f>+K128/J128</f>
        <v>1.7790312957639529</v>
      </c>
      <c r="Q128" s="29"/>
      <c r="R128" s="30"/>
    </row>
    <row r="129" spans="9:18" ht="15.95" customHeight="1" x14ac:dyDescent="0.2">
      <c r="I129" s="27"/>
      <c r="J129" s="17">
        <f>(J$124*$L129)+J$125</f>
        <v>96.30691399662733</v>
      </c>
      <c r="K129" s="17">
        <f>(K$124*$L129)+K$125</f>
        <v>171.33220910623947</v>
      </c>
      <c r="L129" s="32">
        <v>304.8</v>
      </c>
      <c r="M129" s="17">
        <f>(M$124*$L129)+M$125</f>
        <v>1249.68</v>
      </c>
      <c r="N129" s="29"/>
      <c r="O129" s="29"/>
      <c r="P129" s="29"/>
      <c r="Q129" s="29"/>
      <c r="R129" s="30"/>
    </row>
    <row r="130" spans="9:18" ht="15.95" customHeight="1" x14ac:dyDescent="0.2">
      <c r="I130" s="27"/>
      <c r="J130" s="29"/>
      <c r="K130" s="29"/>
      <c r="L130" s="29"/>
      <c r="M130" s="29"/>
      <c r="N130" s="33"/>
      <c r="O130" s="29"/>
      <c r="P130" s="29"/>
      <c r="Q130" s="29"/>
      <c r="R130" s="30"/>
    </row>
    <row r="131" spans="9:18" ht="15.95" customHeight="1" x14ac:dyDescent="0.2">
      <c r="I131" s="27"/>
      <c r="J131" s="17">
        <f>(J$124*$L131)+J$125</f>
        <v>77.524515901230671</v>
      </c>
      <c r="K131" s="17">
        <f>(K$124*$L131)+K$125</f>
        <v>137.91567261749694</v>
      </c>
      <c r="L131" s="43">
        <f>+L132/$N$56</f>
        <v>245.35198158652705</v>
      </c>
      <c r="M131" s="17">
        <f>(M$124*$L131)+M$125</f>
        <v>1005.9431245047608</v>
      </c>
      <c r="N131" s="29"/>
      <c r="O131" s="29"/>
      <c r="P131" s="29"/>
      <c r="Q131" s="29"/>
      <c r="R131" s="30"/>
    </row>
    <row r="132" spans="9:18" ht="15.95" customHeight="1" x14ac:dyDescent="0.2">
      <c r="I132" s="27"/>
      <c r="J132" s="17">
        <f t="shared" ref="J132:K139" si="16">(J$124*$L132)+J$125</f>
        <v>83.338374858985489</v>
      </c>
      <c r="K132" s="17">
        <f t="shared" si="16"/>
        <v>148.2593480638092</v>
      </c>
      <c r="L132" s="43">
        <f>+L133/$N$56</f>
        <v>263.75338020551658</v>
      </c>
      <c r="M132" s="17">
        <f t="shared" ref="M132:M139" si="17">(M$124*$L132)+M$125</f>
        <v>1081.388858842618</v>
      </c>
      <c r="N132" s="29"/>
      <c r="O132" s="29"/>
      <c r="P132" s="29"/>
      <c r="Q132" s="29"/>
      <c r="R132" s="30"/>
    </row>
    <row r="133" spans="9:18" ht="15.95" customHeight="1" x14ac:dyDescent="0.2">
      <c r="I133" s="27"/>
      <c r="J133" s="17">
        <f t="shared" si="16"/>
        <v>89.588273238571915</v>
      </c>
      <c r="K133" s="17">
        <f t="shared" si="16"/>
        <v>159.3787991685949</v>
      </c>
      <c r="L133" s="43">
        <f>+L134/$N$56</f>
        <v>283.53488372093028</v>
      </c>
      <c r="M133" s="17">
        <f t="shared" si="17"/>
        <v>1162.493023255814</v>
      </c>
      <c r="N133" s="29"/>
      <c r="O133" s="29"/>
      <c r="P133" s="29"/>
      <c r="Q133" s="29"/>
      <c r="R133" s="30"/>
    </row>
    <row r="134" spans="9:18" ht="15.95" customHeight="1" x14ac:dyDescent="0.2">
      <c r="I134" s="27"/>
      <c r="J134" s="40">
        <f t="shared" si="16"/>
        <v>96.30691399662733</v>
      </c>
      <c r="K134" s="40">
        <f t="shared" si="16"/>
        <v>171.33220910623947</v>
      </c>
      <c r="L134" s="41">
        <v>304.8</v>
      </c>
      <c r="M134" s="40">
        <f t="shared" si="17"/>
        <v>1249.68</v>
      </c>
      <c r="N134" s="29"/>
      <c r="O134" s="29"/>
      <c r="P134" s="29"/>
      <c r="Q134" s="29"/>
      <c r="R134" s="30"/>
    </row>
    <row r="135" spans="9:18" ht="15.95" customHeight="1" x14ac:dyDescent="0.2">
      <c r="I135" s="27"/>
      <c r="J135" s="17">
        <f t="shared" si="16"/>
        <v>103.52945281153691</v>
      </c>
      <c r="K135" s="17">
        <f t="shared" si="16"/>
        <v>184.18212478920745</v>
      </c>
      <c r="L135" s="43">
        <f>+L134*$N$56</f>
        <v>327.66000000000003</v>
      </c>
      <c r="M135" s="17">
        <f t="shared" si="17"/>
        <v>1343.4059999999999</v>
      </c>
      <c r="N135" s="29"/>
      <c r="O135" s="29"/>
      <c r="P135" s="29"/>
      <c r="Q135" s="29"/>
      <c r="R135" s="30"/>
    </row>
    <row r="136" spans="9:18" ht="15.95" customHeight="1" x14ac:dyDescent="0.2">
      <c r="I136" s="27"/>
      <c r="J136" s="17">
        <f t="shared" si="16"/>
        <v>111.29368203756471</v>
      </c>
      <c r="K136" s="17">
        <f t="shared" si="16"/>
        <v>197.995784148398</v>
      </c>
      <c r="L136" s="43">
        <f>+L135*$N$56</f>
        <v>352.23450000000003</v>
      </c>
      <c r="M136" s="17">
        <f t="shared" si="17"/>
        <v>1444.1614500000001</v>
      </c>
      <c r="N136" s="29"/>
      <c r="O136" s="29"/>
      <c r="P136" s="29"/>
      <c r="Q136" s="29"/>
      <c r="R136" s="30"/>
    </row>
    <row r="137" spans="9:18" ht="15.95" customHeight="1" x14ac:dyDescent="0.2">
      <c r="I137" s="27"/>
      <c r="J137" s="17">
        <f t="shared" si="16"/>
        <v>119.64022845554457</v>
      </c>
      <c r="K137" s="17">
        <f t="shared" si="16"/>
        <v>212.84546795952784</v>
      </c>
      <c r="L137" s="43">
        <f>+L136*$N$56</f>
        <v>378.65208749999999</v>
      </c>
      <c r="M137" s="17">
        <f t="shared" si="17"/>
        <v>1552.4735587499999</v>
      </c>
      <c r="N137" s="29"/>
      <c r="O137" s="29"/>
      <c r="P137" s="29"/>
      <c r="Q137" s="29"/>
      <c r="R137" s="30"/>
    </row>
    <row r="138" spans="9:18" ht="15.95" customHeight="1" x14ac:dyDescent="0.2">
      <c r="I138" s="27"/>
      <c r="J138" s="17">
        <f>(J$124*$L138)+J$125</f>
        <v>128.61276585487292</v>
      </c>
      <c r="K138" s="17">
        <f t="shared" si="16"/>
        <v>228.80887805649243</v>
      </c>
      <c r="L138" s="43">
        <f>+L137*$N$56</f>
        <v>407.05099406249997</v>
      </c>
      <c r="M138" s="17">
        <f t="shared" si="17"/>
        <v>1668.9090756562498</v>
      </c>
      <c r="N138" s="29"/>
      <c r="O138" s="29"/>
      <c r="P138" s="29"/>
      <c r="Q138" s="29"/>
      <c r="R138" s="30"/>
    </row>
    <row r="139" spans="9:18" ht="15.95" customHeight="1" x14ac:dyDescent="0.2">
      <c r="I139" s="27"/>
      <c r="J139" s="17">
        <f>(J$124*$L139)+J$125</f>
        <v>138.25824355915091</v>
      </c>
      <c r="K139" s="17">
        <f t="shared" si="16"/>
        <v>245.96954391072936</v>
      </c>
      <c r="L139" s="43">
        <f>+L138*$N$56</f>
        <v>437.57981861718747</v>
      </c>
      <c r="M139" s="17">
        <f t="shared" si="17"/>
        <v>1794.0772563304686</v>
      </c>
      <c r="N139" s="29"/>
      <c r="O139" s="29"/>
      <c r="P139" s="29"/>
      <c r="Q139" s="29"/>
      <c r="R139" s="30"/>
    </row>
    <row r="140" spans="9:18" ht="15.95" customHeight="1" x14ac:dyDescent="0.2">
      <c r="I140" s="27"/>
      <c r="J140" s="29"/>
      <c r="K140" s="29"/>
      <c r="L140" s="29"/>
      <c r="M140" s="29"/>
      <c r="N140" s="29"/>
      <c r="O140" s="29"/>
      <c r="P140" s="29"/>
      <c r="Q140" s="29"/>
      <c r="R140" s="30"/>
    </row>
    <row r="141" spans="9:18" ht="15.95" customHeight="1" x14ac:dyDescent="0.2">
      <c r="I141" s="34" t="s">
        <v>64</v>
      </c>
      <c r="J141" s="29">
        <v>-3</v>
      </c>
      <c r="K141" s="29">
        <v>-2</v>
      </c>
      <c r="L141" s="18">
        <v>-1</v>
      </c>
      <c r="M141" s="29" t="s">
        <v>59</v>
      </c>
      <c r="N141" s="35" t="s">
        <v>60</v>
      </c>
      <c r="O141" s="35" t="s">
        <v>61</v>
      </c>
      <c r="P141" s="35" t="s">
        <v>62</v>
      </c>
      <c r="Q141" s="35" t="s">
        <v>63</v>
      </c>
      <c r="R141" s="51" t="s">
        <v>65</v>
      </c>
    </row>
    <row r="142" spans="9:18" ht="15.95" customHeight="1" x14ac:dyDescent="0.2">
      <c r="I142" s="27">
        <v>2</v>
      </c>
      <c r="J142" s="36">
        <f>+J$131</f>
        <v>77.524515901230671</v>
      </c>
      <c r="K142" s="36">
        <f>+J$132</f>
        <v>83.338374858985489</v>
      </c>
      <c r="L142" s="23">
        <f>+J$133</f>
        <v>89.588273238571915</v>
      </c>
      <c r="M142" s="42">
        <f>+J$134</f>
        <v>96.30691399662733</v>
      </c>
      <c r="N142" s="36">
        <f>+J$135</f>
        <v>103.52945281153691</v>
      </c>
      <c r="O142" s="36">
        <f>+J$136</f>
        <v>111.29368203756471</v>
      </c>
      <c r="P142" s="36">
        <f>+J$137</f>
        <v>119.64022845554457</v>
      </c>
      <c r="Q142" s="36">
        <f>+J$138</f>
        <v>128.61276585487292</v>
      </c>
      <c r="R142" s="52">
        <f>+J$139</f>
        <v>138.25824355915091</v>
      </c>
    </row>
    <row r="143" spans="9:18" ht="15.95" customHeight="1" x14ac:dyDescent="0.2">
      <c r="I143" s="27">
        <v>5</v>
      </c>
      <c r="J143" s="36">
        <f>+K$131</f>
        <v>137.91567261749694</v>
      </c>
      <c r="K143" s="36">
        <f>+K$132</f>
        <v>148.2593480638092</v>
      </c>
      <c r="L143" s="23">
        <f>+K$133</f>
        <v>159.3787991685949</v>
      </c>
      <c r="M143" s="42">
        <f>+K$134</f>
        <v>171.33220910623947</v>
      </c>
      <c r="N143" s="36">
        <f>+K$135</f>
        <v>184.18212478920745</v>
      </c>
      <c r="O143" s="36">
        <f>+K$136</f>
        <v>197.995784148398</v>
      </c>
      <c r="P143" s="36">
        <f>+K$137</f>
        <v>212.84546795952784</v>
      </c>
      <c r="Q143" s="36">
        <f>+K$138</f>
        <v>228.80887805649243</v>
      </c>
      <c r="R143" s="52">
        <f>+K$139</f>
        <v>245.96954391072936</v>
      </c>
    </row>
    <row r="144" spans="9:18" ht="15.95" customHeight="1" x14ac:dyDescent="0.2">
      <c r="I144" s="27">
        <v>10</v>
      </c>
      <c r="J144" s="36">
        <f>+L$131</f>
        <v>245.35198158652705</v>
      </c>
      <c r="K144" s="36">
        <f>+L$132</f>
        <v>263.75338020551658</v>
      </c>
      <c r="L144" s="23">
        <f>+L$133</f>
        <v>283.53488372093028</v>
      </c>
      <c r="M144" s="42">
        <f>+L$134</f>
        <v>304.8</v>
      </c>
      <c r="N144" s="36">
        <f>+L$135</f>
        <v>327.66000000000003</v>
      </c>
      <c r="O144" s="36">
        <f>+L$136</f>
        <v>352.23450000000003</v>
      </c>
      <c r="P144" s="36">
        <f>+L$137</f>
        <v>378.65208749999999</v>
      </c>
      <c r="Q144" s="36">
        <f>+L$138</f>
        <v>407.05099406249997</v>
      </c>
      <c r="R144" s="52">
        <f>+L$139</f>
        <v>437.57981861718747</v>
      </c>
    </row>
    <row r="145" spans="1:18" ht="15.95" customHeight="1" x14ac:dyDescent="0.2">
      <c r="I145" s="27">
        <v>40</v>
      </c>
      <c r="J145" s="36">
        <f>+M$131</f>
        <v>1005.9431245047608</v>
      </c>
      <c r="K145" s="36">
        <f>+M$132</f>
        <v>1081.388858842618</v>
      </c>
      <c r="L145" s="23">
        <f>+M$133</f>
        <v>1162.493023255814</v>
      </c>
      <c r="M145" s="42">
        <f>+M$134</f>
        <v>1249.68</v>
      </c>
      <c r="N145" s="36">
        <f>+M$135</f>
        <v>1343.4059999999999</v>
      </c>
      <c r="O145" s="36">
        <f>+M$136</f>
        <v>1444.1614500000001</v>
      </c>
      <c r="P145" s="36">
        <f>+M$137</f>
        <v>1552.4735587499999</v>
      </c>
      <c r="Q145" s="36">
        <f>+M$138</f>
        <v>1668.9090756562498</v>
      </c>
      <c r="R145" s="52">
        <f>+M$139</f>
        <v>1794.0772563304686</v>
      </c>
    </row>
    <row r="146" spans="1:18" ht="15.95" customHeight="1" x14ac:dyDescent="0.2">
      <c r="I146" s="27">
        <v>40.1</v>
      </c>
      <c r="J146" s="37">
        <f t="shared" ref="J146:R146" si="18">+J145/J144</f>
        <v>4.0999999999999996</v>
      </c>
      <c r="K146" s="37">
        <f t="shared" si="18"/>
        <v>4.0999999999999996</v>
      </c>
      <c r="L146" s="37">
        <f t="shared" si="18"/>
        <v>4.0999999999999996</v>
      </c>
      <c r="M146" s="37">
        <f t="shared" si="18"/>
        <v>4.0999999999999996</v>
      </c>
      <c r="N146" s="37">
        <f t="shared" si="18"/>
        <v>4.0999999999999996</v>
      </c>
      <c r="O146" s="37">
        <f t="shared" si="18"/>
        <v>4.0999999999999996</v>
      </c>
      <c r="P146" s="37">
        <f t="shared" si="18"/>
        <v>4.0999999999999996</v>
      </c>
      <c r="Q146" s="37">
        <f t="shared" si="18"/>
        <v>4.0999999999999996</v>
      </c>
      <c r="R146" s="53">
        <f t="shared" si="18"/>
        <v>4.0999999999999996</v>
      </c>
    </row>
    <row r="147" spans="1:18" ht="15.95" customHeight="1" thickBot="1" x14ac:dyDescent="0.25">
      <c r="I147" s="38"/>
      <c r="J147" s="39"/>
      <c r="K147" s="44">
        <f t="shared" ref="K147:R147" si="19">+K142/J142</f>
        <v>1.0749938118305944</v>
      </c>
      <c r="L147" s="44">
        <f t="shared" si="19"/>
        <v>1.0749942435302069</v>
      </c>
      <c r="M147" s="44">
        <f t="shared" si="19"/>
        <v>1.074994645115704</v>
      </c>
      <c r="N147" s="44">
        <f t="shared" si="19"/>
        <v>1.0749950186874695</v>
      </c>
      <c r="O147" s="44">
        <f t="shared" si="19"/>
        <v>1.0749953661994298</v>
      </c>
      <c r="P147" s="44">
        <f t="shared" si="19"/>
        <v>1.0749956894692609</v>
      </c>
      <c r="Q147" s="44">
        <f t="shared" si="19"/>
        <v>1.0749959901878849</v>
      </c>
      <c r="R147" s="54">
        <f t="shared" si="19"/>
        <v>1.0749962699283053</v>
      </c>
    </row>
    <row r="148" spans="1:18" ht="15.95" customHeight="1" x14ac:dyDescent="0.2"/>
    <row r="149" spans="1:18" ht="15.95" customHeight="1" x14ac:dyDescent="0.2"/>
    <row r="150" spans="1:18" ht="15.95" customHeight="1" x14ac:dyDescent="0.2"/>
    <row r="151" spans="1:18" ht="15.95" customHeight="1" x14ac:dyDescent="0.2">
      <c r="A151" s="88" t="s">
        <v>66</v>
      </c>
    </row>
    <row r="152" spans="1:18" ht="15.95" customHeight="1" thickBot="1" x14ac:dyDescent="0.25"/>
    <row r="153" spans="1:18" ht="15.95" customHeight="1" thickTop="1" x14ac:dyDescent="0.2">
      <c r="A153" s="106" t="s">
        <v>81</v>
      </c>
      <c r="E153" s="65" t="s">
        <v>67</v>
      </c>
      <c r="F153" s="66"/>
      <c r="I153" s="76" t="s">
        <v>64</v>
      </c>
      <c r="J153" s="84" t="s">
        <v>73</v>
      </c>
      <c r="K153" s="84" t="s">
        <v>72</v>
      </c>
      <c r="L153" s="85" t="s">
        <v>71</v>
      </c>
      <c r="M153" s="84" t="s">
        <v>70</v>
      </c>
      <c r="N153" s="86" t="s">
        <v>74</v>
      </c>
      <c r="O153" s="86" t="s">
        <v>75</v>
      </c>
      <c r="P153" s="86" t="s">
        <v>76</v>
      </c>
      <c r="Q153" s="86" t="s">
        <v>77</v>
      </c>
      <c r="R153" s="87" t="s">
        <v>78</v>
      </c>
    </row>
    <row r="154" spans="1:18" ht="15.95" customHeight="1" x14ac:dyDescent="0.2">
      <c r="A154" s="107" t="s">
        <v>85</v>
      </c>
      <c r="E154" s="67">
        <v>3.3</v>
      </c>
      <c r="F154" s="68"/>
      <c r="I154" s="77">
        <v>2</v>
      </c>
      <c r="J154" s="36">
        <v>77.524515901230671</v>
      </c>
      <c r="K154" s="36">
        <v>83.338374858985489</v>
      </c>
      <c r="L154" s="23">
        <v>89.588273238571915</v>
      </c>
      <c r="M154" s="42">
        <v>96.30691399662733</v>
      </c>
      <c r="N154" s="36">
        <v>103.52945281153691</v>
      </c>
      <c r="O154" s="36">
        <v>111.29368203756471</v>
      </c>
      <c r="P154" s="36">
        <v>119.64022845554457</v>
      </c>
      <c r="Q154" s="36">
        <v>128.61276585487292</v>
      </c>
      <c r="R154" s="78">
        <v>138.25824355915091</v>
      </c>
    </row>
    <row r="155" spans="1:18" ht="15.95" customHeight="1" x14ac:dyDescent="0.2">
      <c r="E155" s="67">
        <v>3.5</v>
      </c>
      <c r="F155" s="69">
        <f>E155/E154</f>
        <v>1.0606060606060606</v>
      </c>
      <c r="I155" s="77">
        <v>5</v>
      </c>
      <c r="J155" s="36">
        <v>137.91567261749694</v>
      </c>
      <c r="K155" s="36">
        <v>148.2593480638092</v>
      </c>
      <c r="L155" s="23">
        <v>159.3787991685949</v>
      </c>
      <c r="M155" s="42">
        <v>171.33220910623947</v>
      </c>
      <c r="N155" s="36">
        <v>184.18212478920745</v>
      </c>
      <c r="O155" s="36">
        <v>197.995784148398</v>
      </c>
      <c r="P155" s="36">
        <v>212.84546795952784</v>
      </c>
      <c r="Q155" s="36">
        <v>228.80887805649243</v>
      </c>
      <c r="R155" s="78">
        <v>245.96954391072936</v>
      </c>
    </row>
    <row r="156" spans="1:18" ht="15.95" customHeight="1" x14ac:dyDescent="0.2">
      <c r="E156" s="67">
        <v>3.7</v>
      </c>
      <c r="F156" s="69">
        <f>E156/E155</f>
        <v>1.0571428571428572</v>
      </c>
      <c r="I156" s="77">
        <v>10</v>
      </c>
      <c r="J156" s="36">
        <v>245.35198158652705</v>
      </c>
      <c r="K156" s="36">
        <v>263.75338020551658</v>
      </c>
      <c r="L156" s="23">
        <v>283.53488372093028</v>
      </c>
      <c r="M156" s="42">
        <v>304.8</v>
      </c>
      <c r="N156" s="36">
        <v>327.66000000000003</v>
      </c>
      <c r="O156" s="36">
        <v>352.23450000000003</v>
      </c>
      <c r="P156" s="36">
        <v>378.65208749999999</v>
      </c>
      <c r="Q156" s="36">
        <v>407.05099406249997</v>
      </c>
      <c r="R156" s="78">
        <v>437.57981861718747</v>
      </c>
    </row>
    <row r="157" spans="1:18" ht="15.95" customHeight="1" x14ac:dyDescent="0.2">
      <c r="E157" s="70"/>
      <c r="F157" s="71"/>
      <c r="I157" s="77">
        <v>40</v>
      </c>
      <c r="J157" s="36">
        <v>1005.9431245047608</v>
      </c>
      <c r="K157" s="36">
        <v>1081.388858842618</v>
      </c>
      <c r="L157" s="23">
        <v>1162.493023255814</v>
      </c>
      <c r="M157" s="42">
        <v>1249.68</v>
      </c>
      <c r="N157" s="36">
        <v>1343.4059999999999</v>
      </c>
      <c r="O157" s="36">
        <v>1444.1614500000001</v>
      </c>
      <c r="P157" s="36">
        <v>1552.4735587499999</v>
      </c>
      <c r="Q157" s="36">
        <v>1668.9090756562498</v>
      </c>
      <c r="R157" s="78">
        <v>1794.0772563304686</v>
      </c>
    </row>
    <row r="158" spans="1:18" ht="15.95" customHeight="1" x14ac:dyDescent="0.2">
      <c r="E158" s="72"/>
      <c r="F158" s="75">
        <f>E156/E154</f>
        <v>1.1212121212121213</v>
      </c>
      <c r="I158" s="77">
        <v>40.1</v>
      </c>
      <c r="J158" s="37">
        <v>4.0999999999999996</v>
      </c>
      <c r="K158" s="37">
        <v>4.0999999999999996</v>
      </c>
      <c r="L158" s="37">
        <v>4.0999999999999996</v>
      </c>
      <c r="M158" s="37">
        <v>4.0999999999999996</v>
      </c>
      <c r="N158" s="37">
        <v>4.0999999999999996</v>
      </c>
      <c r="O158" s="37">
        <v>4.0999999999999996</v>
      </c>
      <c r="P158" s="37">
        <v>4.0999999999999996</v>
      </c>
      <c r="Q158" s="37">
        <v>4.0999999999999996</v>
      </c>
      <c r="R158" s="79">
        <v>4.0999999999999996</v>
      </c>
    </row>
    <row r="159" spans="1:18" ht="15.95" customHeight="1" thickBot="1" x14ac:dyDescent="0.25">
      <c r="I159" s="80"/>
      <c r="J159" s="81"/>
      <c r="K159" s="82">
        <v>1.0749938118305944</v>
      </c>
      <c r="L159" s="82">
        <v>1.0749942435302069</v>
      </c>
      <c r="M159" s="82">
        <v>1.074994645115704</v>
      </c>
      <c r="N159" s="82">
        <v>1.0749950186874695</v>
      </c>
      <c r="O159" s="82">
        <v>1.0749953661994298</v>
      </c>
      <c r="P159" s="82">
        <v>1.0749956894692609</v>
      </c>
      <c r="Q159" s="82">
        <v>1.0749959901878849</v>
      </c>
      <c r="R159" s="83">
        <v>1.0749962699283053</v>
      </c>
    </row>
    <row r="160" spans="1:18" ht="15.95" customHeight="1" thickTop="1" thickBot="1" x14ac:dyDescent="0.25"/>
    <row r="161" spans="1:18" ht="15.95" customHeight="1" x14ac:dyDescent="0.2">
      <c r="E161" s="74" t="s">
        <v>68</v>
      </c>
      <c r="F161" s="73"/>
      <c r="I161" s="60" t="s">
        <v>64</v>
      </c>
      <c r="J161" s="25">
        <v>-3</v>
      </c>
      <c r="K161" s="25">
        <v>-2</v>
      </c>
      <c r="L161" s="61">
        <v>-1</v>
      </c>
      <c r="M161" s="25" t="s">
        <v>59</v>
      </c>
      <c r="N161" s="62" t="s">
        <v>60</v>
      </c>
      <c r="O161" s="62" t="s">
        <v>61</v>
      </c>
      <c r="P161" s="62" t="s">
        <v>62</v>
      </c>
      <c r="Q161" s="62" t="s">
        <v>63</v>
      </c>
      <c r="R161" s="63" t="s">
        <v>65</v>
      </c>
    </row>
    <row r="162" spans="1:18" ht="15.95" customHeight="1" x14ac:dyDescent="0.2">
      <c r="E162" s="70">
        <v>4.0999999999999996</v>
      </c>
      <c r="F162" s="71"/>
      <c r="I162" s="27">
        <v>2</v>
      </c>
      <c r="J162" s="36">
        <v>67.225293161304492</v>
      </c>
      <c r="K162" s="36">
        <v>72.268012486429456</v>
      </c>
      <c r="L162" s="23">
        <v>77.68893576093879</v>
      </c>
      <c r="M162" s="42">
        <v>83.516428281036326</v>
      </c>
      <c r="N162" s="36">
        <v>89.780982740141184</v>
      </c>
      <c r="O162" s="36">
        <v>96.515378783678898</v>
      </c>
      <c r="P162" s="36">
        <v>103.75485453048194</v>
      </c>
      <c r="Q162" s="36">
        <v>111.53729095829522</v>
      </c>
      <c r="R162" s="52">
        <v>119.90341011819449</v>
      </c>
    </row>
    <row r="163" spans="1:18" ht="15.95" customHeight="1" x14ac:dyDescent="0.2">
      <c r="E163" s="70">
        <v>4.3</v>
      </c>
      <c r="F163" s="69">
        <f>E163/E162</f>
        <v>1.0487804878048781</v>
      </c>
      <c r="I163" s="27">
        <v>5</v>
      </c>
      <c r="J163" s="36">
        <v>125.44615949270766</v>
      </c>
      <c r="K163" s="36">
        <v>134.85462145466073</v>
      </c>
      <c r="L163" s="23">
        <v>144.96871806376029</v>
      </c>
      <c r="M163" s="42">
        <v>155.84137191854231</v>
      </c>
      <c r="N163" s="36">
        <v>167.52947481243299</v>
      </c>
      <c r="O163" s="36">
        <v>180.09418542336547</v>
      </c>
      <c r="P163" s="36">
        <v>193.60124933011787</v>
      </c>
      <c r="Q163" s="36">
        <v>208.12134302987673</v>
      </c>
      <c r="R163" s="52">
        <v>223.73044375711748</v>
      </c>
    </row>
    <row r="164" spans="1:18" ht="15.95" customHeight="1" x14ac:dyDescent="0.2">
      <c r="E164" s="70">
        <v>4.5</v>
      </c>
      <c r="F164" s="69">
        <f>E164/E163</f>
        <v>1.0465116279069768</v>
      </c>
      <c r="I164" s="27">
        <v>10</v>
      </c>
      <c r="J164" s="36">
        <v>234.08253361339254</v>
      </c>
      <c r="K164" s="36">
        <v>251.63872363439697</v>
      </c>
      <c r="L164" s="23">
        <v>270.51162790697674</v>
      </c>
      <c r="M164" s="42">
        <v>290.8</v>
      </c>
      <c r="N164" s="36">
        <v>312.61</v>
      </c>
      <c r="O164" s="36">
        <v>336.05574999999999</v>
      </c>
      <c r="P164" s="36">
        <v>361.25993124999997</v>
      </c>
      <c r="Q164" s="36">
        <v>388.35442609374996</v>
      </c>
      <c r="R164" s="52">
        <v>417.48100805078121</v>
      </c>
    </row>
    <row r="165" spans="1:18" ht="15.95" customHeight="1" x14ac:dyDescent="0.2">
      <c r="E165" s="70">
        <v>4.7</v>
      </c>
      <c r="F165" s="69">
        <f>E165/E164</f>
        <v>1.0444444444444445</v>
      </c>
      <c r="I165" s="27">
        <v>40</v>
      </c>
      <c r="J165" s="36">
        <v>1006.5548945375879</v>
      </c>
      <c r="K165" s="36">
        <v>1082.046511627907</v>
      </c>
      <c r="L165" s="23">
        <v>1163.2</v>
      </c>
      <c r="M165" s="42">
        <v>1250.44</v>
      </c>
      <c r="N165" s="36">
        <v>1344.223</v>
      </c>
      <c r="O165" s="36">
        <v>1445.0397249999999</v>
      </c>
      <c r="P165" s="36">
        <v>1553.4177043749999</v>
      </c>
      <c r="Q165" s="36">
        <v>1669.9240322031249</v>
      </c>
      <c r="R165" s="52">
        <v>1795.168334618359</v>
      </c>
    </row>
    <row r="166" spans="1:18" ht="15.95" customHeight="1" x14ac:dyDescent="0.2">
      <c r="E166" s="70"/>
      <c r="F166" s="71"/>
      <c r="I166" s="27">
        <v>40.1</v>
      </c>
      <c r="J166" s="37">
        <v>4.3</v>
      </c>
      <c r="K166" s="37">
        <v>4.3</v>
      </c>
      <c r="L166" s="37">
        <v>4.3</v>
      </c>
      <c r="M166" s="37">
        <v>4.3</v>
      </c>
      <c r="N166" s="37">
        <v>4.3</v>
      </c>
      <c r="O166" s="37">
        <v>4.3</v>
      </c>
      <c r="P166" s="37">
        <v>4.3</v>
      </c>
      <c r="Q166" s="37">
        <v>4.3</v>
      </c>
      <c r="R166" s="53">
        <v>4.3</v>
      </c>
    </row>
    <row r="167" spans="1:18" ht="15.95" customHeight="1" thickBot="1" x14ac:dyDescent="0.25">
      <c r="E167" s="72"/>
      <c r="F167" s="75">
        <f>E165/E162</f>
        <v>1.1463414634146343</v>
      </c>
      <c r="I167" s="38"/>
      <c r="J167" s="39"/>
      <c r="K167" s="44">
        <v>1.0750122325688509</v>
      </c>
      <c r="L167" s="44">
        <v>1.0750113790043316</v>
      </c>
      <c r="M167" s="44">
        <v>1.075010585008265</v>
      </c>
      <c r="N167" s="44">
        <v>1.0750098464223634</v>
      </c>
      <c r="O167" s="44">
        <v>1.0750091593787685</v>
      </c>
      <c r="P167" s="44">
        <v>1.075008520279747</v>
      </c>
      <c r="Q167" s="44">
        <v>1.0750079257788068</v>
      </c>
      <c r="R167" s="54">
        <v>1.0750073727631366</v>
      </c>
    </row>
    <row r="168" spans="1:18" ht="15.95" customHeight="1" thickBot="1" x14ac:dyDescent="0.25"/>
    <row r="169" spans="1:18" ht="15.95" customHeight="1" thickTop="1" x14ac:dyDescent="0.2">
      <c r="I169" s="76" t="s">
        <v>64</v>
      </c>
      <c r="J169" s="84" t="s">
        <v>73</v>
      </c>
      <c r="K169" s="84" t="s">
        <v>72</v>
      </c>
      <c r="L169" s="85" t="s">
        <v>71</v>
      </c>
      <c r="M169" s="84" t="s">
        <v>70</v>
      </c>
      <c r="N169" s="86" t="s">
        <v>74</v>
      </c>
      <c r="O169" s="86" t="s">
        <v>75</v>
      </c>
      <c r="P169" s="86" t="s">
        <v>76</v>
      </c>
      <c r="Q169" s="86" t="s">
        <v>77</v>
      </c>
      <c r="R169" s="87" t="s">
        <v>78</v>
      </c>
    </row>
    <row r="170" spans="1:18" x14ac:dyDescent="0.2">
      <c r="A170" s="88" t="s">
        <v>79</v>
      </c>
      <c r="E170" s="74" t="s">
        <v>69</v>
      </c>
      <c r="F170" s="73"/>
      <c r="I170" s="77">
        <v>2</v>
      </c>
      <c r="J170" s="36">
        <f>(J154+J186)/2</f>
        <v>64.488126579331436</v>
      </c>
      <c r="K170" s="36">
        <f t="shared" ref="K170:R170" si="20">(K154+K186)/2</f>
        <v>69.324294210771612</v>
      </c>
      <c r="L170" s="23">
        <f t="shared" si="20"/>
        <v>74.523174414569809</v>
      </c>
      <c r="M170" s="42">
        <f t="shared" si="20"/>
        <v>80.111970633652859</v>
      </c>
      <c r="N170" s="36">
        <f t="shared" si="20"/>
        <v>86.119926569167149</v>
      </c>
      <c r="O170" s="36">
        <f t="shared" si="20"/>
        <v>92.578479199845006</v>
      </c>
      <c r="P170" s="36">
        <f t="shared" si="20"/>
        <v>99.521423277823686</v>
      </c>
      <c r="Q170" s="36">
        <f t="shared" si="20"/>
        <v>106.98508816165079</v>
      </c>
      <c r="R170" s="78">
        <f t="shared" si="20"/>
        <v>115.00852791176492</v>
      </c>
    </row>
    <row r="171" spans="1:18" x14ac:dyDescent="0.2">
      <c r="A171" s="88" t="s">
        <v>80</v>
      </c>
      <c r="E171" s="70">
        <v>4.0999999999999996</v>
      </c>
      <c r="F171" s="71"/>
      <c r="I171" s="77">
        <v>5</v>
      </c>
      <c r="J171" s="36">
        <f t="shared" ref="J171:R173" si="21">(J155+J187)/2</f>
        <v>121.43810873265886</v>
      </c>
      <c r="K171" s="36">
        <f t="shared" si="21"/>
        <v>130.54596688760827</v>
      </c>
      <c r="L171" s="23">
        <f t="shared" si="21"/>
        <v>140.33691440417891</v>
      </c>
      <c r="M171" s="42">
        <f t="shared" si="21"/>
        <v>150.86218298449228</v>
      </c>
      <c r="N171" s="36">
        <f t="shared" si="21"/>
        <v>162.17684670832921</v>
      </c>
      <c r="O171" s="36">
        <f t="shared" si="21"/>
        <v>174.34011021145389</v>
      </c>
      <c r="P171" s="36">
        <f t="shared" si="21"/>
        <v>187.41561847731293</v>
      </c>
      <c r="Q171" s="36">
        <f t="shared" si="21"/>
        <v>201.47178986311138</v>
      </c>
      <c r="R171" s="78">
        <f t="shared" si="21"/>
        <v>216.58217410284476</v>
      </c>
    </row>
    <row r="172" spans="1:18" x14ac:dyDescent="0.2">
      <c r="E172" s="70">
        <v>4.4000000000000004</v>
      </c>
      <c r="F172" s="69">
        <f>E172/E171</f>
        <v>1.0731707317073174</v>
      </c>
      <c r="I172" s="77">
        <v>10</v>
      </c>
      <c r="J172" s="36">
        <f t="shared" si="21"/>
        <v>229.73574653804073</v>
      </c>
      <c r="K172" s="36">
        <f t="shared" si="21"/>
        <v>246.96592752839376</v>
      </c>
      <c r="L172" s="23">
        <f t="shared" si="21"/>
        <v>265.48837209302326</v>
      </c>
      <c r="M172" s="42">
        <f t="shared" si="21"/>
        <v>285.39999999999998</v>
      </c>
      <c r="N172" s="36">
        <f t="shared" si="21"/>
        <v>306.80500000000001</v>
      </c>
      <c r="O172" s="36">
        <f t="shared" si="21"/>
        <v>329.81537500000002</v>
      </c>
      <c r="P172" s="36">
        <f t="shared" si="21"/>
        <v>354.551528125</v>
      </c>
      <c r="Q172" s="36">
        <f t="shared" si="21"/>
        <v>381.14289273437498</v>
      </c>
      <c r="R172" s="78">
        <f t="shared" si="21"/>
        <v>409.72860968945304</v>
      </c>
    </row>
    <row r="173" spans="1:18" x14ac:dyDescent="0.2">
      <c r="A173" s="88" t="s">
        <v>81</v>
      </c>
      <c r="E173" s="70">
        <v>4.7</v>
      </c>
      <c r="F173" s="69">
        <f>E173/E172</f>
        <v>1.0681818181818181</v>
      </c>
      <c r="I173" s="77">
        <v>40</v>
      </c>
      <c r="J173" s="36">
        <f>(J157+J189)/2</f>
        <v>1006.2333113660637</v>
      </c>
      <c r="K173" s="36">
        <f t="shared" si="21"/>
        <v>1081.6762838564496</v>
      </c>
      <c r="L173" s="23">
        <f t="shared" si="21"/>
        <v>1162.7774792836142</v>
      </c>
      <c r="M173" s="42">
        <f t="shared" si="21"/>
        <v>1249.9612643678161</v>
      </c>
      <c r="N173" s="36">
        <f t="shared" si="21"/>
        <v>1343.6838333333335</v>
      </c>
      <c r="O173" s="36">
        <f t="shared" si="21"/>
        <v>1444.4355949712644</v>
      </c>
      <c r="P173" s="36">
        <f t="shared" si="21"/>
        <v>1552.7437387320401</v>
      </c>
      <c r="Q173" s="36">
        <f t="shared" si="21"/>
        <v>1669.1749932748742</v>
      </c>
      <c r="R173" s="78">
        <f t="shared" si="21"/>
        <v>1794.3385919084208</v>
      </c>
    </row>
    <row r="174" spans="1:18" x14ac:dyDescent="0.2">
      <c r="A174" s="58" t="s">
        <v>85</v>
      </c>
      <c r="E174" s="70"/>
      <c r="F174" s="69"/>
      <c r="I174" s="77">
        <v>40.1</v>
      </c>
      <c r="J174" s="37">
        <v>4.0999999999999996</v>
      </c>
      <c r="K174" s="37">
        <v>4.0999999999999996</v>
      </c>
      <c r="L174" s="37">
        <v>4.0999999999999996</v>
      </c>
      <c r="M174" s="37">
        <v>4.0999999999999996</v>
      </c>
      <c r="N174" s="37">
        <v>4.0999999999999996</v>
      </c>
      <c r="O174" s="37">
        <v>4.0999999999999996</v>
      </c>
      <c r="P174" s="37">
        <v>4.0999999999999996</v>
      </c>
      <c r="Q174" s="37">
        <v>4.0999999999999996</v>
      </c>
      <c r="R174" s="79">
        <v>4.0999999999999996</v>
      </c>
    </row>
    <row r="175" spans="1:18" ht="13.5" thickBot="1" x14ac:dyDescent="0.25">
      <c r="E175" s="70"/>
      <c r="F175" s="71"/>
      <c r="I175" s="80"/>
      <c r="J175" s="81"/>
      <c r="K175" s="82">
        <v>1.0749938118305944</v>
      </c>
      <c r="L175" s="82">
        <v>1.0749942435302069</v>
      </c>
      <c r="M175" s="82">
        <v>1.074994645115704</v>
      </c>
      <c r="N175" s="82">
        <v>1.0749950186874695</v>
      </c>
      <c r="O175" s="82">
        <v>1.0749953661994298</v>
      </c>
      <c r="P175" s="82">
        <v>1.0749956894692609</v>
      </c>
      <c r="Q175" s="82">
        <v>1.0749959901878849</v>
      </c>
      <c r="R175" s="83">
        <v>1.0749962699283053</v>
      </c>
    </row>
    <row r="176" spans="1:18" ht="14.25" thickTop="1" thickBot="1" x14ac:dyDescent="0.25">
      <c r="E176" s="72"/>
      <c r="F176" s="75">
        <f>E173/E171</f>
        <v>1.1463414634146343</v>
      </c>
    </row>
    <row r="177" spans="9:18" x14ac:dyDescent="0.2">
      <c r="I177" s="60" t="s">
        <v>64</v>
      </c>
      <c r="J177" s="25">
        <v>-3</v>
      </c>
      <c r="K177" s="25">
        <v>-2</v>
      </c>
      <c r="L177" s="61">
        <v>-1</v>
      </c>
      <c r="M177" s="25" t="s">
        <v>59</v>
      </c>
      <c r="N177" s="62" t="s">
        <v>60</v>
      </c>
      <c r="O177" s="62" t="s">
        <v>61</v>
      </c>
      <c r="P177" s="62" t="s">
        <v>62</v>
      </c>
      <c r="Q177" s="62" t="s">
        <v>63</v>
      </c>
      <c r="R177" s="63" t="s">
        <v>65</v>
      </c>
    </row>
    <row r="178" spans="9:18" x14ac:dyDescent="0.2">
      <c r="I178" s="27">
        <v>2</v>
      </c>
      <c r="J178" s="36">
        <v>58.627363494094851</v>
      </c>
      <c r="K178" s="36">
        <v>63.024746811822283</v>
      </c>
      <c r="L178" s="23">
        <v>67.751933878379276</v>
      </c>
      <c r="M178" s="42">
        <v>72.83365997492804</v>
      </c>
      <c r="N178" s="36">
        <v>78.296515528717961</v>
      </c>
      <c r="O178" s="36">
        <v>84.169085249042126</v>
      </c>
      <c r="P178" s="36">
        <v>90.482097698390589</v>
      </c>
      <c r="Q178" s="36">
        <v>97.268586081440205</v>
      </c>
      <c r="R178" s="52">
        <v>104.56406109321854</v>
      </c>
    </row>
    <row r="179" spans="9:18" x14ac:dyDescent="0.2">
      <c r="I179" s="27">
        <v>5</v>
      </c>
      <c r="J179" s="36">
        <v>114.49976764453032</v>
      </c>
      <c r="K179" s="36">
        <v>123.08725021787009</v>
      </c>
      <c r="L179" s="23">
        <v>132.31879398421034</v>
      </c>
      <c r="M179" s="42">
        <v>142.24270353302612</v>
      </c>
      <c r="N179" s="36">
        <v>152.91090629800306</v>
      </c>
      <c r="O179" s="36">
        <v>164.37922427035329</v>
      </c>
      <c r="P179" s="36">
        <v>176.70766609062977</v>
      </c>
      <c r="Q179" s="36">
        <v>189.96074104742701</v>
      </c>
      <c r="R179" s="52">
        <v>204.20779662598403</v>
      </c>
    </row>
    <row r="180" spans="9:18" x14ac:dyDescent="0.2">
      <c r="I180" s="27">
        <v>10</v>
      </c>
      <c r="J180" s="36">
        <v>223.61804620976773</v>
      </c>
      <c r="K180" s="36">
        <v>240.3893996755003</v>
      </c>
      <c r="L180" s="23">
        <v>258.41860465116281</v>
      </c>
      <c r="M180" s="42">
        <v>277.8</v>
      </c>
      <c r="N180" s="36">
        <v>298.63499999999999</v>
      </c>
      <c r="O180" s="36">
        <v>321.032625</v>
      </c>
      <c r="P180" s="36">
        <v>345.11007187499996</v>
      </c>
      <c r="Q180" s="36">
        <v>370.99332726562494</v>
      </c>
      <c r="R180" s="52">
        <v>398.81782681054682</v>
      </c>
    </row>
    <row r="181" spans="9:18" x14ac:dyDescent="0.2">
      <c r="I181" s="27">
        <v>40</v>
      </c>
      <c r="J181" s="36">
        <v>1006.2812079439548</v>
      </c>
      <c r="K181" s="36">
        <v>1081.7522985397513</v>
      </c>
      <c r="L181" s="23">
        <v>1162.8837209302326</v>
      </c>
      <c r="M181" s="42">
        <v>1250.1000000000001</v>
      </c>
      <c r="N181" s="36">
        <v>1343.8575000000001</v>
      </c>
      <c r="O181" s="36">
        <v>1444.6468124999999</v>
      </c>
      <c r="P181" s="36">
        <v>1552.9953234374998</v>
      </c>
      <c r="Q181" s="36">
        <v>1669.4699726953122</v>
      </c>
      <c r="R181" s="52">
        <v>1794.6802206474606</v>
      </c>
    </row>
    <row r="182" spans="9:18" x14ac:dyDescent="0.2">
      <c r="I182" s="27">
        <v>40.1</v>
      </c>
      <c r="J182" s="37">
        <v>4.5</v>
      </c>
      <c r="K182" s="37">
        <v>4.5</v>
      </c>
      <c r="L182" s="37">
        <v>4.5</v>
      </c>
      <c r="M182" s="37">
        <v>4.5</v>
      </c>
      <c r="N182" s="37">
        <v>4.5</v>
      </c>
      <c r="O182" s="37">
        <v>4.5</v>
      </c>
      <c r="P182" s="37">
        <v>4.5</v>
      </c>
      <c r="Q182" s="37">
        <v>4.5</v>
      </c>
      <c r="R182" s="53">
        <v>4.5</v>
      </c>
    </row>
    <row r="183" spans="9:18" ht="13.5" thickBot="1" x14ac:dyDescent="0.25">
      <c r="I183" s="38"/>
      <c r="J183" s="39"/>
      <c r="K183" s="44">
        <v>1.075005646777385</v>
      </c>
      <c r="L183" s="44">
        <v>1.0750052527885803</v>
      </c>
      <c r="M183" s="44">
        <v>1.0750048862910824</v>
      </c>
      <c r="N183" s="44">
        <v>1.0750045453663928</v>
      </c>
      <c r="O183" s="44">
        <v>1.0750042282299292</v>
      </c>
      <c r="P183" s="44">
        <v>1.075003933221673</v>
      </c>
      <c r="Q183" s="44">
        <v>1.0750036587974721</v>
      </c>
      <c r="R183" s="54">
        <v>1.0750034035209481</v>
      </c>
    </row>
    <row r="184" spans="9:18" ht="13.5" thickBot="1" x14ac:dyDescent="0.25"/>
    <row r="185" spans="9:18" ht="13.5" thickTop="1" x14ac:dyDescent="0.2">
      <c r="I185" s="76" t="s">
        <v>64</v>
      </c>
      <c r="J185" s="84" t="s">
        <v>73</v>
      </c>
      <c r="K185" s="84" t="s">
        <v>72</v>
      </c>
      <c r="L185" s="85" t="s">
        <v>71</v>
      </c>
      <c r="M185" s="84" t="s">
        <v>70</v>
      </c>
      <c r="N185" s="86" t="s">
        <v>74</v>
      </c>
      <c r="O185" s="86" t="s">
        <v>75</v>
      </c>
      <c r="P185" s="86" t="s">
        <v>76</v>
      </c>
      <c r="Q185" s="86" t="s">
        <v>77</v>
      </c>
      <c r="R185" s="87" t="s">
        <v>78</v>
      </c>
    </row>
    <row r="186" spans="9:18" x14ac:dyDescent="0.2">
      <c r="I186" s="77">
        <v>2</v>
      </c>
      <c r="J186" s="36">
        <v>51.451737257432207</v>
      </c>
      <c r="K186" s="36">
        <v>55.310213562557742</v>
      </c>
      <c r="L186" s="23">
        <v>59.458075590567695</v>
      </c>
      <c r="M186" s="42">
        <v>63.917027270678389</v>
      </c>
      <c r="N186" s="36">
        <v>68.710400326797384</v>
      </c>
      <c r="O186" s="36">
        <v>73.863276362125305</v>
      </c>
      <c r="P186" s="36">
        <v>79.402618100102814</v>
      </c>
      <c r="Q186" s="36">
        <v>85.357410468428654</v>
      </c>
      <c r="R186" s="78">
        <v>91.758812264378918</v>
      </c>
    </row>
    <row r="187" spans="9:18" x14ac:dyDescent="0.2">
      <c r="I187" s="77">
        <v>5</v>
      </c>
      <c r="J187" s="36">
        <v>104.9605448478208</v>
      </c>
      <c r="K187" s="36">
        <v>112.83258571140735</v>
      </c>
      <c r="L187" s="23">
        <v>121.2950296397629</v>
      </c>
      <c r="M187" s="42">
        <v>130.39215686274511</v>
      </c>
      <c r="N187" s="36">
        <v>140.17156862745099</v>
      </c>
      <c r="O187" s="36">
        <v>150.68443627450978</v>
      </c>
      <c r="P187" s="36">
        <v>161.98576899509803</v>
      </c>
      <c r="Q187" s="36">
        <v>174.13470166973036</v>
      </c>
      <c r="R187" s="78">
        <v>187.19480429496014</v>
      </c>
    </row>
    <row r="188" spans="9:18" x14ac:dyDescent="0.2">
      <c r="I188" s="77">
        <v>10</v>
      </c>
      <c r="J188" s="36">
        <v>214.11951148955441</v>
      </c>
      <c r="K188" s="36">
        <v>230.17847485127098</v>
      </c>
      <c r="L188" s="23">
        <v>247.44186046511629</v>
      </c>
      <c r="M188" s="42">
        <v>266</v>
      </c>
      <c r="N188" s="36">
        <v>285.95</v>
      </c>
      <c r="O188" s="36">
        <v>307.39624999999995</v>
      </c>
      <c r="P188" s="36">
        <v>330.45096874999996</v>
      </c>
      <c r="Q188" s="36">
        <v>355.23479140624994</v>
      </c>
      <c r="R188" s="78">
        <v>381.87740076171866</v>
      </c>
    </row>
    <row r="189" spans="9:18" x14ac:dyDescent="0.2">
      <c r="I189" s="77">
        <v>40</v>
      </c>
      <c r="J189" s="36">
        <v>1006.5234982273666</v>
      </c>
      <c r="K189" s="36">
        <v>1081.9637088702812</v>
      </c>
      <c r="L189" s="23">
        <v>1163.0619353114143</v>
      </c>
      <c r="M189" s="42">
        <v>1250.2425287356323</v>
      </c>
      <c r="N189" s="36">
        <v>1343.9616666666668</v>
      </c>
      <c r="O189" s="36">
        <v>1444.7097399425286</v>
      </c>
      <c r="P189" s="36">
        <v>1553.0139187140805</v>
      </c>
      <c r="Q189" s="36">
        <v>1669.4409108934985</v>
      </c>
      <c r="R189" s="78">
        <v>1794.5999274863727</v>
      </c>
    </row>
    <row r="190" spans="9:18" x14ac:dyDescent="0.2">
      <c r="I190" s="77">
        <v>40.1</v>
      </c>
      <c r="J190" s="37">
        <v>4.7007556257967122</v>
      </c>
      <c r="K190" s="37">
        <v>4.7005425227940547</v>
      </c>
      <c r="L190" s="37">
        <v>4.7003442874427455</v>
      </c>
      <c r="M190" s="37">
        <v>4.7001598824647832</v>
      </c>
      <c r="N190" s="37">
        <v>4.6999883429503999</v>
      </c>
      <c r="O190" s="37">
        <v>4.6998287713091127</v>
      </c>
      <c r="P190" s="37">
        <v>4.6996803325730321</v>
      </c>
      <c r="Q190" s="37">
        <v>4.6995422500278412</v>
      </c>
      <c r="R190" s="79">
        <v>4.6994138011485926</v>
      </c>
    </row>
    <row r="191" spans="9:18" ht="13.5" thickBot="1" x14ac:dyDescent="0.25">
      <c r="I191" s="80"/>
      <c r="J191" s="81"/>
      <c r="K191" s="82">
        <v>1.0749921481916178</v>
      </c>
      <c r="L191" s="82">
        <v>1.0749926959388536</v>
      </c>
      <c r="M191" s="82">
        <v>1.0749932054783498</v>
      </c>
      <c r="N191" s="82">
        <v>1.0749936794747952</v>
      </c>
      <c r="O191" s="82">
        <v>1.0749941204071005</v>
      </c>
      <c r="P191" s="82">
        <v>1.0749945305813418</v>
      </c>
      <c r="Q191" s="82">
        <v>1.0749949121428042</v>
      </c>
      <c r="R191" s="83">
        <v>1.0749952670871847</v>
      </c>
    </row>
    <row r="192" spans="9:18" ht="13.5" thickTop="1" x14ac:dyDescent="0.2"/>
    <row r="197" spans="1:37" x14ac:dyDescent="0.2">
      <c r="AJ197" s="106"/>
    </row>
    <row r="198" spans="1:37" x14ac:dyDescent="0.2">
      <c r="A198" s="124"/>
      <c r="B198" s="124"/>
      <c r="C198" s="124"/>
      <c r="D198" s="124"/>
      <c r="E198" s="124"/>
      <c r="F198" s="124"/>
      <c r="G198" s="124"/>
      <c r="H198" s="124"/>
      <c r="I198" s="124"/>
      <c r="J198" s="124"/>
      <c r="K198" s="124"/>
      <c r="L198" s="124"/>
      <c r="M198" s="124"/>
      <c r="N198" s="124"/>
      <c r="O198" s="124"/>
      <c r="P198" s="124"/>
      <c r="AB198" s="107" t="s">
        <v>90</v>
      </c>
      <c r="AF198" s="106" t="s">
        <v>92</v>
      </c>
      <c r="AJ198" s="106" t="s">
        <v>92</v>
      </c>
    </row>
    <row r="199" spans="1:37" x14ac:dyDescent="0.2">
      <c r="AB199" s="106" t="s">
        <v>91</v>
      </c>
      <c r="AF199" s="107" t="s">
        <v>93</v>
      </c>
      <c r="AJ199" s="107" t="s">
        <v>95</v>
      </c>
    </row>
    <row r="200" spans="1:37" x14ac:dyDescent="0.2">
      <c r="AF200" s="106" t="s">
        <v>94</v>
      </c>
      <c r="AJ200" s="106" t="s">
        <v>96</v>
      </c>
    </row>
    <row r="201" spans="1:37" x14ac:dyDescent="0.2">
      <c r="AJ201" s="106" t="s">
        <v>97</v>
      </c>
    </row>
    <row r="202" spans="1:37" x14ac:dyDescent="0.2">
      <c r="AJ202" s="106" t="s">
        <v>98</v>
      </c>
    </row>
    <row r="203" spans="1:37" x14ac:dyDescent="0.2">
      <c r="AJ203" s="106" t="s">
        <v>99</v>
      </c>
    </row>
    <row r="204" spans="1:37" x14ac:dyDescent="0.2">
      <c r="AJ204" s="106"/>
    </row>
    <row r="206" spans="1:37" ht="13.5" thickBot="1" x14ac:dyDescent="0.25">
      <c r="A206" s="88" t="s">
        <v>84</v>
      </c>
      <c r="AJ206" s="105" t="s">
        <v>101</v>
      </c>
    </row>
    <row r="207" spans="1:37" ht="13.5" thickTop="1" x14ac:dyDescent="0.2">
      <c r="A207" s="58" t="s">
        <v>82</v>
      </c>
      <c r="H207" s="89" t="s">
        <v>64</v>
      </c>
      <c r="I207" s="126" t="s">
        <v>102</v>
      </c>
      <c r="J207" s="90" t="s">
        <v>73</v>
      </c>
      <c r="K207" s="90" t="s">
        <v>72</v>
      </c>
      <c r="L207" s="91" t="s">
        <v>71</v>
      </c>
      <c r="M207" s="90" t="s">
        <v>70</v>
      </c>
      <c r="N207" s="92" t="s">
        <v>74</v>
      </c>
      <c r="O207" s="92" t="s">
        <v>75</v>
      </c>
      <c r="P207" s="92" t="s">
        <v>76</v>
      </c>
      <c r="Q207" s="92" t="s">
        <v>77</v>
      </c>
      <c r="R207" s="93" t="s">
        <v>78</v>
      </c>
      <c r="AC207" s="119">
        <v>0.14299999999999999</v>
      </c>
      <c r="AG207" s="119">
        <v>25.000800000000002</v>
      </c>
      <c r="AK207" s="119">
        <v>31.495999999999999</v>
      </c>
    </row>
    <row r="208" spans="1:37" x14ac:dyDescent="0.2">
      <c r="A208" s="58" t="s">
        <v>83</v>
      </c>
      <c r="H208" s="94">
        <v>2</v>
      </c>
      <c r="I208" s="95">
        <v>77.524515901230671</v>
      </c>
      <c r="J208" s="95">
        <v>77.524515901230671</v>
      </c>
      <c r="K208" s="95">
        <v>83.338374858985489</v>
      </c>
      <c r="L208" s="96">
        <v>89.588273238571915</v>
      </c>
      <c r="M208" s="97">
        <v>96.30691399662733</v>
      </c>
      <c r="N208" s="95">
        <v>103.52945281153691</v>
      </c>
      <c r="O208" s="95">
        <v>111.29368203756471</v>
      </c>
      <c r="P208" s="95">
        <v>119.64022845554457</v>
      </c>
      <c r="Q208" s="95">
        <v>128.61276585487292</v>
      </c>
      <c r="R208" s="98">
        <v>138.25824355915091</v>
      </c>
      <c r="AC208" s="119">
        <v>24.356999999999999</v>
      </c>
      <c r="AG208" s="119">
        <v>46.29</v>
      </c>
      <c r="AK208" s="119">
        <v>-10.16</v>
      </c>
    </row>
    <row r="209" spans="1:38" x14ac:dyDescent="0.2">
      <c r="A209" s="88"/>
      <c r="H209" s="94">
        <v>5</v>
      </c>
      <c r="I209" s="95">
        <v>137.91567261749694</v>
      </c>
      <c r="J209" s="95">
        <v>137.91567261749694</v>
      </c>
      <c r="K209" s="95">
        <v>148.2593480638092</v>
      </c>
      <c r="L209" s="96">
        <v>159.3787991685949</v>
      </c>
      <c r="M209" s="97">
        <v>171.33220910623947</v>
      </c>
      <c r="N209" s="95">
        <v>184.18212478920745</v>
      </c>
      <c r="O209" s="95">
        <v>197.995784148398</v>
      </c>
      <c r="P209" s="95">
        <v>212.84546795952784</v>
      </c>
      <c r="Q209" s="95">
        <v>228.80887805649243</v>
      </c>
      <c r="R209" s="98">
        <v>245.96954391072936</v>
      </c>
      <c r="AC209" s="119">
        <v>46.637</v>
      </c>
      <c r="AD209" s="120"/>
      <c r="AG209" s="119"/>
      <c r="AH209" s="120"/>
      <c r="AK209" s="119"/>
      <c r="AL209" s="120"/>
    </row>
    <row r="210" spans="1:38" x14ac:dyDescent="0.2">
      <c r="A210" s="88"/>
      <c r="H210" s="94">
        <v>10</v>
      </c>
      <c r="I210" s="95">
        <v>245.35198158652705</v>
      </c>
      <c r="J210" s="95">
        <v>245.35198158652705</v>
      </c>
      <c r="K210" s="95">
        <v>263.75338020551658</v>
      </c>
      <c r="L210" s="96">
        <v>283.53488372093028</v>
      </c>
      <c r="M210" s="97">
        <v>304.8</v>
      </c>
      <c r="N210" s="95">
        <v>327.66000000000003</v>
      </c>
      <c r="O210" s="95">
        <v>352.23450000000003</v>
      </c>
      <c r="P210" s="95">
        <v>378.65208749999999</v>
      </c>
      <c r="Q210" s="95">
        <v>407.05099406249997</v>
      </c>
      <c r="R210" s="98">
        <v>437.57981861718747</v>
      </c>
      <c r="AB210" s="110" t="s">
        <v>87</v>
      </c>
      <c r="AC210" s="111" t="s">
        <v>70</v>
      </c>
      <c r="AD210" s="116" t="s">
        <v>89</v>
      </c>
      <c r="AF210" s="110" t="s">
        <v>87</v>
      </c>
      <c r="AG210" s="111" t="s">
        <v>70</v>
      </c>
      <c r="AH210" s="116" t="s">
        <v>89</v>
      </c>
      <c r="AJ210" s="110" t="s">
        <v>87</v>
      </c>
      <c r="AK210" s="111" t="s">
        <v>70</v>
      </c>
      <c r="AL210" s="116" t="s">
        <v>89</v>
      </c>
    </row>
    <row r="211" spans="1:38" x14ac:dyDescent="0.2">
      <c r="H211" s="94">
        <v>40</v>
      </c>
      <c r="I211" s="95">
        <v>1005.9431245047608</v>
      </c>
      <c r="J211" s="95">
        <v>1005.9431245047608</v>
      </c>
      <c r="K211" s="95">
        <v>1081.388858842618</v>
      </c>
      <c r="L211" s="96">
        <v>1162.493023255814</v>
      </c>
      <c r="M211" s="97">
        <v>1249.68</v>
      </c>
      <c r="N211" s="95">
        <v>1343.4059999999999</v>
      </c>
      <c r="O211" s="95">
        <v>1444.1614500000001</v>
      </c>
      <c r="P211" s="95">
        <v>1552.4735587499999</v>
      </c>
      <c r="Q211" s="95">
        <v>1668.9090756562498</v>
      </c>
      <c r="R211" s="98">
        <v>1794.0772563304686</v>
      </c>
      <c r="AB211" s="112">
        <v>1</v>
      </c>
      <c r="AC211" s="113">
        <f>(AC$207*(AB211)^2)+(AC$208*(AB211)^1)+(AC$209)</f>
        <v>71.137</v>
      </c>
      <c r="AD211" s="4">
        <f>AC211*$AD$226</f>
        <v>73.840206000000009</v>
      </c>
      <c r="AF211" s="112">
        <v>1</v>
      </c>
      <c r="AG211" s="113">
        <f>(AG$207*(AF211)^1)+(AG$208)</f>
        <v>71.290800000000004</v>
      </c>
      <c r="AH211" s="4">
        <f>AG211*$AD$226</f>
        <v>73.999850400000014</v>
      </c>
      <c r="AJ211" s="112">
        <v>1</v>
      </c>
      <c r="AK211" s="113">
        <f>AG211</f>
        <v>71.290800000000004</v>
      </c>
      <c r="AL211" s="4"/>
    </row>
    <row r="212" spans="1:38" x14ac:dyDescent="0.2">
      <c r="H212" s="94">
        <v>40.1</v>
      </c>
      <c r="I212" s="99">
        <f>I211/I210</f>
        <v>4.0999999999999996</v>
      </c>
      <c r="J212" s="99">
        <f>J211/J210</f>
        <v>4.0999999999999996</v>
      </c>
      <c r="K212" s="99">
        <f t="shared" ref="K212:R212" si="22">K211/K210</f>
        <v>4.0999999999999996</v>
      </c>
      <c r="L212" s="99">
        <f t="shared" si="22"/>
        <v>4.0999999999999996</v>
      </c>
      <c r="M212" s="99">
        <f t="shared" si="22"/>
        <v>4.0999999999999996</v>
      </c>
      <c r="N212" s="99">
        <f t="shared" si="22"/>
        <v>4.0999999999999996</v>
      </c>
      <c r="O212" s="99">
        <f t="shared" si="22"/>
        <v>4.0999999999999996</v>
      </c>
      <c r="P212" s="99">
        <f t="shared" si="22"/>
        <v>4.0999999999999996</v>
      </c>
      <c r="Q212" s="99">
        <f t="shared" si="22"/>
        <v>4.0999999999999996</v>
      </c>
      <c r="R212" s="100">
        <f t="shared" si="22"/>
        <v>4.0999999999999996</v>
      </c>
      <c r="AA212" s="4">
        <f>M208</f>
        <v>96.30691399662733</v>
      </c>
      <c r="AB212" s="112">
        <v>2</v>
      </c>
      <c r="AC212" s="123">
        <f t="shared" ref="AC212:AC219" si="23">(AC$207*(AB212)^2)+(AC$208*(AB212)^1)+(AC$209)</f>
        <v>95.923000000000002</v>
      </c>
      <c r="AD212" s="121">
        <f t="shared" ref="AD212:AD220" si="24">AC212*$AD$226</f>
        <v>99.56807400000001</v>
      </c>
      <c r="AF212" s="112">
        <v>2</v>
      </c>
      <c r="AG212" s="113">
        <f t="shared" ref="AG212:AG215" si="25">(AG$207*(AF212)^1)+(AG$208)</f>
        <v>96.291600000000003</v>
      </c>
      <c r="AH212" s="121">
        <f>AG212*$AD$226</f>
        <v>99.950680800000001</v>
      </c>
      <c r="AJ212" s="112">
        <v>2</v>
      </c>
      <c r="AK212" s="113">
        <f>AG212</f>
        <v>96.291600000000003</v>
      </c>
      <c r="AL212" s="121"/>
    </row>
    <row r="213" spans="1:38" ht="13.5" thickBot="1" x14ac:dyDescent="0.25">
      <c r="H213" s="101"/>
      <c r="I213" s="102"/>
      <c r="J213" s="102"/>
      <c r="K213" s="103">
        <v>1.0749938118305944</v>
      </c>
      <c r="L213" s="103">
        <v>1.0749942435302069</v>
      </c>
      <c r="M213" s="103">
        <v>1.074994645115704</v>
      </c>
      <c r="N213" s="103">
        <v>1.0749950186874695</v>
      </c>
      <c r="O213" s="103">
        <v>1.0749953661994298</v>
      </c>
      <c r="P213" s="103">
        <v>1.0749956894692609</v>
      </c>
      <c r="Q213" s="103">
        <v>1.0749959901878849</v>
      </c>
      <c r="R213" s="104">
        <v>1.0749962699283053</v>
      </c>
      <c r="AA213" s="64"/>
      <c r="AB213" s="112">
        <v>3</v>
      </c>
      <c r="AC213" s="113">
        <f t="shared" si="23"/>
        <v>120.995</v>
      </c>
      <c r="AD213" s="4">
        <f t="shared" si="24"/>
        <v>125.59281000000001</v>
      </c>
      <c r="AF213" s="112">
        <v>3</v>
      </c>
      <c r="AG213" s="113">
        <f t="shared" si="25"/>
        <v>121.29240000000001</v>
      </c>
      <c r="AH213" s="4">
        <f t="shared" ref="AH213:AH215" si="26">AG213*$AD$226</f>
        <v>125.90151120000002</v>
      </c>
      <c r="AJ213" s="112">
        <v>3</v>
      </c>
      <c r="AK213" s="113">
        <f>AG213</f>
        <v>121.29240000000001</v>
      </c>
      <c r="AL213" s="4"/>
    </row>
    <row r="214" spans="1:38" ht="13.5" thickTop="1" x14ac:dyDescent="0.2">
      <c r="H214" s="108"/>
      <c r="I214" s="108"/>
      <c r="J214" s="108"/>
      <c r="K214" s="109"/>
      <c r="L214" s="109"/>
      <c r="M214" s="109"/>
      <c r="N214" s="109"/>
      <c r="O214" s="109"/>
      <c r="P214" s="109"/>
      <c r="Q214" s="109"/>
      <c r="R214" s="109"/>
      <c r="AA214" s="64"/>
      <c r="AB214" s="112">
        <v>4</v>
      </c>
      <c r="AC214" s="113">
        <f t="shared" si="23"/>
        <v>146.35300000000001</v>
      </c>
      <c r="AD214" s="4">
        <f t="shared" si="24"/>
        <v>151.91441400000002</v>
      </c>
      <c r="AF214" s="112">
        <v>4</v>
      </c>
      <c r="AG214" s="113">
        <f t="shared" si="25"/>
        <v>146.29320000000001</v>
      </c>
      <c r="AH214" s="4">
        <f t="shared" si="26"/>
        <v>151.85234160000002</v>
      </c>
      <c r="AJ214" s="112">
        <v>4</v>
      </c>
      <c r="AK214" s="113">
        <f>AG214</f>
        <v>146.29320000000001</v>
      </c>
      <c r="AL214" s="4"/>
    </row>
    <row r="215" spans="1:38" x14ac:dyDescent="0.2">
      <c r="H215" s="108"/>
      <c r="I215" s="108"/>
      <c r="J215" s="108"/>
      <c r="K215" s="109"/>
      <c r="L215" s="109"/>
      <c r="M215" s="109"/>
      <c r="N215" s="109"/>
      <c r="O215" s="109"/>
      <c r="P215" s="109"/>
      <c r="Q215" s="109"/>
      <c r="R215" s="109"/>
      <c r="AA215" s="4">
        <f>M209</f>
        <v>171.33220910623947</v>
      </c>
      <c r="AB215" s="112">
        <v>5</v>
      </c>
      <c r="AC215" s="114">
        <f t="shared" si="23"/>
        <v>171.99700000000001</v>
      </c>
      <c r="AD215" s="122">
        <f t="shared" si="24"/>
        <v>178.53288600000002</v>
      </c>
      <c r="AF215" s="112">
        <v>5</v>
      </c>
      <c r="AG215" s="114">
        <f t="shared" si="25"/>
        <v>171.29400000000001</v>
      </c>
      <c r="AH215" s="122">
        <f t="shared" si="26"/>
        <v>177.80317200000002</v>
      </c>
      <c r="AJ215" s="112">
        <v>5</v>
      </c>
      <c r="AK215" s="114">
        <f>AG215</f>
        <v>171.29400000000001</v>
      </c>
      <c r="AL215" s="122"/>
    </row>
    <row r="216" spans="1:38" x14ac:dyDescent="0.2">
      <c r="H216" s="108"/>
      <c r="I216" s="108"/>
      <c r="J216" s="108"/>
      <c r="K216" s="109"/>
      <c r="L216" s="109"/>
      <c r="M216" s="109"/>
      <c r="N216" s="109"/>
      <c r="O216" s="109"/>
      <c r="P216" s="109"/>
      <c r="Q216" s="109"/>
      <c r="R216" s="109"/>
      <c r="AA216" s="4">
        <f>M210</f>
        <v>304.8</v>
      </c>
      <c r="AB216" s="112">
        <v>10</v>
      </c>
      <c r="AC216" s="113">
        <f t="shared" si="23"/>
        <v>304.50700000000001</v>
      </c>
      <c r="AD216" s="4">
        <f t="shared" si="24"/>
        <v>316.07826600000004</v>
      </c>
      <c r="AF216" s="112">
        <v>10</v>
      </c>
      <c r="AG216" s="113"/>
      <c r="AH216" s="4"/>
      <c r="AJ216" s="112">
        <v>10</v>
      </c>
      <c r="AK216" s="123">
        <f>(AK$207*(AJ216)^1)+(AK$208)</f>
        <v>304.79999999999995</v>
      </c>
      <c r="AL216" s="121">
        <f t="shared" ref="AL216:AL219" si="27">AK216*$AD$226</f>
        <v>316.38239999999996</v>
      </c>
    </row>
    <row r="217" spans="1:38" x14ac:dyDescent="0.2">
      <c r="H217" s="108"/>
      <c r="I217" s="108"/>
      <c r="J217" s="108"/>
      <c r="K217" s="109"/>
      <c r="L217" s="109"/>
      <c r="M217" s="109"/>
      <c r="N217" s="109"/>
      <c r="O217" s="109"/>
      <c r="P217" s="109"/>
      <c r="Q217" s="109"/>
      <c r="R217" s="109"/>
      <c r="AA217" s="64"/>
      <c r="AB217" s="112">
        <v>20</v>
      </c>
      <c r="AC217" s="123">
        <f t="shared" si="23"/>
        <v>590.97700000000009</v>
      </c>
      <c r="AD217" s="121">
        <f t="shared" si="24"/>
        <v>613.43412600000011</v>
      </c>
      <c r="AF217" s="112">
        <v>20</v>
      </c>
      <c r="AG217" s="113"/>
      <c r="AH217" s="121"/>
      <c r="AJ217" s="112">
        <v>20</v>
      </c>
      <c r="AK217" s="123">
        <f>(AK$207*(AJ217)^1)+(AK$208)</f>
        <v>619.76</v>
      </c>
      <c r="AL217" s="121">
        <f t="shared" si="27"/>
        <v>643.31088</v>
      </c>
    </row>
    <row r="218" spans="1:38" x14ac:dyDescent="0.2">
      <c r="H218" s="108"/>
      <c r="I218" s="108"/>
      <c r="J218" s="108"/>
      <c r="K218" s="109"/>
      <c r="L218" s="109"/>
      <c r="M218" s="109"/>
      <c r="N218" s="109"/>
      <c r="O218" s="109"/>
      <c r="P218" s="109"/>
      <c r="Q218" s="109"/>
      <c r="R218" s="109"/>
      <c r="AA218" s="64"/>
      <c r="AB218" s="112">
        <v>30</v>
      </c>
      <c r="AC218" s="113">
        <f t="shared" si="23"/>
        <v>906.04700000000003</v>
      </c>
      <c r="AD218" s="4">
        <f t="shared" si="24"/>
        <v>940.47678600000006</v>
      </c>
      <c r="AF218" s="112">
        <v>30</v>
      </c>
      <c r="AG218" s="113"/>
      <c r="AH218" s="121"/>
      <c r="AJ218" s="112">
        <v>30</v>
      </c>
      <c r="AK218" s="123">
        <f>(AK$207*(AJ218)^1)+(AK$208)</f>
        <v>934.72</v>
      </c>
      <c r="AL218" s="121">
        <f t="shared" si="27"/>
        <v>970.23936000000003</v>
      </c>
    </row>
    <row r="219" spans="1:38" x14ac:dyDescent="0.2">
      <c r="H219" s="108"/>
      <c r="I219" s="108"/>
      <c r="J219" s="108"/>
      <c r="K219" s="109"/>
      <c r="L219" s="109"/>
      <c r="M219" s="109"/>
      <c r="N219" s="109"/>
      <c r="O219" s="109"/>
      <c r="P219" s="109"/>
      <c r="Q219" s="109"/>
      <c r="R219" s="109"/>
      <c r="AA219" s="4">
        <f>M211</f>
        <v>1249.68</v>
      </c>
      <c r="AB219" s="112">
        <v>40</v>
      </c>
      <c r="AC219" s="114">
        <f t="shared" si="23"/>
        <v>1249.7169999999999</v>
      </c>
      <c r="AD219" s="122">
        <f t="shared" si="24"/>
        <v>1297.206246</v>
      </c>
      <c r="AF219" s="112">
        <v>40</v>
      </c>
      <c r="AG219" s="113"/>
      <c r="AH219" s="121"/>
      <c r="AJ219" s="112">
        <v>40</v>
      </c>
      <c r="AK219" s="114">
        <f>(AK$207*(AJ219)^1)+(AK$208)</f>
        <v>1249.6799999999998</v>
      </c>
      <c r="AL219" s="122">
        <f t="shared" si="27"/>
        <v>1297.1678399999998</v>
      </c>
    </row>
    <row r="220" spans="1:38" x14ac:dyDescent="0.2">
      <c r="H220" s="108"/>
      <c r="I220" s="108"/>
      <c r="J220" s="108"/>
      <c r="K220" s="109"/>
      <c r="L220" s="109"/>
      <c r="M220" s="109"/>
      <c r="N220" s="109"/>
      <c r="O220" s="109"/>
      <c r="P220" s="109"/>
      <c r="Q220" s="109"/>
      <c r="R220" s="109"/>
      <c r="AB220" s="112">
        <v>50</v>
      </c>
      <c r="AC220" s="113">
        <f>(AC$207*(AB220)^2)+(AC$208*(AB220)^1)+(AC$209)</f>
        <v>1621.9869999999999</v>
      </c>
      <c r="AD220" s="4">
        <f t="shared" si="24"/>
        <v>1683.6225059999999</v>
      </c>
      <c r="AF220" s="115"/>
      <c r="AH220" s="121"/>
      <c r="AJ220" s="112">
        <v>50</v>
      </c>
      <c r="AK220" s="123">
        <f>(AK$207*(AJ220)^1)+(AK$208)</f>
        <v>1564.6399999999999</v>
      </c>
      <c r="AL220" s="121">
        <f>AK220*$AD$226</f>
        <v>1624.0963199999999</v>
      </c>
    </row>
    <row r="221" spans="1:38" x14ac:dyDescent="0.2">
      <c r="H221" s="108"/>
      <c r="I221" s="108"/>
      <c r="J221" s="108"/>
      <c r="K221" s="109"/>
      <c r="L221" s="109"/>
      <c r="M221" s="109"/>
      <c r="N221" s="109"/>
      <c r="O221" s="109"/>
      <c r="P221" s="109"/>
      <c r="Q221" s="109"/>
      <c r="R221" s="109"/>
      <c r="AB221" s="118" t="s">
        <v>88</v>
      </c>
      <c r="AC221" s="117">
        <f>AC219/AC216</f>
        <v>4.1040665731822248</v>
      </c>
      <c r="AF221" s="118" t="s">
        <v>88</v>
      </c>
      <c r="AG221" s="117"/>
      <c r="AJ221" s="118" t="s">
        <v>88</v>
      </c>
      <c r="AK221" s="117">
        <f>AK219/AK216</f>
        <v>4.0999999999999996</v>
      </c>
    </row>
    <row r="223" spans="1:38" ht="13.5" thickBot="1" x14ac:dyDescent="0.25"/>
    <row r="224" spans="1:38" ht="13.5" thickTop="1" x14ac:dyDescent="0.2">
      <c r="H224" s="89" t="s">
        <v>64</v>
      </c>
      <c r="I224" s="90" t="s">
        <v>73</v>
      </c>
      <c r="J224" s="90" t="s">
        <v>73</v>
      </c>
      <c r="K224" s="90" t="s">
        <v>72</v>
      </c>
      <c r="L224" s="91" t="s">
        <v>71</v>
      </c>
      <c r="M224" s="90" t="s">
        <v>70</v>
      </c>
      <c r="N224" s="92" t="s">
        <v>74</v>
      </c>
      <c r="O224" s="92" t="s">
        <v>75</v>
      </c>
      <c r="P224" s="92" t="s">
        <v>76</v>
      </c>
      <c r="Q224" s="92" t="s">
        <v>77</v>
      </c>
      <c r="R224" s="93" t="s">
        <v>78</v>
      </c>
      <c r="AC224" s="119">
        <v>0.17069999999999999</v>
      </c>
      <c r="AG224" s="119">
        <v>23.582999999999998</v>
      </c>
      <c r="AK224" s="119">
        <v>32.152000000000001</v>
      </c>
    </row>
    <row r="225" spans="8:38" x14ac:dyDescent="0.2">
      <c r="H225" s="94">
        <v>2</v>
      </c>
      <c r="I225" s="95">
        <v>64.488126579331436</v>
      </c>
      <c r="J225" s="95">
        <v>64.488126579331436</v>
      </c>
      <c r="K225" s="95">
        <v>69.324294210771612</v>
      </c>
      <c r="L225" s="96">
        <v>74.523174414569809</v>
      </c>
      <c r="M225" s="97">
        <v>80.111970633652859</v>
      </c>
      <c r="N225" s="95">
        <v>86.119926569167149</v>
      </c>
      <c r="O225" s="95">
        <v>92.578479199845006</v>
      </c>
      <c r="P225" s="95">
        <v>99.521423277823686</v>
      </c>
      <c r="Q225" s="95">
        <v>106.98508816165079</v>
      </c>
      <c r="R225" s="98">
        <v>115.00852791176492</v>
      </c>
      <c r="AC225" s="119">
        <v>23.655000000000001</v>
      </c>
      <c r="AG225" s="119">
        <v>32.945</v>
      </c>
      <c r="AK225" s="119">
        <v>-36.119999999999997</v>
      </c>
    </row>
    <row r="226" spans="8:38" x14ac:dyDescent="0.2">
      <c r="H226" s="94">
        <v>5</v>
      </c>
      <c r="I226" s="95">
        <v>121.43810873265886</v>
      </c>
      <c r="J226" s="95">
        <v>121.43810873265886</v>
      </c>
      <c r="K226" s="95">
        <v>130.54596688760827</v>
      </c>
      <c r="L226" s="96">
        <v>140.33691440417891</v>
      </c>
      <c r="M226" s="97">
        <v>150.86218298449228</v>
      </c>
      <c r="N226" s="95">
        <v>162.17684670832921</v>
      </c>
      <c r="O226" s="95">
        <v>174.34011021145389</v>
      </c>
      <c r="P226" s="95">
        <v>187.41561847731293</v>
      </c>
      <c r="Q226" s="95">
        <v>201.47178986311138</v>
      </c>
      <c r="R226" s="98">
        <v>216.58217410284476</v>
      </c>
      <c r="AC226" s="119">
        <v>30.733000000000001</v>
      </c>
      <c r="AD226" s="120">
        <v>1.038</v>
      </c>
      <c r="AG226" s="119"/>
      <c r="AH226" s="120"/>
      <c r="AK226" s="119"/>
      <c r="AL226" s="120"/>
    </row>
    <row r="227" spans="8:38" x14ac:dyDescent="0.2">
      <c r="H227" s="94">
        <v>10</v>
      </c>
      <c r="I227" s="95">
        <v>229.73574653804073</v>
      </c>
      <c r="J227" s="95">
        <v>229.73574653804073</v>
      </c>
      <c r="K227" s="95">
        <v>246.96592752839376</v>
      </c>
      <c r="L227" s="96">
        <v>265.48837209302326</v>
      </c>
      <c r="M227" s="97">
        <v>285.39999999999998</v>
      </c>
      <c r="N227" s="95">
        <v>306.80500000000001</v>
      </c>
      <c r="O227" s="95">
        <v>329.81537500000002</v>
      </c>
      <c r="P227" s="95">
        <v>354.551528125</v>
      </c>
      <c r="Q227" s="95">
        <v>381.14289273437498</v>
      </c>
      <c r="R227" s="98">
        <v>409.72860968945304</v>
      </c>
      <c r="AB227" s="110" t="s">
        <v>87</v>
      </c>
      <c r="AC227" s="111" t="s">
        <v>70</v>
      </c>
      <c r="AD227" s="116" t="s">
        <v>89</v>
      </c>
      <c r="AF227" s="110" t="s">
        <v>87</v>
      </c>
      <c r="AG227" s="111" t="s">
        <v>70</v>
      </c>
      <c r="AH227" s="116" t="s">
        <v>89</v>
      </c>
      <c r="AJ227" s="110" t="s">
        <v>87</v>
      </c>
      <c r="AK227" s="111" t="s">
        <v>70</v>
      </c>
      <c r="AL227" s="116" t="s">
        <v>89</v>
      </c>
    </row>
    <row r="228" spans="8:38" x14ac:dyDescent="0.2">
      <c r="H228" s="94">
        <v>40</v>
      </c>
      <c r="I228" s="95">
        <v>1006.2333113660637</v>
      </c>
      <c r="J228" s="95">
        <v>1006.2333113660637</v>
      </c>
      <c r="K228" s="95">
        <v>1081.6762838564496</v>
      </c>
      <c r="L228" s="96">
        <v>1162.7774792836142</v>
      </c>
      <c r="M228" s="97">
        <v>1249.9612643678161</v>
      </c>
      <c r="N228" s="95">
        <v>1343.6838333333335</v>
      </c>
      <c r="O228" s="95">
        <v>1444.4355949712644</v>
      </c>
      <c r="P228" s="95">
        <v>1552.7437387320401</v>
      </c>
      <c r="Q228" s="95">
        <v>1669.1749932748742</v>
      </c>
      <c r="R228" s="98">
        <v>1794.3385919084208</v>
      </c>
      <c r="AB228" s="112">
        <v>1</v>
      </c>
      <c r="AC228" s="113">
        <f>(AC$224*(AB228)^2)+(AC$225*(AB228)^1)+(AC$226)</f>
        <v>54.558700000000002</v>
      </c>
      <c r="AD228" s="4">
        <f>AC228*$AD$226</f>
        <v>56.631930600000004</v>
      </c>
      <c r="AF228" s="112">
        <v>1</v>
      </c>
      <c r="AG228" s="113">
        <f>(AG$224*(AF228)^1)+(AG$225)</f>
        <v>56.527999999999999</v>
      </c>
      <c r="AH228" s="4">
        <f>AG228*$AD$226</f>
        <v>58.676064000000004</v>
      </c>
      <c r="AJ228" s="112">
        <v>1</v>
      </c>
      <c r="AK228" s="113">
        <f>AG228</f>
        <v>56.527999999999999</v>
      </c>
      <c r="AL228" s="4"/>
    </row>
    <row r="229" spans="8:38" x14ac:dyDescent="0.2">
      <c r="H229" s="94">
        <v>40.1</v>
      </c>
      <c r="I229" s="99">
        <f t="shared" ref="I229" si="28">I228/I227</f>
        <v>4.3799596994777952</v>
      </c>
      <c r="J229" s="99">
        <f t="shared" ref="J229:R229" si="29">J228/J227</f>
        <v>4.3799596994777952</v>
      </c>
      <c r="K229" s="99">
        <f t="shared" si="29"/>
        <v>4.379860390790502</v>
      </c>
      <c r="L229" s="99">
        <f t="shared" si="29"/>
        <v>4.3797680106162762</v>
      </c>
      <c r="M229" s="99">
        <f t="shared" si="29"/>
        <v>4.3796820755704839</v>
      </c>
      <c r="N229" s="99">
        <f t="shared" si="29"/>
        <v>4.3796021359930037</v>
      </c>
      <c r="O229" s="99">
        <f t="shared" si="29"/>
        <v>4.3795277735953464</v>
      </c>
      <c r="P229" s="99">
        <f t="shared" si="29"/>
        <v>4.3794585992719446</v>
      </c>
      <c r="Q229" s="99">
        <f t="shared" si="29"/>
        <v>4.3793942510641299</v>
      </c>
      <c r="R229" s="100">
        <f t="shared" si="29"/>
        <v>4.3793343922661627</v>
      </c>
      <c r="AA229" s="4">
        <f>M225</f>
        <v>80.111970633652859</v>
      </c>
      <c r="AB229" s="112">
        <v>2</v>
      </c>
      <c r="AC229" s="123">
        <f t="shared" ref="AC229:AC236" si="30">(AC$224*(AB229)^2)+(AC$225*(AB229)^1)+(AC$226)</f>
        <v>78.725800000000007</v>
      </c>
      <c r="AD229" s="121">
        <f t="shared" ref="AD229:AD236" si="31">AC229*$AD$226</f>
        <v>81.71738040000001</v>
      </c>
      <c r="AF229" s="112">
        <v>2</v>
      </c>
      <c r="AG229" s="113">
        <f>(AG$224*(AF229)^1)+(AG$225)</f>
        <v>80.11099999999999</v>
      </c>
      <c r="AH229" s="121">
        <f>AG229*$AD$226</f>
        <v>83.155217999999991</v>
      </c>
      <c r="AJ229" s="112">
        <v>2</v>
      </c>
      <c r="AK229" s="113">
        <f>AG229</f>
        <v>80.11099999999999</v>
      </c>
      <c r="AL229" s="121"/>
    </row>
    <row r="230" spans="8:38" ht="13.5" thickBot="1" x14ac:dyDescent="0.25">
      <c r="H230" s="101"/>
      <c r="I230" s="102"/>
      <c r="J230" s="102"/>
      <c r="K230" s="103">
        <v>1.0749938118305944</v>
      </c>
      <c r="L230" s="103">
        <v>1.0749942435302069</v>
      </c>
      <c r="M230" s="103">
        <v>1.074994645115704</v>
      </c>
      <c r="N230" s="103">
        <v>1.0749950186874695</v>
      </c>
      <c r="O230" s="103">
        <v>1.0749953661994298</v>
      </c>
      <c r="P230" s="103">
        <v>1.0749956894692609</v>
      </c>
      <c r="Q230" s="103">
        <v>1.0749959901878849</v>
      </c>
      <c r="R230" s="104">
        <v>1.0749962699283053</v>
      </c>
      <c r="AA230" s="64"/>
      <c r="AB230" s="112">
        <v>3</v>
      </c>
      <c r="AC230" s="113">
        <f t="shared" si="30"/>
        <v>103.2343</v>
      </c>
      <c r="AD230" s="4">
        <f t="shared" si="31"/>
        <v>107.15720340000001</v>
      </c>
      <c r="AF230" s="112">
        <v>3</v>
      </c>
      <c r="AG230" s="113">
        <f>(AG$224*(AF230)^1)+(AG$225)</f>
        <v>103.69399999999999</v>
      </c>
      <c r="AH230" s="4">
        <f>AG230*$AD$226</f>
        <v>107.63437199999998</v>
      </c>
      <c r="AJ230" s="112">
        <v>3</v>
      </c>
      <c r="AK230" s="113">
        <f>AG230</f>
        <v>103.69399999999999</v>
      </c>
      <c r="AL230" s="4"/>
    </row>
    <row r="231" spans="8:38" ht="13.5" thickTop="1" x14ac:dyDescent="0.2">
      <c r="H231" s="108"/>
      <c r="I231" s="108"/>
      <c r="J231" s="108"/>
      <c r="K231" s="109"/>
      <c r="L231" s="109"/>
      <c r="M231" s="109"/>
      <c r="N231" s="109"/>
      <c r="O231" s="109"/>
      <c r="P231" s="109"/>
      <c r="Q231" s="109"/>
      <c r="R231" s="109"/>
      <c r="AA231" s="64"/>
      <c r="AB231" s="112">
        <v>4</v>
      </c>
      <c r="AC231" s="113">
        <f t="shared" si="30"/>
        <v>128.08420000000001</v>
      </c>
      <c r="AD231" s="4">
        <f t="shared" si="31"/>
        <v>132.9513996</v>
      </c>
      <c r="AF231" s="112">
        <v>4</v>
      </c>
      <c r="AG231" s="113">
        <f>(AG$224*(AF231)^1)+(AG$225)</f>
        <v>127.27699999999999</v>
      </c>
      <c r="AH231" s="4">
        <f>AG231*$AD$226</f>
        <v>132.11352599999998</v>
      </c>
      <c r="AJ231" s="112">
        <v>4</v>
      </c>
      <c r="AK231" s="113">
        <f>AG231</f>
        <v>127.27699999999999</v>
      </c>
      <c r="AL231" s="4"/>
    </row>
    <row r="232" spans="8:38" x14ac:dyDescent="0.2">
      <c r="H232" s="108"/>
      <c r="I232" s="108"/>
      <c r="J232" s="108"/>
      <c r="K232" s="109"/>
      <c r="L232" s="109"/>
      <c r="M232" s="109"/>
      <c r="N232" s="109"/>
      <c r="O232" s="109"/>
      <c r="P232" s="109"/>
      <c r="Q232" s="109"/>
      <c r="R232" s="109"/>
      <c r="AA232" s="4">
        <f>M226</f>
        <v>150.86218298449228</v>
      </c>
      <c r="AB232" s="112">
        <v>5</v>
      </c>
      <c r="AC232" s="114">
        <f t="shared" si="30"/>
        <v>153.27549999999999</v>
      </c>
      <c r="AD232" s="122">
        <f t="shared" si="31"/>
        <v>159.09996899999999</v>
      </c>
      <c r="AF232" s="112">
        <v>5</v>
      </c>
      <c r="AG232" s="114">
        <f>(AG$224*(AF232)^1)+(AG$225)</f>
        <v>150.85999999999999</v>
      </c>
      <c r="AH232" s="122">
        <f>AG232*$AD$226</f>
        <v>156.59268</v>
      </c>
      <c r="AJ232" s="112">
        <v>5</v>
      </c>
      <c r="AK232" s="114">
        <f>AG232</f>
        <v>150.85999999999999</v>
      </c>
      <c r="AL232" s="122"/>
    </row>
    <row r="233" spans="8:38" x14ac:dyDescent="0.2">
      <c r="H233" s="108"/>
      <c r="I233" s="108"/>
      <c r="J233" s="108"/>
      <c r="K233" s="109"/>
      <c r="L233" s="109"/>
      <c r="M233" s="109"/>
      <c r="N233" s="109"/>
      <c r="O233" s="109"/>
      <c r="P233" s="109"/>
      <c r="Q233" s="109"/>
      <c r="R233" s="109"/>
      <c r="AA233" s="4">
        <f>M227</f>
        <v>285.39999999999998</v>
      </c>
      <c r="AB233" s="112">
        <v>10</v>
      </c>
      <c r="AC233" s="113">
        <f t="shared" si="30"/>
        <v>284.35300000000001</v>
      </c>
      <c r="AD233" s="4">
        <f t="shared" si="31"/>
        <v>295.15841399999999</v>
      </c>
      <c r="AF233" s="112">
        <v>10</v>
      </c>
      <c r="AG233" s="113"/>
      <c r="AH233" s="4"/>
      <c r="AJ233" s="112">
        <v>10</v>
      </c>
      <c r="AK233" s="123">
        <f>(AK$224*(AJ233)^1)+(AK$225)</f>
        <v>285.39999999999998</v>
      </c>
      <c r="AL233" s="121">
        <f>AK233*$AD$226</f>
        <v>296.24520000000001</v>
      </c>
    </row>
    <row r="234" spans="8:38" x14ac:dyDescent="0.2">
      <c r="H234" s="108"/>
      <c r="I234" s="108"/>
      <c r="J234" s="108"/>
      <c r="K234" s="109"/>
      <c r="L234" s="109"/>
      <c r="M234" s="109"/>
      <c r="N234" s="109"/>
      <c r="O234" s="109"/>
      <c r="P234" s="109"/>
      <c r="Q234" s="109"/>
      <c r="R234" s="109"/>
      <c r="AA234" s="64"/>
      <c r="AB234" s="112">
        <v>20</v>
      </c>
      <c r="AC234" s="123">
        <f t="shared" si="30"/>
        <v>572.11299999999994</v>
      </c>
      <c r="AD234" s="121">
        <f t="shared" si="31"/>
        <v>593.85329400000001</v>
      </c>
      <c r="AF234" s="112">
        <v>20</v>
      </c>
      <c r="AG234" s="113"/>
      <c r="AH234" s="121"/>
      <c r="AJ234" s="112">
        <v>20</v>
      </c>
      <c r="AK234" s="123">
        <f>(AK$224*(AJ234)^1)+(AK$225)</f>
        <v>606.91999999999996</v>
      </c>
      <c r="AL234" s="121">
        <f>AK234*$AD$226</f>
        <v>629.98295999999993</v>
      </c>
    </row>
    <row r="235" spans="8:38" x14ac:dyDescent="0.2">
      <c r="H235" s="108"/>
      <c r="I235" s="108"/>
      <c r="J235" s="108"/>
      <c r="K235" s="109"/>
      <c r="L235" s="109"/>
      <c r="M235" s="109"/>
      <c r="N235" s="109"/>
      <c r="O235" s="109"/>
      <c r="P235" s="109"/>
      <c r="Q235" s="109"/>
      <c r="R235" s="109"/>
      <c r="AA235" s="64"/>
      <c r="AB235" s="112">
        <v>30</v>
      </c>
      <c r="AC235" s="113">
        <f t="shared" si="30"/>
        <v>894.01300000000003</v>
      </c>
      <c r="AD235" s="4">
        <f t="shared" si="31"/>
        <v>927.98549400000002</v>
      </c>
      <c r="AF235" s="112">
        <v>30</v>
      </c>
      <c r="AG235" s="113"/>
      <c r="AH235" s="121"/>
      <c r="AJ235" s="112">
        <v>30</v>
      </c>
      <c r="AK235" s="123">
        <f>(AK$224*(AJ235)^1)+(AK$225)</f>
        <v>928.44</v>
      </c>
      <c r="AL235" s="121">
        <f>AK235*$AD$226</f>
        <v>963.72072000000014</v>
      </c>
    </row>
    <row r="236" spans="8:38" x14ac:dyDescent="0.2">
      <c r="H236" s="108"/>
      <c r="I236" s="108"/>
      <c r="J236" s="108"/>
      <c r="K236" s="109"/>
      <c r="L236" s="109"/>
      <c r="M236" s="109"/>
      <c r="N236" s="109"/>
      <c r="O236" s="109"/>
      <c r="P236" s="109"/>
      <c r="Q236" s="109"/>
      <c r="R236" s="109"/>
      <c r="AA236" s="4">
        <f>M228</f>
        <v>1249.9612643678161</v>
      </c>
      <c r="AB236" s="112">
        <v>40</v>
      </c>
      <c r="AC236" s="114">
        <f t="shared" si="30"/>
        <v>1250.0530000000001</v>
      </c>
      <c r="AD236" s="122">
        <f t="shared" si="31"/>
        <v>1297.5550140000003</v>
      </c>
      <c r="AF236" s="112">
        <v>40</v>
      </c>
      <c r="AG236" s="113"/>
      <c r="AH236" s="121"/>
      <c r="AJ236" s="112">
        <v>40</v>
      </c>
      <c r="AK236" s="114">
        <f>(AK$224*(AJ236)^1)+(AK$225)</f>
        <v>1249.96</v>
      </c>
      <c r="AL236" s="122">
        <f>AK236*$AD$226</f>
        <v>1297.45848</v>
      </c>
    </row>
    <row r="237" spans="8:38" x14ac:dyDescent="0.2">
      <c r="H237" s="108"/>
      <c r="I237" s="108"/>
      <c r="J237" s="108"/>
      <c r="K237" s="109"/>
      <c r="L237" s="109"/>
      <c r="M237" s="109"/>
      <c r="N237" s="109"/>
      <c r="O237" s="109"/>
      <c r="P237" s="109"/>
      <c r="Q237" s="109"/>
      <c r="R237" s="109"/>
      <c r="AB237" s="115"/>
      <c r="AF237" s="115"/>
      <c r="AH237" s="121"/>
      <c r="AJ237" s="112">
        <v>50</v>
      </c>
      <c r="AK237" s="125">
        <f>(AK$224*(AJ237)^1)+(AK$225)</f>
        <v>1571.4800000000002</v>
      </c>
      <c r="AL237" s="121">
        <f>AK237*$AD$226</f>
        <v>1631.1962400000002</v>
      </c>
    </row>
    <row r="238" spans="8:38" x14ac:dyDescent="0.2">
      <c r="H238" s="108"/>
      <c r="I238" s="108"/>
      <c r="J238" s="108"/>
      <c r="K238" s="109"/>
      <c r="L238" s="109"/>
      <c r="M238" s="109"/>
      <c r="N238" s="109"/>
      <c r="O238" s="109"/>
      <c r="P238" s="109"/>
      <c r="Q238" s="109"/>
      <c r="R238" s="109"/>
      <c r="AB238" s="118" t="s">
        <v>88</v>
      </c>
      <c r="AC238" s="117">
        <f>AC236/AC233</f>
        <v>4.3961308655087166</v>
      </c>
      <c r="AF238" s="118" t="s">
        <v>88</v>
      </c>
      <c r="AG238" s="117"/>
      <c r="AJ238" s="118" t="s">
        <v>88</v>
      </c>
      <c r="AK238" s="117">
        <f>AK236/AK233</f>
        <v>4.3796776454099513</v>
      </c>
    </row>
    <row r="239" spans="8:38" x14ac:dyDescent="0.2"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</row>
    <row r="240" spans="8:38" ht="13.5" thickBot="1" x14ac:dyDescent="0.25"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</row>
    <row r="241" spans="8:38" ht="13.5" thickTop="1" x14ac:dyDescent="0.2">
      <c r="H241" s="89" t="s">
        <v>64</v>
      </c>
      <c r="I241" s="90" t="s">
        <v>73</v>
      </c>
      <c r="J241" s="90" t="s">
        <v>73</v>
      </c>
      <c r="K241" s="90" t="s">
        <v>72</v>
      </c>
      <c r="L241" s="91" t="s">
        <v>71</v>
      </c>
      <c r="M241" s="90" t="s">
        <v>70</v>
      </c>
      <c r="N241" s="92" t="s">
        <v>74</v>
      </c>
      <c r="O241" s="92" t="s">
        <v>75</v>
      </c>
      <c r="P241" s="92" t="s">
        <v>76</v>
      </c>
      <c r="Q241" s="92" t="s">
        <v>77</v>
      </c>
      <c r="R241" s="93" t="s">
        <v>78</v>
      </c>
      <c r="AC241" s="119">
        <v>0.19839999999999999</v>
      </c>
      <c r="AG241" s="119">
        <v>22.158000000000001</v>
      </c>
      <c r="AK241" s="119">
        <v>32.808</v>
      </c>
    </row>
    <row r="242" spans="8:38" x14ac:dyDescent="0.2">
      <c r="H242" s="94">
        <v>2</v>
      </c>
      <c r="I242" s="95">
        <v>51.451737257432207</v>
      </c>
      <c r="J242" s="95">
        <v>51.451737257432207</v>
      </c>
      <c r="K242" s="95">
        <v>55.310213562557742</v>
      </c>
      <c r="L242" s="96">
        <v>59.458075590567695</v>
      </c>
      <c r="M242" s="97">
        <v>63.917027270678389</v>
      </c>
      <c r="N242" s="95">
        <v>68.710400326797384</v>
      </c>
      <c r="O242" s="95">
        <v>73.863276362125305</v>
      </c>
      <c r="P242" s="95">
        <v>79.402618100102814</v>
      </c>
      <c r="Q242" s="95">
        <v>85.357410468428654</v>
      </c>
      <c r="R242" s="98">
        <v>91.758812264378918</v>
      </c>
      <c r="AC242" s="119">
        <v>22.952000000000002</v>
      </c>
      <c r="AG242" s="119">
        <v>19.600000000000001</v>
      </c>
      <c r="AK242" s="119">
        <v>-62.081000000000003</v>
      </c>
    </row>
    <row r="243" spans="8:38" x14ac:dyDescent="0.2">
      <c r="H243" s="94">
        <v>5</v>
      </c>
      <c r="I243" s="95">
        <v>104.9605448478208</v>
      </c>
      <c r="J243" s="95">
        <v>104.9605448478208</v>
      </c>
      <c r="K243" s="95">
        <v>112.83258571140735</v>
      </c>
      <c r="L243" s="96">
        <v>121.2950296397629</v>
      </c>
      <c r="M243" s="97">
        <v>130.39215686274511</v>
      </c>
      <c r="N243" s="95">
        <v>140.17156862745099</v>
      </c>
      <c r="O243" s="95">
        <v>150.68443627450978</v>
      </c>
      <c r="P243" s="95">
        <v>161.98576899509803</v>
      </c>
      <c r="Q243" s="95">
        <v>174.13470166973036</v>
      </c>
      <c r="R243" s="98">
        <v>187.19480429496014</v>
      </c>
      <c r="AC243" s="119">
        <v>14.829000000000001</v>
      </c>
      <c r="AD243" s="120"/>
      <c r="AG243" s="119"/>
      <c r="AH243" s="120"/>
      <c r="AK243" s="119"/>
      <c r="AL243" s="120"/>
    </row>
    <row r="244" spans="8:38" x14ac:dyDescent="0.2">
      <c r="H244" s="94">
        <v>10</v>
      </c>
      <c r="I244" s="95">
        <v>214.11951148955441</v>
      </c>
      <c r="J244" s="95">
        <v>214.11951148955441</v>
      </c>
      <c r="K244" s="95">
        <v>230.17847485127098</v>
      </c>
      <c r="L244" s="96">
        <v>247.44186046511629</v>
      </c>
      <c r="M244" s="97">
        <v>266</v>
      </c>
      <c r="N244" s="95">
        <v>285.95</v>
      </c>
      <c r="O244" s="95">
        <v>307.39624999999995</v>
      </c>
      <c r="P244" s="95">
        <v>330.45096874999996</v>
      </c>
      <c r="Q244" s="95">
        <v>355.23479140624994</v>
      </c>
      <c r="R244" s="98">
        <v>381.87740076171866</v>
      </c>
      <c r="AB244" s="110" t="s">
        <v>87</v>
      </c>
      <c r="AC244" s="111" t="s">
        <v>70</v>
      </c>
      <c r="AD244" s="116" t="s">
        <v>89</v>
      </c>
      <c r="AF244" s="110" t="s">
        <v>87</v>
      </c>
      <c r="AG244" s="111" t="s">
        <v>70</v>
      </c>
      <c r="AH244" s="116" t="s">
        <v>89</v>
      </c>
      <c r="AJ244" s="110" t="s">
        <v>87</v>
      </c>
      <c r="AK244" s="111" t="s">
        <v>70</v>
      </c>
      <c r="AL244" s="116" t="s">
        <v>89</v>
      </c>
    </row>
    <row r="245" spans="8:38" x14ac:dyDescent="0.2">
      <c r="H245" s="94">
        <v>40</v>
      </c>
      <c r="I245" s="95">
        <v>1006.5234982273666</v>
      </c>
      <c r="J245" s="95">
        <v>1006.5234982273666</v>
      </c>
      <c r="K245" s="95">
        <v>1081.9637088702812</v>
      </c>
      <c r="L245" s="96">
        <v>1163.0619353114143</v>
      </c>
      <c r="M245" s="97">
        <v>1250.2425287356323</v>
      </c>
      <c r="N245" s="95">
        <v>1343.9616666666668</v>
      </c>
      <c r="O245" s="95">
        <v>1444.7097399425286</v>
      </c>
      <c r="P245" s="95">
        <v>1553.0139187140805</v>
      </c>
      <c r="Q245" s="95">
        <v>1669.4409108934985</v>
      </c>
      <c r="R245" s="98">
        <v>1794.5999274863727</v>
      </c>
      <c r="AB245" s="112">
        <v>1</v>
      </c>
      <c r="AC245" s="113">
        <f>(AC$241*(AB245)^2)+(AC$242*(AB245)^1)+(AC$243)</f>
        <v>37.979399999999998</v>
      </c>
      <c r="AD245" s="4">
        <f>AC245*$AD$226</f>
        <v>39.422617199999998</v>
      </c>
      <c r="AF245" s="112">
        <v>1</v>
      </c>
      <c r="AG245" s="113">
        <f>(AG$241*(AF245)^1)+(AG$242)</f>
        <v>41.758000000000003</v>
      </c>
      <c r="AH245" s="4">
        <f>AG245*$AD$226</f>
        <v>43.344804000000003</v>
      </c>
      <c r="AJ245" s="112">
        <v>1</v>
      </c>
      <c r="AK245" s="113">
        <f>AG245</f>
        <v>41.758000000000003</v>
      </c>
      <c r="AL245" s="4"/>
    </row>
    <row r="246" spans="8:38" x14ac:dyDescent="0.2">
      <c r="H246" s="94">
        <v>40.1</v>
      </c>
      <c r="I246" s="99">
        <f t="shared" ref="I246" si="32">I245/I244</f>
        <v>4.7007556257967122</v>
      </c>
      <c r="J246" s="99">
        <f t="shared" ref="J246:R246" si="33">J245/J244</f>
        <v>4.7007556257967122</v>
      </c>
      <c r="K246" s="99">
        <f t="shared" si="33"/>
        <v>4.7005425227940547</v>
      </c>
      <c r="L246" s="99">
        <f t="shared" si="33"/>
        <v>4.7003442874427455</v>
      </c>
      <c r="M246" s="99">
        <f t="shared" si="33"/>
        <v>4.7001598824647832</v>
      </c>
      <c r="N246" s="99">
        <f t="shared" si="33"/>
        <v>4.6999883429503999</v>
      </c>
      <c r="O246" s="99">
        <f t="shared" si="33"/>
        <v>4.6998287713091127</v>
      </c>
      <c r="P246" s="99">
        <f t="shared" si="33"/>
        <v>4.6996803325730321</v>
      </c>
      <c r="Q246" s="99">
        <f t="shared" si="33"/>
        <v>4.6995422500278412</v>
      </c>
      <c r="R246" s="100">
        <f t="shared" si="33"/>
        <v>4.6994138011485926</v>
      </c>
      <c r="AA246" s="4">
        <f>M242</f>
        <v>63.917027270678389</v>
      </c>
      <c r="AB246" s="112">
        <v>2</v>
      </c>
      <c r="AC246" s="123">
        <f>(AC$241*(AB246)^2)+(AC$242*(AB246)^1)+(AC$243)</f>
        <v>61.526600000000002</v>
      </c>
      <c r="AD246" s="121">
        <f t="shared" ref="AD246:AD253" si="34">AC246*$AD$226</f>
        <v>63.864610800000001</v>
      </c>
      <c r="AF246" s="112">
        <v>2</v>
      </c>
      <c r="AG246" s="113">
        <f>(AG$241*(AF246)^1)+(AG$242)</f>
        <v>63.916000000000004</v>
      </c>
      <c r="AH246" s="121">
        <f>AG246*$AD$226</f>
        <v>66.344808</v>
      </c>
      <c r="AJ246" s="112">
        <v>2</v>
      </c>
      <c r="AK246" s="113">
        <f>AG246</f>
        <v>63.916000000000004</v>
      </c>
      <c r="AL246" s="121"/>
    </row>
    <row r="247" spans="8:38" ht="13.5" thickBot="1" x14ac:dyDescent="0.25">
      <c r="H247" s="101"/>
      <c r="I247" s="102"/>
      <c r="J247" s="102"/>
      <c r="K247" s="103">
        <v>1.0749921481916178</v>
      </c>
      <c r="L247" s="103">
        <v>1.0749926959388536</v>
      </c>
      <c r="M247" s="103">
        <v>1.0749932054783498</v>
      </c>
      <c r="N247" s="103">
        <v>1.0749936794747952</v>
      </c>
      <c r="O247" s="103">
        <v>1.0749941204071005</v>
      </c>
      <c r="P247" s="103">
        <v>1.0749945305813418</v>
      </c>
      <c r="Q247" s="103">
        <v>1.0749949121428042</v>
      </c>
      <c r="R247" s="104">
        <v>1.0749952670871847</v>
      </c>
      <c r="AA247" s="64"/>
      <c r="AB247" s="112">
        <v>3</v>
      </c>
      <c r="AC247" s="113">
        <f t="shared" ref="AC247:AC252" si="35">(AC$241*(AB247)^2)+(AC$242*(AB247)^1)+(AC$243)</f>
        <v>85.470600000000019</v>
      </c>
      <c r="AD247" s="4">
        <f t="shared" si="34"/>
        <v>88.718482800000018</v>
      </c>
      <c r="AF247" s="112">
        <v>3</v>
      </c>
      <c r="AG247" s="113">
        <f>(AG$241*(AF247)^1)+(AG$242)</f>
        <v>86.074000000000012</v>
      </c>
      <c r="AH247" s="4">
        <f>AG247*$AD$226</f>
        <v>89.344812000000019</v>
      </c>
      <c r="AJ247" s="112">
        <v>3</v>
      </c>
      <c r="AK247" s="113">
        <f>AG247</f>
        <v>86.074000000000012</v>
      </c>
      <c r="AL247" s="4"/>
    </row>
    <row r="248" spans="8:38" ht="13.5" thickTop="1" x14ac:dyDescent="0.2">
      <c r="AA248" s="64"/>
      <c r="AB248" s="112">
        <v>4</v>
      </c>
      <c r="AC248" s="113">
        <f t="shared" si="35"/>
        <v>109.81140000000002</v>
      </c>
      <c r="AD248" s="4">
        <f t="shared" si="34"/>
        <v>113.98423320000002</v>
      </c>
      <c r="AF248" s="112">
        <v>4</v>
      </c>
      <c r="AG248" s="113">
        <f>(AG$241*(AF248)^1)+(AG$242)</f>
        <v>108.232</v>
      </c>
      <c r="AH248" s="4">
        <f>AG248*$AD$226</f>
        <v>112.34481600000001</v>
      </c>
      <c r="AJ248" s="112">
        <v>4</v>
      </c>
      <c r="AK248" s="113">
        <f>AG248</f>
        <v>108.232</v>
      </c>
      <c r="AL248" s="4"/>
    </row>
    <row r="249" spans="8:38" x14ac:dyDescent="0.2">
      <c r="AA249" s="4">
        <f>M243</f>
        <v>130.39215686274511</v>
      </c>
      <c r="AB249" s="112">
        <v>5</v>
      </c>
      <c r="AC249" s="114">
        <f t="shared" si="35"/>
        <v>134.54900000000001</v>
      </c>
      <c r="AD249" s="122">
        <f t="shared" si="34"/>
        <v>139.66186200000001</v>
      </c>
      <c r="AF249" s="112">
        <v>5</v>
      </c>
      <c r="AG249" s="114">
        <f>(AG$241*(AF249)^1)+(AG$242)</f>
        <v>130.39000000000001</v>
      </c>
      <c r="AH249" s="122">
        <f>AG249*$AD$226</f>
        <v>135.34482000000003</v>
      </c>
      <c r="AJ249" s="112">
        <v>5</v>
      </c>
      <c r="AK249" s="114">
        <f>AG249</f>
        <v>130.39000000000001</v>
      </c>
      <c r="AL249" s="122"/>
    </row>
    <row r="250" spans="8:38" x14ac:dyDescent="0.2">
      <c r="AA250" s="4">
        <f>M244</f>
        <v>266</v>
      </c>
      <c r="AB250" s="112">
        <v>10</v>
      </c>
      <c r="AC250" s="113">
        <f t="shared" si="35"/>
        <v>264.18900000000002</v>
      </c>
      <c r="AD250" s="4">
        <f t="shared" si="34"/>
        <v>274.228182</v>
      </c>
      <c r="AF250" s="112">
        <v>10</v>
      </c>
      <c r="AG250" s="113"/>
      <c r="AH250" s="4"/>
      <c r="AJ250" s="112">
        <v>10</v>
      </c>
      <c r="AK250" s="123">
        <f>(AK$241*(AJ250)^1)+(AK$242)</f>
        <v>265.99899999999997</v>
      </c>
      <c r="AL250" s="121">
        <f>AK250*$AD$226</f>
        <v>276.10696199999995</v>
      </c>
    </row>
    <row r="251" spans="8:38" x14ac:dyDescent="0.2">
      <c r="AA251" s="64"/>
      <c r="AB251" s="112">
        <v>20</v>
      </c>
      <c r="AC251" s="123">
        <f t="shared" si="35"/>
        <v>553.22899999999993</v>
      </c>
      <c r="AD251" s="121">
        <f t="shared" si="34"/>
        <v>574.25170199999991</v>
      </c>
      <c r="AF251" s="112">
        <v>20</v>
      </c>
      <c r="AG251" s="113"/>
      <c r="AH251" s="121"/>
      <c r="AJ251" s="112">
        <v>20</v>
      </c>
      <c r="AK251" s="123">
        <f>(AK$241*(AJ251)^1)+(AK$242)</f>
        <v>594.07899999999995</v>
      </c>
      <c r="AL251" s="121">
        <f>AK251*$AD$226</f>
        <v>616.65400199999999</v>
      </c>
    </row>
    <row r="252" spans="8:38" x14ac:dyDescent="0.2">
      <c r="AA252" s="64"/>
      <c r="AB252" s="112">
        <v>30</v>
      </c>
      <c r="AC252" s="113">
        <f t="shared" si="35"/>
        <v>881.94900000000007</v>
      </c>
      <c r="AD252" s="4">
        <f t="shared" si="34"/>
        <v>915.46306200000015</v>
      </c>
      <c r="AF252" s="112">
        <v>30</v>
      </c>
      <c r="AG252" s="113"/>
      <c r="AH252" s="121"/>
      <c r="AJ252" s="112">
        <v>30</v>
      </c>
      <c r="AK252" s="123">
        <f>(AK$241*(AJ252)^1)+(AK$242)</f>
        <v>922.15899999999999</v>
      </c>
      <c r="AL252" s="121">
        <f>AK252*$AD$226</f>
        <v>957.20104200000003</v>
      </c>
    </row>
    <row r="253" spans="8:38" x14ac:dyDescent="0.2">
      <c r="AA253" s="4">
        <f>M245</f>
        <v>1250.2425287356323</v>
      </c>
      <c r="AB253" s="112">
        <v>40</v>
      </c>
      <c r="AC253" s="114">
        <f>(AC$241*(AB253)^2)+(AC$242*(AB253)^1)+(AC$243)</f>
        <v>1250.3489999999999</v>
      </c>
      <c r="AD253" s="122">
        <f t="shared" si="34"/>
        <v>1297.8622619999999</v>
      </c>
      <c r="AF253" s="112">
        <v>40</v>
      </c>
      <c r="AG253" s="113"/>
      <c r="AH253" s="121"/>
      <c r="AJ253" s="112">
        <v>40</v>
      </c>
      <c r="AK253" s="114">
        <f>(AK$241*(AJ253)^1)+(AK$242)</f>
        <v>1250.239</v>
      </c>
      <c r="AL253" s="122">
        <f>AK253*$AD$226</f>
        <v>1297.7480820000001</v>
      </c>
    </row>
    <row r="254" spans="8:38" x14ac:dyDescent="0.2">
      <c r="AB254" s="115"/>
      <c r="AF254" s="115"/>
      <c r="AH254" s="121"/>
      <c r="AJ254" s="112">
        <v>50</v>
      </c>
      <c r="AK254" s="123">
        <f>(AK$241*(AJ254)^1)+(AK$242)</f>
        <v>1578.3190000000002</v>
      </c>
      <c r="AL254" s="121">
        <f>AK254*$AD$226</f>
        <v>1638.2951220000002</v>
      </c>
    </row>
    <row r="255" spans="8:38" x14ac:dyDescent="0.2">
      <c r="AB255" s="118" t="s">
        <v>88</v>
      </c>
      <c r="AC255" s="117">
        <f>AC253/AC250</f>
        <v>4.7327822127340644</v>
      </c>
      <c r="AF255" s="118" t="s">
        <v>88</v>
      </c>
      <c r="AG255" s="117"/>
      <c r="AJ255" s="118" t="s">
        <v>88</v>
      </c>
      <c r="AK255" s="117">
        <f>AK253/AK250</f>
        <v>4.700164286331904</v>
      </c>
    </row>
  </sheetData>
  <phoneticPr fontId="0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"/>
  <sheetViews>
    <sheetView showGridLines="0" tabSelected="1" zoomScale="90" workbookViewId="0">
      <selection activeCell="C22" sqref="C22"/>
    </sheetView>
  </sheetViews>
  <sheetFormatPr defaultRowHeight="12.75" x14ac:dyDescent="0.2"/>
  <cols>
    <col min="4" max="4" width="9.140625" customWidth="1"/>
    <col min="13" max="13" width="9.28515625" customWidth="1"/>
  </cols>
  <sheetData>
    <row r="1" spans="1:30" x14ac:dyDescent="0.2">
      <c r="X1" s="106"/>
    </row>
    <row r="2" spans="1:30" x14ac:dyDescent="0.2">
      <c r="A2" s="105" t="s">
        <v>103</v>
      </c>
      <c r="X2" s="106"/>
    </row>
    <row r="3" spans="1:30" x14ac:dyDescent="0.2">
      <c r="A3" s="105" t="s">
        <v>106</v>
      </c>
      <c r="X3" s="106"/>
    </row>
    <row r="4" spans="1:30" x14ac:dyDescent="0.2">
      <c r="A4" s="105" t="s">
        <v>104</v>
      </c>
      <c r="X4" s="107" t="s">
        <v>107</v>
      </c>
    </row>
    <row r="5" spans="1:30" x14ac:dyDescent="0.2">
      <c r="A5" s="105" t="s">
        <v>105</v>
      </c>
      <c r="X5" s="106"/>
      <c r="AB5" s="106"/>
    </row>
    <row r="7" spans="1:30" ht="13.5" thickBot="1" x14ac:dyDescent="0.25">
      <c r="AB7" s="105" t="s">
        <v>101</v>
      </c>
    </row>
    <row r="8" spans="1:30" ht="13.5" thickTop="1" x14ac:dyDescent="0.2">
      <c r="B8" s="89" t="s">
        <v>64</v>
      </c>
      <c r="C8" s="126" t="s">
        <v>108</v>
      </c>
      <c r="D8" s="126" t="s">
        <v>102</v>
      </c>
      <c r="E8" s="90" t="s">
        <v>73</v>
      </c>
      <c r="F8" s="90" t="s">
        <v>72</v>
      </c>
      <c r="G8" s="91" t="s">
        <v>71</v>
      </c>
      <c r="H8" s="90" t="s">
        <v>70</v>
      </c>
      <c r="I8" s="92" t="s">
        <v>74</v>
      </c>
      <c r="J8" s="92" t="s">
        <v>75</v>
      </c>
      <c r="K8" s="92" t="s">
        <v>76</v>
      </c>
      <c r="L8" s="92" t="s">
        <v>77</v>
      </c>
      <c r="M8" s="93" t="s">
        <v>78</v>
      </c>
      <c r="U8" s="119">
        <v>0.14299999999999999</v>
      </c>
      <c r="Y8" s="119">
        <v>25.000800000000002</v>
      </c>
      <c r="AC8" s="119">
        <v>31.495999999999999</v>
      </c>
    </row>
    <row r="9" spans="1:30" x14ac:dyDescent="0.2">
      <c r="B9" s="94">
        <v>2</v>
      </c>
      <c r="C9" s="95">
        <v>67.08410568849375</v>
      </c>
      <c r="D9" s="95">
        <v>72.115413615130777</v>
      </c>
      <c r="E9" s="95">
        <v>77.52406963626558</v>
      </c>
      <c r="F9" s="95">
        <v>83.338374858985489</v>
      </c>
      <c r="G9" s="96">
        <v>89.588273238571915</v>
      </c>
      <c r="H9" s="97">
        <v>96.30691399662733</v>
      </c>
      <c r="I9" s="95">
        <v>103.52945281153691</v>
      </c>
      <c r="J9" s="95">
        <v>111.29368203756471</v>
      </c>
      <c r="K9" s="95">
        <v>119.64022845554457</v>
      </c>
      <c r="L9" s="95">
        <v>128.61276585487292</v>
      </c>
      <c r="M9" s="98">
        <v>138.25824355915091</v>
      </c>
      <c r="U9" s="119">
        <v>24.356999999999999</v>
      </c>
      <c r="Y9" s="119">
        <v>46.29</v>
      </c>
      <c r="AC9" s="119">
        <v>-10.16</v>
      </c>
    </row>
    <row r="10" spans="1:30" x14ac:dyDescent="0.2">
      <c r="B10" s="94">
        <v>5</v>
      </c>
      <c r="C10" s="95">
        <v>119.34292925256632</v>
      </c>
      <c r="D10" s="95">
        <v>128.2936489465088</v>
      </c>
      <c r="E10" s="95">
        <v>137.91567261749694</v>
      </c>
      <c r="F10" s="95">
        <v>148.2593480638092</v>
      </c>
      <c r="G10" s="96">
        <v>159.3787991685949</v>
      </c>
      <c r="H10" s="97">
        <v>171.33220910623947</v>
      </c>
      <c r="I10" s="95">
        <v>184.18212478920745</v>
      </c>
      <c r="J10" s="95">
        <v>197.995784148398</v>
      </c>
      <c r="K10" s="95">
        <v>212.84546795952784</v>
      </c>
      <c r="L10" s="95">
        <v>228.80887805649243</v>
      </c>
      <c r="M10" s="98">
        <v>245.96954391072936</v>
      </c>
      <c r="U10" s="119">
        <v>46.637</v>
      </c>
      <c r="V10" s="120"/>
      <c r="Y10" s="119"/>
      <c r="Z10" s="120"/>
      <c r="AC10" s="119"/>
      <c r="AD10" s="120"/>
    </row>
    <row r="11" spans="1:30" x14ac:dyDescent="0.2">
      <c r="B11" s="94">
        <v>10</v>
      </c>
      <c r="C11" s="95">
        <v>212.31107114031548</v>
      </c>
      <c r="D11" s="95">
        <v>228.23440147583912</v>
      </c>
      <c r="E11" s="95">
        <v>245.35198158652705</v>
      </c>
      <c r="F11" s="95">
        <v>263.75338020551658</v>
      </c>
      <c r="G11" s="96">
        <v>283.53488372093028</v>
      </c>
      <c r="H11" s="97">
        <v>304.8</v>
      </c>
      <c r="I11" s="95">
        <v>327.66000000000003</v>
      </c>
      <c r="J11" s="95">
        <v>352.23450000000003</v>
      </c>
      <c r="K11" s="95">
        <v>378.65208749999999</v>
      </c>
      <c r="L11" s="95">
        <v>407.05099406249997</v>
      </c>
      <c r="M11" s="98">
        <v>437.57981861718747</v>
      </c>
      <c r="T11" s="110" t="s">
        <v>87</v>
      </c>
      <c r="U11" s="111" t="s">
        <v>70</v>
      </c>
      <c r="V11" s="116" t="s">
        <v>89</v>
      </c>
      <c r="X11" s="110" t="s">
        <v>87</v>
      </c>
      <c r="Y11" s="111" t="s">
        <v>70</v>
      </c>
      <c r="Z11" s="116" t="s">
        <v>89</v>
      </c>
      <c r="AB11" s="110" t="s">
        <v>87</v>
      </c>
      <c r="AC11" s="111" t="s">
        <v>70</v>
      </c>
      <c r="AD11" s="116" t="s">
        <v>89</v>
      </c>
    </row>
    <row r="12" spans="1:30" x14ac:dyDescent="0.2">
      <c r="A12">
        <f>C12/1.075</f>
        <v>809.7445503956219</v>
      </c>
      <c r="B12" s="94">
        <v>40</v>
      </c>
      <c r="C12" s="95">
        <v>870.47539167529351</v>
      </c>
      <c r="D12" s="95">
        <v>935.76104605094042</v>
      </c>
      <c r="E12" s="95">
        <v>1005.9431245047609</v>
      </c>
      <c r="F12" s="95">
        <v>1081.388858842618</v>
      </c>
      <c r="G12" s="96">
        <v>1162.493023255814</v>
      </c>
      <c r="H12" s="97">
        <v>1249.68</v>
      </c>
      <c r="I12" s="95">
        <v>1343.4059999999999</v>
      </c>
      <c r="J12" s="95">
        <v>1444.1614500000001</v>
      </c>
      <c r="K12" s="95">
        <v>1552.4735587499999</v>
      </c>
      <c r="L12" s="95">
        <v>1668.9090756562498</v>
      </c>
      <c r="M12" s="98">
        <v>1794.0772563304686</v>
      </c>
      <c r="N12">
        <f>M12*1.075</f>
        <v>1928.6330505552537</v>
      </c>
      <c r="T12" s="112">
        <v>1</v>
      </c>
      <c r="U12" s="113">
        <f>(U$8*(T12)^2)+(U$9*(T12)^1)+(U$10)</f>
        <v>71.137</v>
      </c>
      <c r="V12" s="4">
        <f>U12*$V$27</f>
        <v>73.840206000000009</v>
      </c>
      <c r="X12" s="112">
        <v>1</v>
      </c>
      <c r="Y12" s="113">
        <f>(Y$8*(X12)^1)+(Y$9)</f>
        <v>71.290800000000004</v>
      </c>
      <c r="Z12" s="4">
        <f>Y12*$V$27</f>
        <v>73.999850400000014</v>
      </c>
      <c r="AB12" s="112">
        <v>1</v>
      </c>
      <c r="AC12" s="113">
        <f>Y12</f>
        <v>71.290800000000004</v>
      </c>
      <c r="AD12" s="4"/>
    </row>
    <row r="13" spans="1:30" x14ac:dyDescent="0.2">
      <c r="B13" s="94">
        <v>40.1</v>
      </c>
      <c r="C13" s="99">
        <v>4.1000000000000005</v>
      </c>
      <c r="D13" s="99">
        <v>4.1000000000000005</v>
      </c>
      <c r="E13" s="99">
        <v>4.1000000000000005</v>
      </c>
      <c r="F13" s="99">
        <f t="shared" ref="F13:M13" si="0">F12/F11</f>
        <v>4.0999999999999996</v>
      </c>
      <c r="G13" s="99">
        <f t="shared" si="0"/>
        <v>4.0999999999999996</v>
      </c>
      <c r="H13" s="99">
        <f t="shared" si="0"/>
        <v>4.0999999999999996</v>
      </c>
      <c r="I13" s="99">
        <f t="shared" si="0"/>
        <v>4.0999999999999996</v>
      </c>
      <c r="J13" s="99">
        <f t="shared" si="0"/>
        <v>4.0999999999999996</v>
      </c>
      <c r="K13" s="99">
        <f t="shared" si="0"/>
        <v>4.0999999999999996</v>
      </c>
      <c r="L13" s="99">
        <f t="shared" si="0"/>
        <v>4.0999999999999996</v>
      </c>
      <c r="M13" s="100">
        <f t="shared" si="0"/>
        <v>4.0999999999999996</v>
      </c>
      <c r="S13" s="4">
        <f>H9</f>
        <v>96.30691399662733</v>
      </c>
      <c r="T13" s="112">
        <v>2</v>
      </c>
      <c r="U13" s="123">
        <f t="shared" ref="U13:U20" si="1">(U$8*(T13)^2)+(U$9*(T13)^1)+(U$10)</f>
        <v>95.923000000000002</v>
      </c>
      <c r="V13" s="121">
        <f t="shared" ref="V13:V21" si="2">U13*$V$27</f>
        <v>99.56807400000001</v>
      </c>
      <c r="X13" s="112">
        <v>2</v>
      </c>
      <c r="Y13" s="113">
        <f t="shared" ref="Y13:Y16" si="3">(Y$8*(X13)^1)+(Y$9)</f>
        <v>96.291600000000003</v>
      </c>
      <c r="Z13" s="121">
        <f>Y13*$V$27</f>
        <v>99.950680800000001</v>
      </c>
      <c r="AB13" s="112">
        <v>2</v>
      </c>
      <c r="AC13" s="113">
        <f>Y13</f>
        <v>96.291600000000003</v>
      </c>
      <c r="AD13" s="121"/>
    </row>
    <row r="14" spans="1:30" ht="13.5" thickBot="1" x14ac:dyDescent="0.25">
      <c r="B14" s="101"/>
      <c r="C14" s="102"/>
      <c r="D14" s="102"/>
      <c r="E14" s="102"/>
      <c r="F14" s="103">
        <v>1.0749938118305944</v>
      </c>
      <c r="G14" s="103">
        <v>1.0749942435302069</v>
      </c>
      <c r="H14" s="103">
        <v>1.074994645115704</v>
      </c>
      <c r="I14" s="103">
        <v>1.0749950186874695</v>
      </c>
      <c r="J14" s="103">
        <v>1.0749953661994298</v>
      </c>
      <c r="K14" s="103">
        <v>1.0749956894692609</v>
      </c>
      <c r="L14" s="103">
        <v>1.0749959901878849</v>
      </c>
      <c r="M14" s="104">
        <v>1.0749962699283053</v>
      </c>
      <c r="S14" s="64"/>
      <c r="T14" s="112">
        <v>3</v>
      </c>
      <c r="U14" s="113">
        <f t="shared" si="1"/>
        <v>120.995</v>
      </c>
      <c r="V14" s="4">
        <f t="shared" si="2"/>
        <v>125.59281000000001</v>
      </c>
      <c r="X14" s="112">
        <v>3</v>
      </c>
      <c r="Y14" s="113">
        <f t="shared" si="3"/>
        <v>121.29240000000001</v>
      </c>
      <c r="Z14" s="4">
        <f t="shared" ref="Z14:Z16" si="4">Y14*$V$27</f>
        <v>125.90151120000002</v>
      </c>
      <c r="AB14" s="112">
        <v>3</v>
      </c>
      <c r="AC14" s="113">
        <f>Y14</f>
        <v>121.29240000000001</v>
      </c>
      <c r="AD14" s="4"/>
    </row>
    <row r="15" spans="1:30" ht="13.5" thickTop="1" x14ac:dyDescent="0.2">
      <c r="A15" s="129" t="s">
        <v>109</v>
      </c>
      <c r="B15" s="128"/>
      <c r="C15" s="108"/>
      <c r="D15" s="108"/>
      <c r="E15" s="108"/>
      <c r="F15" s="109"/>
      <c r="G15" s="109"/>
      <c r="H15" s="109"/>
      <c r="I15" s="109"/>
      <c r="J15" s="109"/>
      <c r="K15" s="109"/>
      <c r="L15" s="109"/>
      <c r="M15" s="109"/>
      <c r="S15" s="64"/>
      <c r="T15" s="112">
        <v>4</v>
      </c>
      <c r="U15" s="113">
        <f t="shared" si="1"/>
        <v>146.35300000000001</v>
      </c>
      <c r="V15" s="4">
        <f t="shared" si="2"/>
        <v>151.91441400000002</v>
      </c>
      <c r="X15" s="112">
        <v>4</v>
      </c>
      <c r="Y15" s="113">
        <f t="shared" si="3"/>
        <v>146.29320000000001</v>
      </c>
      <c r="Z15" s="4">
        <f t="shared" si="4"/>
        <v>151.85234160000002</v>
      </c>
      <c r="AB15" s="112">
        <v>4</v>
      </c>
      <c r="AC15" s="113">
        <f>Y15</f>
        <v>146.29320000000001</v>
      </c>
      <c r="AD15" s="4"/>
    </row>
    <row r="16" spans="1:30" x14ac:dyDescent="0.2">
      <c r="B16" s="108"/>
      <c r="C16" s="108"/>
      <c r="D16" s="108"/>
      <c r="E16" s="108"/>
      <c r="F16" s="109"/>
      <c r="G16" s="109"/>
      <c r="H16" s="109"/>
      <c r="I16" s="109"/>
      <c r="J16" s="109"/>
      <c r="K16" s="109"/>
      <c r="L16" s="109"/>
      <c r="M16" s="109"/>
      <c r="S16" s="4">
        <f>H10</f>
        <v>171.33220910623947</v>
      </c>
      <c r="T16" s="112">
        <v>5</v>
      </c>
      <c r="U16" s="114">
        <f t="shared" si="1"/>
        <v>171.99700000000001</v>
      </c>
      <c r="V16" s="122">
        <f t="shared" si="2"/>
        <v>178.53288600000002</v>
      </c>
      <c r="X16" s="112">
        <v>5</v>
      </c>
      <c r="Y16" s="114">
        <f t="shared" si="3"/>
        <v>171.29400000000001</v>
      </c>
      <c r="Z16" s="122">
        <f t="shared" si="4"/>
        <v>177.80317200000002</v>
      </c>
      <c r="AB16" s="112">
        <v>5</v>
      </c>
      <c r="AC16" s="114">
        <f>Y16</f>
        <v>171.29400000000001</v>
      </c>
      <c r="AD16" s="122"/>
    </row>
    <row r="17" spans="2:30" x14ac:dyDescent="0.2">
      <c r="C17" s="127">
        <v>903.1</v>
      </c>
      <c r="D17" s="127">
        <v>970.9</v>
      </c>
      <c r="E17" s="127">
        <v>1043.7</v>
      </c>
      <c r="F17" s="127">
        <v>1121.9000000000001</v>
      </c>
      <c r="G17" s="127">
        <v>1206.0999999999999</v>
      </c>
      <c r="H17" s="127">
        <v>1296.5</v>
      </c>
      <c r="I17" s="127">
        <v>1393.8</v>
      </c>
      <c r="J17" s="127">
        <v>1498.3</v>
      </c>
      <c r="K17" s="127">
        <v>1610.7</v>
      </c>
      <c r="L17" s="127">
        <v>1731.5</v>
      </c>
      <c r="M17" s="127">
        <v>1861.4</v>
      </c>
      <c r="S17" s="4">
        <f>H11</f>
        <v>304.8</v>
      </c>
      <c r="T17" s="112">
        <v>10</v>
      </c>
      <c r="U17" s="113">
        <f t="shared" si="1"/>
        <v>304.50700000000001</v>
      </c>
      <c r="V17" s="4">
        <f t="shared" si="2"/>
        <v>316.07826600000004</v>
      </c>
      <c r="X17" s="112">
        <v>10</v>
      </c>
      <c r="Y17" s="113"/>
      <c r="Z17" s="4"/>
      <c r="AB17" s="112">
        <v>10</v>
      </c>
      <c r="AC17" s="123">
        <f>(AC$8*(AB17)^1)+(AC$9)</f>
        <v>304.79999999999995</v>
      </c>
      <c r="AD17" s="121">
        <f t="shared" ref="AD17:AD20" si="5">AC17*$V$27</f>
        <v>316.38239999999996</v>
      </c>
    </row>
    <row r="18" spans="2:30" x14ac:dyDescent="0.2">
      <c r="B18" s="108">
        <v>840.1</v>
      </c>
      <c r="C18" s="8">
        <v>903.11</v>
      </c>
      <c r="D18" s="8">
        <v>970.91</v>
      </c>
      <c r="E18" s="8">
        <v>1043.71</v>
      </c>
      <c r="F18" s="8">
        <v>1121.9100000000001</v>
      </c>
      <c r="G18" s="8">
        <v>1206.1099999999999</v>
      </c>
      <c r="H18" s="8">
        <v>1296.51</v>
      </c>
      <c r="I18" s="8">
        <v>1393.81</v>
      </c>
      <c r="J18" s="8">
        <v>1498.31</v>
      </c>
      <c r="K18" s="8">
        <v>1610.71</v>
      </c>
      <c r="L18" s="8">
        <v>1731.51</v>
      </c>
      <c r="M18" s="64"/>
      <c r="S18" s="64"/>
      <c r="T18" s="112">
        <v>20</v>
      </c>
      <c r="U18" s="123">
        <f t="shared" si="1"/>
        <v>590.97700000000009</v>
      </c>
      <c r="V18" s="121">
        <f t="shared" si="2"/>
        <v>613.43412600000011</v>
      </c>
      <c r="X18" s="112">
        <v>20</v>
      </c>
      <c r="Y18" s="113"/>
      <c r="Z18" s="121"/>
      <c r="AB18" s="112">
        <v>20</v>
      </c>
      <c r="AC18" s="123">
        <f>(AC$8*(AB18)^1)+(AC$9)</f>
        <v>619.76</v>
      </c>
      <c r="AD18" s="121">
        <f t="shared" si="5"/>
        <v>643.31088</v>
      </c>
    </row>
    <row r="19" spans="2:30" x14ac:dyDescent="0.2">
      <c r="B19" s="99">
        <f>(A12+C12)/2</f>
        <v>840.10997103545765</v>
      </c>
      <c r="C19" s="99">
        <f t="shared" ref="C19:M19" si="6">(C12+D12)/2</f>
        <v>903.11821886311691</v>
      </c>
      <c r="D19" s="99">
        <f t="shared" si="6"/>
        <v>970.85208527785062</v>
      </c>
      <c r="E19" s="99">
        <f t="shared" si="6"/>
        <v>1043.6659916736894</v>
      </c>
      <c r="F19" s="99">
        <f t="shared" si="6"/>
        <v>1121.940941049216</v>
      </c>
      <c r="G19" s="99">
        <f t="shared" si="6"/>
        <v>1206.0865116279069</v>
      </c>
      <c r="H19" s="99">
        <f t="shared" si="6"/>
        <v>1296.5430000000001</v>
      </c>
      <c r="I19" s="99">
        <f t="shared" si="6"/>
        <v>1393.783725</v>
      </c>
      <c r="J19" s="99">
        <f t="shared" si="6"/>
        <v>1498.317504375</v>
      </c>
      <c r="K19" s="99">
        <f t="shared" si="6"/>
        <v>1610.691317203125</v>
      </c>
      <c r="L19" s="99">
        <f t="shared" si="6"/>
        <v>1731.4931659933591</v>
      </c>
      <c r="M19" s="99">
        <f t="shared" si="6"/>
        <v>1861.3551534428611</v>
      </c>
      <c r="S19" s="64"/>
      <c r="T19" s="112">
        <v>30</v>
      </c>
      <c r="U19" s="113">
        <f t="shared" si="1"/>
        <v>906.04700000000003</v>
      </c>
      <c r="V19" s="4">
        <f t="shared" si="2"/>
        <v>940.47678600000006</v>
      </c>
      <c r="X19" s="112">
        <v>30</v>
      </c>
      <c r="Y19" s="113"/>
      <c r="Z19" s="121"/>
      <c r="AB19" s="112">
        <v>30</v>
      </c>
      <c r="AC19" s="123">
        <f>(AC$8*(AB19)^1)+(AC$9)</f>
        <v>934.72</v>
      </c>
      <c r="AD19" s="121">
        <f t="shared" si="5"/>
        <v>970.23936000000003</v>
      </c>
    </row>
    <row r="20" spans="2:30" x14ac:dyDescent="0.2">
      <c r="B20" s="108"/>
      <c r="C20" s="108"/>
      <c r="D20" s="108"/>
      <c r="E20" s="108"/>
      <c r="F20" s="109"/>
      <c r="G20" s="109"/>
      <c r="H20" s="109"/>
      <c r="I20" s="109"/>
      <c r="J20" s="109"/>
      <c r="K20" s="109"/>
      <c r="L20" s="109"/>
      <c r="M20" s="109"/>
      <c r="S20" s="4">
        <f>H12</f>
        <v>1249.68</v>
      </c>
      <c r="T20" s="112">
        <v>40</v>
      </c>
      <c r="U20" s="114">
        <f t="shared" si="1"/>
        <v>1249.7169999999999</v>
      </c>
      <c r="V20" s="122">
        <f t="shared" si="2"/>
        <v>1297.206246</v>
      </c>
      <c r="X20" s="112">
        <v>40</v>
      </c>
      <c r="Y20" s="113"/>
      <c r="Z20" s="121"/>
      <c r="AB20" s="112">
        <v>40</v>
      </c>
      <c r="AC20" s="114">
        <f>(AC$8*(AB20)^1)+(AC$9)</f>
        <v>1249.6799999999998</v>
      </c>
      <c r="AD20" s="122">
        <f t="shared" si="5"/>
        <v>1297.1678399999998</v>
      </c>
    </row>
    <row r="21" spans="2:30" x14ac:dyDescent="0.2">
      <c r="B21" s="108"/>
      <c r="C21" s="108"/>
      <c r="D21" s="108"/>
      <c r="E21" s="108"/>
      <c r="F21" s="108"/>
      <c r="G21" s="109"/>
      <c r="H21" s="109"/>
      <c r="I21" s="109"/>
      <c r="J21" s="109"/>
      <c r="K21" s="109"/>
      <c r="L21" s="109"/>
      <c r="M21" s="109"/>
      <c r="T21" s="112">
        <v>50</v>
      </c>
      <c r="U21" s="113">
        <f>(U$8*(T21)^2)+(U$9*(T21)^1)+(U$10)</f>
        <v>1621.9869999999999</v>
      </c>
      <c r="V21" s="4">
        <f t="shared" si="2"/>
        <v>1683.6225059999999</v>
      </c>
      <c r="X21" s="115"/>
      <c r="Z21" s="121"/>
      <c r="AB21" s="112">
        <v>50</v>
      </c>
      <c r="AC21" s="123">
        <f>(AC$8*(AB21)^1)+(AC$9)</f>
        <v>1564.6399999999999</v>
      </c>
      <c r="AD21" s="121">
        <f>AC21*$V$27</f>
        <v>1624.0963199999999</v>
      </c>
    </row>
    <row r="22" spans="2:30" x14ac:dyDescent="0.2">
      <c r="B22" s="108"/>
      <c r="C22" s="108"/>
      <c r="D22" s="108"/>
      <c r="E22" s="108"/>
      <c r="F22" s="109"/>
      <c r="G22" s="109"/>
      <c r="H22" s="109"/>
      <c r="I22" s="109"/>
      <c r="J22" s="109"/>
      <c r="K22" s="109"/>
      <c r="L22" s="109"/>
      <c r="M22" s="109"/>
      <c r="T22" s="118" t="s">
        <v>88</v>
      </c>
      <c r="U22" s="117">
        <f>U20/U17</f>
        <v>4.1040665731822248</v>
      </c>
      <c r="X22" s="118" t="s">
        <v>88</v>
      </c>
      <c r="Y22" s="117"/>
      <c r="AB22" s="118" t="s">
        <v>88</v>
      </c>
      <c r="AC22" s="117">
        <f>AC20/AC17</f>
        <v>4.0999999999999996</v>
      </c>
    </row>
    <row r="24" spans="2:30" ht="13.5" thickBot="1" x14ac:dyDescent="0.25"/>
    <row r="25" spans="2:30" ht="13.5" thickTop="1" x14ac:dyDescent="0.2">
      <c r="B25" s="89" t="s">
        <v>64</v>
      </c>
      <c r="C25" s="126" t="s">
        <v>108</v>
      </c>
      <c r="D25" s="126" t="s">
        <v>102</v>
      </c>
      <c r="E25" s="90" t="s">
        <v>73</v>
      </c>
      <c r="F25" s="90" t="s">
        <v>72</v>
      </c>
      <c r="G25" s="91" t="s">
        <v>71</v>
      </c>
      <c r="H25" s="90" t="s">
        <v>70</v>
      </c>
      <c r="I25" s="92" t="s">
        <v>74</v>
      </c>
      <c r="J25" s="92" t="s">
        <v>75</v>
      </c>
      <c r="K25" s="92" t="s">
        <v>76</v>
      </c>
      <c r="L25" s="92" t="s">
        <v>77</v>
      </c>
      <c r="M25" s="93" t="s">
        <v>78</v>
      </c>
      <c r="U25" s="119">
        <v>0.17069999999999999</v>
      </c>
      <c r="Y25" s="119">
        <v>23.582999999999998</v>
      </c>
      <c r="AC25" s="119">
        <v>32.152000000000001</v>
      </c>
    </row>
    <row r="26" spans="2:30" x14ac:dyDescent="0.2">
      <c r="B26" s="94">
        <v>2</v>
      </c>
      <c r="C26" s="95">
        <v>55.803323348753985</v>
      </c>
      <c r="D26" s="95">
        <v>59.988572599910533</v>
      </c>
      <c r="E26" s="95">
        <v>64.487715544903821</v>
      </c>
      <c r="F26" s="95">
        <v>69.324294210771612</v>
      </c>
      <c r="G26" s="96">
        <v>74.523174414569809</v>
      </c>
      <c r="H26" s="97">
        <v>80.111970633652859</v>
      </c>
      <c r="I26" s="95">
        <v>86.119926569167149</v>
      </c>
      <c r="J26" s="95">
        <v>92.578479199845006</v>
      </c>
      <c r="K26" s="95">
        <v>99.521423277823686</v>
      </c>
      <c r="L26" s="95">
        <v>106.98508816165079</v>
      </c>
      <c r="M26" s="98">
        <v>115.00852791176492</v>
      </c>
      <c r="U26" s="119">
        <v>23.655000000000001</v>
      </c>
      <c r="Y26" s="119">
        <v>32.945</v>
      </c>
      <c r="AC26" s="119">
        <v>-36.119999999999997</v>
      </c>
    </row>
    <row r="27" spans="2:30" x14ac:dyDescent="0.2">
      <c r="B27" s="94">
        <v>5</v>
      </c>
      <c r="C27" s="95">
        <v>105.08435585303094</v>
      </c>
      <c r="D27" s="95">
        <v>112.96568254200825</v>
      </c>
      <c r="E27" s="95">
        <v>121.43810873265886</v>
      </c>
      <c r="F27" s="95">
        <v>130.54596688760827</v>
      </c>
      <c r="G27" s="96">
        <v>140.33691440417891</v>
      </c>
      <c r="H27" s="97">
        <v>150.86218298449228</v>
      </c>
      <c r="I27" s="95">
        <v>162.17684670832921</v>
      </c>
      <c r="J27" s="95">
        <v>174.34011021145389</v>
      </c>
      <c r="K27" s="95">
        <v>187.41561847731293</v>
      </c>
      <c r="L27" s="95">
        <v>201.47178986311138</v>
      </c>
      <c r="M27" s="98">
        <v>216.58217410284476</v>
      </c>
      <c r="U27" s="119">
        <v>30.733000000000001</v>
      </c>
      <c r="V27" s="120">
        <v>1.038</v>
      </c>
      <c r="Y27" s="119"/>
      <c r="Z27" s="120"/>
      <c r="AC27" s="119"/>
      <c r="AD27" s="120"/>
    </row>
    <row r="28" spans="2:30" x14ac:dyDescent="0.2">
      <c r="B28" s="94">
        <v>10</v>
      </c>
      <c r="C28" s="95">
        <v>198.79783367272319</v>
      </c>
      <c r="D28" s="95">
        <v>213.70767119817742</v>
      </c>
      <c r="E28" s="95">
        <v>229.73574653804073</v>
      </c>
      <c r="F28" s="95">
        <v>246.96592752839376</v>
      </c>
      <c r="G28" s="96">
        <v>265.48837209302326</v>
      </c>
      <c r="H28" s="97">
        <v>285.39999999999998</v>
      </c>
      <c r="I28" s="95">
        <v>306.80500000000001</v>
      </c>
      <c r="J28" s="95">
        <v>329.81537500000002</v>
      </c>
      <c r="K28" s="95">
        <v>354.551528125</v>
      </c>
      <c r="L28" s="95">
        <v>381.14289273437498</v>
      </c>
      <c r="M28" s="98">
        <v>409.72860968945304</v>
      </c>
      <c r="T28" s="110" t="s">
        <v>87</v>
      </c>
      <c r="U28" s="111" t="s">
        <v>70</v>
      </c>
      <c r="V28" s="116" t="s">
        <v>89</v>
      </c>
      <c r="X28" s="110" t="s">
        <v>87</v>
      </c>
      <c r="Y28" s="111" t="s">
        <v>70</v>
      </c>
      <c r="Z28" s="116" t="s">
        <v>89</v>
      </c>
      <c r="AB28" s="110" t="s">
        <v>87</v>
      </c>
      <c r="AC28" s="111" t="s">
        <v>70</v>
      </c>
      <c r="AD28" s="116" t="s">
        <v>89</v>
      </c>
    </row>
    <row r="29" spans="2:30" x14ac:dyDescent="0.2">
      <c r="B29" s="94">
        <v>40</v>
      </c>
      <c r="C29" s="95">
        <v>870.70675747811867</v>
      </c>
      <c r="D29" s="95">
        <v>936.00976428897752</v>
      </c>
      <c r="E29" s="95">
        <v>1006.2104966106508</v>
      </c>
      <c r="F29" s="95">
        <v>1081.6762838564496</v>
      </c>
      <c r="G29" s="96">
        <v>1162.7774792836142</v>
      </c>
      <c r="H29" s="97">
        <v>1249.9612643678161</v>
      </c>
      <c r="I29" s="95">
        <v>1343.6838333333335</v>
      </c>
      <c r="J29" s="95">
        <v>1444.4355949712644</v>
      </c>
      <c r="K29" s="95">
        <v>1552.7437387320401</v>
      </c>
      <c r="L29" s="95">
        <v>1669.1749932748742</v>
      </c>
      <c r="M29" s="98">
        <v>1794.3385919084208</v>
      </c>
      <c r="T29" s="112">
        <v>1</v>
      </c>
      <c r="U29" s="113">
        <f>(U$25*(T29)^2)+(U$26*(T29)^1)+(U$27)</f>
        <v>54.558700000000002</v>
      </c>
      <c r="V29" s="4">
        <f>U29*$V$27</f>
        <v>56.631930600000004</v>
      </c>
      <c r="X29" s="112">
        <v>1</v>
      </c>
      <c r="Y29" s="113">
        <f>(Y$25*(X29)^1)+(Y$26)</f>
        <v>56.527999999999999</v>
      </c>
      <c r="Z29" s="4">
        <f>Y29*$V$27</f>
        <v>58.676064000000004</v>
      </c>
      <c r="AB29" s="112">
        <v>1</v>
      </c>
      <c r="AC29" s="113">
        <f>Y29</f>
        <v>56.527999999999999</v>
      </c>
      <c r="AD29" s="4"/>
    </row>
    <row r="30" spans="2:30" x14ac:dyDescent="0.2">
      <c r="B30" s="94">
        <v>40.1</v>
      </c>
      <c r="C30" s="99">
        <v>4.1000000000000005</v>
      </c>
      <c r="D30" s="99">
        <v>4.1000000000000005</v>
      </c>
      <c r="E30" s="99">
        <v>4.1000000000000005</v>
      </c>
      <c r="F30" s="99">
        <f t="shared" ref="F30:M30" si="7">F29/F28</f>
        <v>4.379860390790502</v>
      </c>
      <c r="G30" s="99">
        <f t="shared" si="7"/>
        <v>4.3797680106162762</v>
      </c>
      <c r="H30" s="99">
        <f t="shared" si="7"/>
        <v>4.3796820755704839</v>
      </c>
      <c r="I30" s="99">
        <f t="shared" si="7"/>
        <v>4.3796021359930037</v>
      </c>
      <c r="J30" s="99">
        <f t="shared" si="7"/>
        <v>4.3795277735953464</v>
      </c>
      <c r="K30" s="99">
        <f t="shared" si="7"/>
        <v>4.3794585992719446</v>
      </c>
      <c r="L30" s="99">
        <f t="shared" si="7"/>
        <v>4.3793942510641299</v>
      </c>
      <c r="M30" s="100">
        <f t="shared" si="7"/>
        <v>4.3793343922661627</v>
      </c>
      <c r="S30" s="4">
        <f>H26</f>
        <v>80.111970633652859</v>
      </c>
      <c r="T30" s="112">
        <v>2</v>
      </c>
      <c r="U30" s="123">
        <f t="shared" ref="U30:U37" si="8">(U$25*(T30)^2)+(U$26*(T30)^1)+(U$27)</f>
        <v>78.725800000000007</v>
      </c>
      <c r="V30" s="121">
        <f t="shared" ref="V30:V37" si="9">U30*$V$27</f>
        <v>81.71738040000001</v>
      </c>
      <c r="X30" s="112">
        <v>2</v>
      </c>
      <c r="Y30" s="113">
        <f>(Y$25*(X30)^1)+(Y$26)</f>
        <v>80.11099999999999</v>
      </c>
      <c r="Z30" s="121">
        <f>Y30*$V$27</f>
        <v>83.155217999999991</v>
      </c>
      <c r="AB30" s="112">
        <v>2</v>
      </c>
      <c r="AC30" s="113">
        <f>Y30</f>
        <v>80.11099999999999</v>
      </c>
      <c r="AD30" s="121"/>
    </row>
    <row r="31" spans="2:30" ht="13.5" thickBot="1" x14ac:dyDescent="0.25">
      <c r="B31" s="101"/>
      <c r="C31" s="102"/>
      <c r="D31" s="102"/>
      <c r="E31" s="102"/>
      <c r="F31" s="103">
        <v>1.0749938118305944</v>
      </c>
      <c r="G31" s="103">
        <v>1.0749942435302069</v>
      </c>
      <c r="H31" s="103">
        <v>1.074994645115704</v>
      </c>
      <c r="I31" s="103">
        <v>1.0749950186874695</v>
      </c>
      <c r="J31" s="103">
        <v>1.0749953661994298</v>
      </c>
      <c r="K31" s="103">
        <v>1.0749956894692609</v>
      </c>
      <c r="L31" s="103">
        <v>1.0749959901878849</v>
      </c>
      <c r="M31" s="104">
        <v>1.0749962699283053</v>
      </c>
      <c r="S31" s="64"/>
      <c r="T31" s="112">
        <v>3</v>
      </c>
      <c r="U31" s="113">
        <f t="shared" si="8"/>
        <v>103.2343</v>
      </c>
      <c r="V31" s="4">
        <f t="shared" si="9"/>
        <v>107.15720340000001</v>
      </c>
      <c r="X31" s="112">
        <v>3</v>
      </c>
      <c r="Y31" s="113">
        <f>(Y$25*(X31)^1)+(Y$26)</f>
        <v>103.69399999999999</v>
      </c>
      <c r="Z31" s="4">
        <f>Y31*$V$27</f>
        <v>107.63437199999998</v>
      </c>
      <c r="AB31" s="112">
        <v>3</v>
      </c>
      <c r="AC31" s="113">
        <f>Y31</f>
        <v>103.69399999999999</v>
      </c>
      <c r="AD31" s="4"/>
    </row>
    <row r="32" spans="2:30" ht="13.5" thickTop="1" x14ac:dyDescent="0.2">
      <c r="B32" s="108"/>
      <c r="C32" s="108"/>
      <c r="D32" s="108"/>
      <c r="E32" s="108"/>
      <c r="F32" s="109"/>
      <c r="G32" s="109"/>
      <c r="H32" s="109"/>
      <c r="I32" s="109"/>
      <c r="J32" s="109"/>
      <c r="K32" s="109"/>
      <c r="L32" s="109"/>
      <c r="M32" s="109"/>
      <c r="S32" s="64"/>
      <c r="T32" s="112">
        <v>4</v>
      </c>
      <c r="U32" s="113">
        <f t="shared" si="8"/>
        <v>128.08420000000001</v>
      </c>
      <c r="V32" s="4">
        <f t="shared" si="9"/>
        <v>132.9513996</v>
      </c>
      <c r="X32" s="112">
        <v>4</v>
      </c>
      <c r="Y32" s="113">
        <f>(Y$25*(X32)^1)+(Y$26)</f>
        <v>127.27699999999999</v>
      </c>
      <c r="Z32" s="4">
        <f>Y32*$V$27</f>
        <v>132.11352599999998</v>
      </c>
      <c r="AB32" s="112">
        <v>4</v>
      </c>
      <c r="AC32" s="113">
        <f>Y32</f>
        <v>127.27699999999999</v>
      </c>
      <c r="AD32" s="4"/>
    </row>
    <row r="33" spans="2:30" x14ac:dyDescent="0.2">
      <c r="B33" s="108"/>
      <c r="C33" s="108"/>
      <c r="D33" s="108"/>
      <c r="E33" s="108"/>
      <c r="F33" s="109"/>
      <c r="G33" s="109"/>
      <c r="H33" s="109"/>
      <c r="I33" s="109"/>
      <c r="J33" s="109"/>
      <c r="K33" s="109"/>
      <c r="L33" s="109"/>
      <c r="M33" s="109"/>
      <c r="S33" s="4">
        <f>H27</f>
        <v>150.86218298449228</v>
      </c>
      <c r="T33" s="112">
        <v>5</v>
      </c>
      <c r="U33" s="114">
        <f t="shared" si="8"/>
        <v>153.27549999999999</v>
      </c>
      <c r="V33" s="122">
        <f t="shared" si="9"/>
        <v>159.09996899999999</v>
      </c>
      <c r="X33" s="112">
        <v>5</v>
      </c>
      <c r="Y33" s="114">
        <f>(Y$25*(X33)^1)+(Y$26)</f>
        <v>150.85999999999999</v>
      </c>
      <c r="Z33" s="122">
        <f>Y33*$V$27</f>
        <v>156.59268</v>
      </c>
      <c r="AB33" s="112">
        <v>5</v>
      </c>
      <c r="AC33" s="114">
        <f>Y33</f>
        <v>150.85999999999999</v>
      </c>
      <c r="AD33" s="122"/>
    </row>
    <row r="34" spans="2:30" x14ac:dyDescent="0.2">
      <c r="B34" s="108"/>
      <c r="C34" s="108"/>
      <c r="D34" s="108"/>
      <c r="E34" s="108"/>
      <c r="F34" s="109"/>
      <c r="G34" s="109"/>
      <c r="H34" s="109"/>
      <c r="I34" s="109"/>
      <c r="J34" s="109"/>
      <c r="K34" s="109"/>
      <c r="L34" s="109"/>
      <c r="M34" s="109"/>
      <c r="S34" s="4">
        <f>H28</f>
        <v>285.39999999999998</v>
      </c>
      <c r="T34" s="112">
        <v>10</v>
      </c>
      <c r="U34" s="113">
        <f t="shared" si="8"/>
        <v>284.35300000000001</v>
      </c>
      <c r="V34" s="4">
        <f t="shared" si="9"/>
        <v>295.15841399999999</v>
      </c>
      <c r="X34" s="112">
        <v>10</v>
      </c>
      <c r="Y34" s="113"/>
      <c r="Z34" s="4"/>
      <c r="AB34" s="112">
        <v>10</v>
      </c>
      <c r="AC34" s="123">
        <f>(AC$25*(AB34)^1)+(AC$26)</f>
        <v>285.39999999999998</v>
      </c>
      <c r="AD34" s="121">
        <f>AC34*$V$27</f>
        <v>296.24520000000001</v>
      </c>
    </row>
    <row r="35" spans="2:30" x14ac:dyDescent="0.2">
      <c r="B35" s="108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S35" s="64"/>
      <c r="T35" s="112">
        <v>20</v>
      </c>
      <c r="U35" s="123">
        <f t="shared" si="8"/>
        <v>572.11299999999994</v>
      </c>
      <c r="V35" s="121">
        <f t="shared" si="9"/>
        <v>593.85329400000001</v>
      </c>
      <c r="X35" s="112">
        <v>20</v>
      </c>
      <c r="Y35" s="113"/>
      <c r="Z35" s="121"/>
      <c r="AB35" s="112">
        <v>20</v>
      </c>
      <c r="AC35" s="123">
        <f>(AC$25*(AB35)^1)+(AC$26)</f>
        <v>606.91999999999996</v>
      </c>
      <c r="AD35" s="121">
        <f>AC35*$V$27</f>
        <v>629.98295999999993</v>
      </c>
    </row>
    <row r="36" spans="2:30" x14ac:dyDescent="0.2">
      <c r="B36" s="108"/>
      <c r="C36" s="108"/>
      <c r="D36" s="108"/>
      <c r="E36" s="108"/>
      <c r="F36" s="109"/>
      <c r="G36" s="109"/>
      <c r="H36" s="109"/>
      <c r="I36" s="109"/>
      <c r="J36" s="109"/>
      <c r="K36" s="109"/>
      <c r="L36" s="109"/>
      <c r="M36" s="109"/>
      <c r="S36" s="64"/>
      <c r="T36" s="112">
        <v>30</v>
      </c>
      <c r="U36" s="113">
        <f t="shared" si="8"/>
        <v>894.01300000000003</v>
      </c>
      <c r="V36" s="4">
        <f t="shared" si="9"/>
        <v>927.98549400000002</v>
      </c>
      <c r="X36" s="112">
        <v>30</v>
      </c>
      <c r="Y36" s="113"/>
      <c r="Z36" s="121"/>
      <c r="AB36" s="112">
        <v>30</v>
      </c>
      <c r="AC36" s="123">
        <f>(AC$25*(AB36)^1)+(AC$26)</f>
        <v>928.44</v>
      </c>
      <c r="AD36" s="121">
        <f>AC36*$V$27</f>
        <v>963.72072000000014</v>
      </c>
    </row>
    <row r="37" spans="2:30" x14ac:dyDescent="0.2">
      <c r="B37" s="108"/>
      <c r="C37" s="108"/>
      <c r="D37" s="108"/>
      <c r="E37" s="108"/>
      <c r="F37" s="109"/>
      <c r="G37" s="109"/>
      <c r="H37" s="109"/>
      <c r="I37" s="109"/>
      <c r="J37" s="109"/>
      <c r="K37" s="109"/>
      <c r="L37" s="109"/>
      <c r="M37" s="109"/>
      <c r="S37" s="4">
        <f>H29</f>
        <v>1249.9612643678161</v>
      </c>
      <c r="T37" s="112">
        <v>40</v>
      </c>
      <c r="U37" s="114">
        <f t="shared" si="8"/>
        <v>1250.0530000000001</v>
      </c>
      <c r="V37" s="122">
        <f t="shared" si="9"/>
        <v>1297.5550140000003</v>
      </c>
      <c r="X37" s="112">
        <v>40</v>
      </c>
      <c r="Y37" s="113"/>
      <c r="Z37" s="121"/>
      <c r="AB37" s="112">
        <v>40</v>
      </c>
      <c r="AC37" s="114">
        <f>(AC$25*(AB37)^1)+(AC$26)</f>
        <v>1249.96</v>
      </c>
      <c r="AD37" s="122">
        <f>AC37*$V$27</f>
        <v>1297.45848</v>
      </c>
    </row>
    <row r="38" spans="2:30" x14ac:dyDescent="0.2">
      <c r="B38" s="108"/>
      <c r="C38" s="108"/>
      <c r="D38" s="108"/>
      <c r="E38" s="108"/>
      <c r="F38" s="109"/>
      <c r="G38" s="109"/>
      <c r="H38" s="109"/>
      <c r="I38" s="109"/>
      <c r="J38" s="109"/>
      <c r="K38" s="109"/>
      <c r="L38" s="109"/>
      <c r="M38" s="109"/>
      <c r="T38" s="115"/>
      <c r="X38" s="115"/>
      <c r="Z38" s="121"/>
      <c r="AB38" s="112">
        <v>50</v>
      </c>
      <c r="AC38" s="125">
        <f>(AC$25*(AB38)^1)+(AC$26)</f>
        <v>1571.4800000000002</v>
      </c>
      <c r="AD38" s="121">
        <f>AC38*$V$27</f>
        <v>1631.1962400000002</v>
      </c>
    </row>
    <row r="39" spans="2:30" x14ac:dyDescent="0.2">
      <c r="B39" s="108"/>
      <c r="C39" s="108"/>
      <c r="D39" s="108"/>
      <c r="E39" s="108"/>
      <c r="F39" s="109"/>
      <c r="G39" s="109"/>
      <c r="H39" s="109"/>
      <c r="I39" s="109"/>
      <c r="J39" s="109"/>
      <c r="K39" s="109"/>
      <c r="L39" s="109"/>
      <c r="M39" s="109"/>
      <c r="T39" s="118" t="s">
        <v>88</v>
      </c>
      <c r="U39" s="117">
        <f>U37/U34</f>
        <v>4.3961308655087166</v>
      </c>
      <c r="X39" s="118" t="s">
        <v>88</v>
      </c>
      <c r="Y39" s="117"/>
      <c r="AB39" s="118" t="s">
        <v>88</v>
      </c>
      <c r="AC39" s="117">
        <f>AC37/AC34</f>
        <v>4.3796776454099513</v>
      </c>
    </row>
    <row r="40" spans="2:30" x14ac:dyDescent="0.2"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</row>
    <row r="41" spans="2:30" ht="13.5" thickBot="1" x14ac:dyDescent="0.25"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2:30" ht="13.5" thickTop="1" x14ac:dyDescent="0.2">
      <c r="B42" s="89" t="s">
        <v>64</v>
      </c>
      <c r="C42" s="126" t="s">
        <v>108</v>
      </c>
      <c r="D42" s="126" t="s">
        <v>102</v>
      </c>
      <c r="E42" s="90" t="s">
        <v>73</v>
      </c>
      <c r="F42" s="90" t="s">
        <v>72</v>
      </c>
      <c r="G42" s="91" t="s">
        <v>71</v>
      </c>
      <c r="H42" s="90" t="s">
        <v>70</v>
      </c>
      <c r="I42" s="92" t="s">
        <v>74</v>
      </c>
      <c r="J42" s="92" t="s">
        <v>75</v>
      </c>
      <c r="K42" s="92" t="s">
        <v>76</v>
      </c>
      <c r="L42" s="92" t="s">
        <v>77</v>
      </c>
      <c r="M42" s="93" t="s">
        <v>78</v>
      </c>
      <c r="U42" s="119">
        <v>0.19839999999999999</v>
      </c>
      <c r="Y42" s="119">
        <v>22.158000000000001</v>
      </c>
      <c r="AC42" s="119">
        <v>32.808</v>
      </c>
    </row>
    <row r="43" spans="2:30" x14ac:dyDescent="0.2">
      <c r="B43" s="94">
        <v>2</v>
      </c>
      <c r="C43" s="95">
        <v>44.522541009014247</v>
      </c>
      <c r="D43" s="95">
        <v>47.861731584690311</v>
      </c>
      <c r="E43" s="95">
        <v>51.451361453542084</v>
      </c>
      <c r="F43" s="95">
        <v>55.310213562557742</v>
      </c>
      <c r="G43" s="96">
        <v>59.458075590567695</v>
      </c>
      <c r="H43" s="97">
        <v>63.917027270678389</v>
      </c>
      <c r="I43" s="95">
        <v>68.710400326797384</v>
      </c>
      <c r="J43" s="95">
        <v>73.863276362125305</v>
      </c>
      <c r="K43" s="95">
        <v>79.402618100102814</v>
      </c>
      <c r="L43" s="95">
        <v>85.357410468428654</v>
      </c>
      <c r="M43" s="98">
        <v>91.758812264378918</v>
      </c>
      <c r="U43" s="119">
        <v>22.952000000000002</v>
      </c>
      <c r="Y43" s="119">
        <v>19.600000000000001</v>
      </c>
      <c r="AC43" s="119">
        <v>-62.081000000000003</v>
      </c>
    </row>
    <row r="44" spans="2:30" x14ac:dyDescent="0.2">
      <c r="B44" s="94">
        <v>5</v>
      </c>
      <c r="C44" s="95">
        <v>90.825782453495563</v>
      </c>
      <c r="D44" s="95">
        <v>97.637716137507724</v>
      </c>
      <c r="E44" s="95">
        <v>104.9605448478208</v>
      </c>
      <c r="F44" s="95">
        <v>112.83258571140735</v>
      </c>
      <c r="G44" s="96">
        <v>121.2950296397629</v>
      </c>
      <c r="H44" s="97">
        <v>130.39215686274511</v>
      </c>
      <c r="I44" s="95">
        <v>140.17156862745099</v>
      </c>
      <c r="J44" s="95">
        <v>150.68443627450978</v>
      </c>
      <c r="K44" s="95">
        <v>161.98576899509803</v>
      </c>
      <c r="L44" s="95">
        <v>174.13470166973036</v>
      </c>
      <c r="M44" s="98">
        <v>187.19480429496014</v>
      </c>
      <c r="U44" s="119">
        <v>14.829000000000001</v>
      </c>
      <c r="V44" s="120"/>
      <c r="Y44" s="119"/>
      <c r="Z44" s="120"/>
      <c r="AC44" s="119"/>
      <c r="AD44" s="120"/>
    </row>
    <row r="45" spans="2:30" x14ac:dyDescent="0.2">
      <c r="B45" s="94">
        <v>10</v>
      </c>
      <c r="C45" s="95">
        <v>185.28459620513095</v>
      </c>
      <c r="D45" s="95">
        <v>199.18094092051575</v>
      </c>
      <c r="E45" s="95">
        <v>214.11951148955441</v>
      </c>
      <c r="F45" s="95">
        <v>230.17847485127098</v>
      </c>
      <c r="G45" s="96">
        <v>247.44186046511629</v>
      </c>
      <c r="H45" s="97">
        <v>266</v>
      </c>
      <c r="I45" s="95">
        <v>285.95</v>
      </c>
      <c r="J45" s="95">
        <v>307.39624999999995</v>
      </c>
      <c r="K45" s="95">
        <v>330.45096874999996</v>
      </c>
      <c r="L45" s="95">
        <v>355.23479140624994</v>
      </c>
      <c r="M45" s="98">
        <v>381.87740076171866</v>
      </c>
      <c r="T45" s="110" t="s">
        <v>87</v>
      </c>
      <c r="U45" s="111" t="s">
        <v>70</v>
      </c>
      <c r="V45" s="116" t="s">
        <v>89</v>
      </c>
      <c r="X45" s="110" t="s">
        <v>87</v>
      </c>
      <c r="Y45" s="111" t="s">
        <v>70</v>
      </c>
      <c r="Z45" s="116" t="s">
        <v>89</v>
      </c>
      <c r="AB45" s="110" t="s">
        <v>87</v>
      </c>
      <c r="AC45" s="111" t="s">
        <v>70</v>
      </c>
      <c r="AD45" s="116" t="s">
        <v>89</v>
      </c>
    </row>
    <row r="46" spans="2:30" x14ac:dyDescent="0.2">
      <c r="B46" s="94">
        <v>40</v>
      </c>
      <c r="C46" s="95">
        <v>870.93812328094384</v>
      </c>
      <c r="D46" s="95">
        <v>936.25848252701462</v>
      </c>
      <c r="E46" s="95">
        <v>1006.4778687165407</v>
      </c>
      <c r="F46" s="95">
        <v>1081.9637088702812</v>
      </c>
      <c r="G46" s="96">
        <v>1163.0619353114143</v>
      </c>
      <c r="H46" s="97">
        <v>1250.2425287356323</v>
      </c>
      <c r="I46" s="95">
        <v>1343.9616666666668</v>
      </c>
      <c r="J46" s="95">
        <v>1444.7097399425286</v>
      </c>
      <c r="K46" s="95">
        <v>1553.0139187140805</v>
      </c>
      <c r="L46" s="95">
        <v>1669.4409108934985</v>
      </c>
      <c r="M46" s="98">
        <v>1794.5999274863727</v>
      </c>
      <c r="T46" s="112">
        <v>1</v>
      </c>
      <c r="U46" s="113">
        <f>(U$42*(T46)^2)+(U$43*(T46)^1)+(U$44)</f>
        <v>37.979399999999998</v>
      </c>
      <c r="V46" s="4">
        <f>U46*$V$27</f>
        <v>39.422617199999998</v>
      </c>
      <c r="X46" s="112">
        <v>1</v>
      </c>
      <c r="Y46" s="113">
        <f>(Y$42*(X46)^1)+(Y$43)</f>
        <v>41.758000000000003</v>
      </c>
      <c r="Z46" s="4">
        <f>Y46*$V$27</f>
        <v>43.344804000000003</v>
      </c>
      <c r="AB46" s="112">
        <v>1</v>
      </c>
      <c r="AC46" s="113">
        <f>Y46</f>
        <v>41.758000000000003</v>
      </c>
      <c r="AD46" s="4"/>
    </row>
    <row r="47" spans="2:30" x14ac:dyDescent="0.2">
      <c r="B47" s="94">
        <v>40.1</v>
      </c>
      <c r="C47" s="99">
        <v>4.1000000000000005</v>
      </c>
      <c r="D47" s="99">
        <v>4.1000000000000005</v>
      </c>
      <c r="E47" s="99">
        <v>4.1000000000000005</v>
      </c>
      <c r="F47" s="99">
        <f t="shared" ref="F47:M47" si="10">F46/F45</f>
        <v>4.7005425227940547</v>
      </c>
      <c r="G47" s="99">
        <f t="shared" si="10"/>
        <v>4.7003442874427455</v>
      </c>
      <c r="H47" s="99">
        <f t="shared" si="10"/>
        <v>4.7001598824647832</v>
      </c>
      <c r="I47" s="99">
        <f t="shared" si="10"/>
        <v>4.6999883429503999</v>
      </c>
      <c r="J47" s="99">
        <f t="shared" si="10"/>
        <v>4.6998287713091127</v>
      </c>
      <c r="K47" s="99">
        <f t="shared" si="10"/>
        <v>4.6996803325730321</v>
      </c>
      <c r="L47" s="99">
        <f t="shared" si="10"/>
        <v>4.6995422500278412</v>
      </c>
      <c r="M47" s="100">
        <f t="shared" si="10"/>
        <v>4.6994138011485926</v>
      </c>
      <c r="S47" s="4">
        <f>H43</f>
        <v>63.917027270678389</v>
      </c>
      <c r="T47" s="112">
        <v>2</v>
      </c>
      <c r="U47" s="123">
        <f>(U$42*(T47)^2)+(U$43*(T47)^1)+(U$44)</f>
        <v>61.526600000000002</v>
      </c>
      <c r="V47" s="121">
        <f t="shared" ref="V47:V54" si="11">U47*$V$27</f>
        <v>63.864610800000001</v>
      </c>
      <c r="X47" s="112">
        <v>2</v>
      </c>
      <c r="Y47" s="113">
        <f>(Y$42*(X47)^1)+(Y$43)</f>
        <v>63.916000000000004</v>
      </c>
      <c r="Z47" s="121">
        <f>Y47*$V$27</f>
        <v>66.344808</v>
      </c>
      <c r="AB47" s="112">
        <v>2</v>
      </c>
      <c r="AC47" s="113">
        <f>Y47</f>
        <v>63.916000000000004</v>
      </c>
      <c r="AD47" s="121"/>
    </row>
    <row r="48" spans="2:30" ht="13.5" thickBot="1" x14ac:dyDescent="0.25">
      <c r="B48" s="101"/>
      <c r="C48" s="102"/>
      <c r="D48" s="102"/>
      <c r="E48" s="102"/>
      <c r="F48" s="103">
        <v>1.0749921481916178</v>
      </c>
      <c r="G48" s="103">
        <v>1.0749926959388536</v>
      </c>
      <c r="H48" s="103">
        <v>1.0749932054783498</v>
      </c>
      <c r="I48" s="103">
        <v>1.0749936794747952</v>
      </c>
      <c r="J48" s="103">
        <v>1.0749941204071005</v>
      </c>
      <c r="K48" s="103">
        <v>1.0749945305813418</v>
      </c>
      <c r="L48" s="103">
        <v>1.0749949121428042</v>
      </c>
      <c r="M48" s="104">
        <v>1.0749952670871847</v>
      </c>
      <c r="S48" s="64"/>
      <c r="T48" s="112">
        <v>3</v>
      </c>
      <c r="U48" s="113">
        <f t="shared" ref="U48:U53" si="12">(U$42*(T48)^2)+(U$43*(T48)^1)+(U$44)</f>
        <v>85.470600000000019</v>
      </c>
      <c r="V48" s="4">
        <f t="shared" si="11"/>
        <v>88.718482800000018</v>
      </c>
      <c r="X48" s="112">
        <v>3</v>
      </c>
      <c r="Y48" s="113">
        <f>(Y$42*(X48)^1)+(Y$43)</f>
        <v>86.074000000000012</v>
      </c>
      <c r="Z48" s="4">
        <f>Y48*$V$27</f>
        <v>89.344812000000019</v>
      </c>
      <c r="AB48" s="112">
        <v>3</v>
      </c>
      <c r="AC48" s="113">
        <f>Y48</f>
        <v>86.074000000000012</v>
      </c>
      <c r="AD48" s="4"/>
    </row>
    <row r="49" spans="19:30" ht="13.5" thickTop="1" x14ac:dyDescent="0.2">
      <c r="S49" s="64"/>
      <c r="T49" s="112">
        <v>4</v>
      </c>
      <c r="U49" s="113">
        <f t="shared" si="12"/>
        <v>109.81140000000002</v>
      </c>
      <c r="V49" s="4">
        <f t="shared" si="11"/>
        <v>113.98423320000002</v>
      </c>
      <c r="X49" s="112">
        <v>4</v>
      </c>
      <c r="Y49" s="113">
        <f>(Y$42*(X49)^1)+(Y$43)</f>
        <v>108.232</v>
      </c>
      <c r="Z49" s="4">
        <f>Y49*$V$27</f>
        <v>112.34481600000001</v>
      </c>
      <c r="AB49" s="112">
        <v>4</v>
      </c>
      <c r="AC49" s="113">
        <f>Y49</f>
        <v>108.232</v>
      </c>
      <c r="AD49" s="4"/>
    </row>
    <row r="50" spans="19:30" x14ac:dyDescent="0.2">
      <c r="S50" s="4">
        <f>H44</f>
        <v>130.39215686274511</v>
      </c>
      <c r="T50" s="112">
        <v>5</v>
      </c>
      <c r="U50" s="114">
        <f t="shared" si="12"/>
        <v>134.54900000000001</v>
      </c>
      <c r="V50" s="122">
        <f t="shared" si="11"/>
        <v>139.66186200000001</v>
      </c>
      <c r="X50" s="112">
        <v>5</v>
      </c>
      <c r="Y50" s="114">
        <f>(Y$42*(X50)^1)+(Y$43)</f>
        <v>130.39000000000001</v>
      </c>
      <c r="Z50" s="122">
        <f>Y50*$V$27</f>
        <v>135.34482000000003</v>
      </c>
      <c r="AB50" s="112">
        <v>5</v>
      </c>
      <c r="AC50" s="114">
        <f>Y50</f>
        <v>130.39000000000001</v>
      </c>
      <c r="AD50" s="122"/>
    </row>
    <row r="51" spans="19:30" x14ac:dyDescent="0.2">
      <c r="S51" s="4">
        <f>H45</f>
        <v>266</v>
      </c>
      <c r="T51" s="112">
        <v>10</v>
      </c>
      <c r="U51" s="113">
        <f t="shared" si="12"/>
        <v>264.18900000000002</v>
      </c>
      <c r="V51" s="4">
        <f t="shared" si="11"/>
        <v>274.228182</v>
      </c>
      <c r="X51" s="112">
        <v>10</v>
      </c>
      <c r="Y51" s="113"/>
      <c r="Z51" s="4"/>
      <c r="AB51" s="112">
        <v>10</v>
      </c>
      <c r="AC51" s="123">
        <f>(AC$42*(AB51)^1)+(AC$43)</f>
        <v>265.99899999999997</v>
      </c>
      <c r="AD51" s="121">
        <f>AC51*$V$27</f>
        <v>276.10696199999995</v>
      </c>
    </row>
    <row r="52" spans="19:30" x14ac:dyDescent="0.2">
      <c r="S52" s="64"/>
      <c r="T52" s="112">
        <v>20</v>
      </c>
      <c r="U52" s="123">
        <f t="shared" si="12"/>
        <v>553.22899999999993</v>
      </c>
      <c r="V52" s="121">
        <f t="shared" si="11"/>
        <v>574.25170199999991</v>
      </c>
      <c r="X52" s="112">
        <v>20</v>
      </c>
      <c r="Y52" s="113"/>
      <c r="Z52" s="121"/>
      <c r="AB52" s="112">
        <v>20</v>
      </c>
      <c r="AC52" s="123">
        <f>(AC$42*(AB52)^1)+(AC$43)</f>
        <v>594.07899999999995</v>
      </c>
      <c r="AD52" s="121">
        <f>AC52*$V$27</f>
        <v>616.65400199999999</v>
      </c>
    </row>
    <row r="53" spans="19:30" x14ac:dyDescent="0.2">
      <c r="S53" s="64"/>
      <c r="T53" s="112">
        <v>30</v>
      </c>
      <c r="U53" s="113">
        <f t="shared" si="12"/>
        <v>881.94900000000007</v>
      </c>
      <c r="V53" s="4">
        <f t="shared" si="11"/>
        <v>915.46306200000015</v>
      </c>
      <c r="X53" s="112">
        <v>30</v>
      </c>
      <c r="Y53" s="113"/>
      <c r="Z53" s="121"/>
      <c r="AB53" s="112">
        <v>30</v>
      </c>
      <c r="AC53" s="123">
        <f>(AC$42*(AB53)^1)+(AC$43)</f>
        <v>922.15899999999999</v>
      </c>
      <c r="AD53" s="121">
        <f>AC53*$V$27</f>
        <v>957.20104200000003</v>
      </c>
    </row>
    <row r="54" spans="19:30" x14ac:dyDescent="0.2">
      <c r="S54" s="4">
        <f>H46</f>
        <v>1250.2425287356323</v>
      </c>
      <c r="T54" s="112">
        <v>40</v>
      </c>
      <c r="U54" s="114">
        <f>(U$42*(T54)^2)+(U$43*(T54)^1)+(U$44)</f>
        <v>1250.3489999999999</v>
      </c>
      <c r="V54" s="122">
        <f t="shared" si="11"/>
        <v>1297.8622619999999</v>
      </c>
      <c r="X54" s="112">
        <v>40</v>
      </c>
      <c r="Y54" s="113"/>
      <c r="Z54" s="121"/>
      <c r="AB54" s="112">
        <v>40</v>
      </c>
      <c r="AC54" s="114">
        <f>(AC$42*(AB54)^1)+(AC$43)</f>
        <v>1250.239</v>
      </c>
      <c r="AD54" s="122">
        <f>AC54*$V$27</f>
        <v>1297.7480820000001</v>
      </c>
    </row>
    <row r="55" spans="19:30" x14ac:dyDescent="0.2">
      <c r="T55" s="115"/>
      <c r="X55" s="115"/>
      <c r="Z55" s="121"/>
      <c r="AB55" s="112">
        <v>50</v>
      </c>
      <c r="AC55" s="123">
        <f>(AC$42*(AB55)^1)+(AC$43)</f>
        <v>1578.3190000000002</v>
      </c>
      <c r="AD55" s="121">
        <f>AC55*$V$27</f>
        <v>1638.2951220000002</v>
      </c>
    </row>
    <row r="56" spans="19:30" x14ac:dyDescent="0.2">
      <c r="T56" s="118" t="s">
        <v>88</v>
      </c>
      <c r="U56" s="117">
        <f>U54/U51</f>
        <v>4.7327822127340644</v>
      </c>
      <c r="X56" s="118" t="s">
        <v>88</v>
      </c>
      <c r="Y56" s="117"/>
      <c r="AB56" s="118" t="s">
        <v>88</v>
      </c>
      <c r="AC56" s="117">
        <f>AC54/AC51</f>
        <v>4.700164286331904</v>
      </c>
    </row>
  </sheetData>
  <pageMargins left="0.75" right="0.75" top="1" bottom="1" header="0.5" footer="0.5"/>
  <pageSetup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5"/>
  <sheetViews>
    <sheetView topLeftCell="A16" zoomScale="90" workbookViewId="0">
      <selection activeCell="F11" sqref="F11"/>
    </sheetView>
  </sheetViews>
  <sheetFormatPr defaultRowHeight="12.75" x14ac:dyDescent="0.2"/>
  <cols>
    <col min="4" max="4" width="20.140625" customWidth="1"/>
    <col min="15" max="15" width="11.42578125" customWidth="1"/>
  </cols>
  <sheetData>
    <row r="1" spans="2:19" ht="15.95" customHeight="1" x14ac:dyDescent="0.2"/>
    <row r="2" spans="2:19" ht="15.95" customHeight="1" x14ac:dyDescent="0.2">
      <c r="B2" s="8">
        <v>40.1</v>
      </c>
      <c r="E2" s="5">
        <v>2</v>
      </c>
      <c r="F2" s="5">
        <v>5</v>
      </c>
      <c r="G2" s="5">
        <v>10</v>
      </c>
      <c r="H2" s="5">
        <v>40</v>
      </c>
      <c r="J2" s="5"/>
    </row>
    <row r="3" spans="2:19" ht="15.95" customHeight="1" x14ac:dyDescent="0.2">
      <c r="B3" s="8">
        <v>4.939516129032258</v>
      </c>
      <c r="C3" s="1">
        <v>1505</v>
      </c>
      <c r="D3" s="2" t="s">
        <v>40</v>
      </c>
      <c r="E3" s="3">
        <v>-31</v>
      </c>
      <c r="F3" s="3">
        <v>-110</v>
      </c>
      <c r="G3" s="3">
        <v>-248</v>
      </c>
      <c r="H3" s="3">
        <v>-1225</v>
      </c>
      <c r="N3" s="7"/>
      <c r="Q3" s="10">
        <v>10</v>
      </c>
    </row>
    <row r="4" spans="2:19" ht="15.95" customHeight="1" x14ac:dyDescent="0.2">
      <c r="B4" s="8">
        <v>4.1377049180327869</v>
      </c>
      <c r="C4" s="1" t="s">
        <v>33</v>
      </c>
      <c r="D4" s="2" t="s">
        <v>51</v>
      </c>
      <c r="E4" s="3">
        <v>-83</v>
      </c>
      <c r="F4" s="3">
        <v>-167</v>
      </c>
      <c r="G4" s="3">
        <v>-305</v>
      </c>
      <c r="H4" s="3">
        <v>-1262</v>
      </c>
      <c r="I4" s="11"/>
      <c r="N4" s="7"/>
      <c r="O4" s="9" t="s">
        <v>55</v>
      </c>
      <c r="P4" s="10">
        <f>4.95-4.14</f>
        <v>0.8100000000000005</v>
      </c>
      <c r="Q4">
        <f>P4/Q3</f>
        <v>8.1000000000000044E-2</v>
      </c>
      <c r="S4" s="7">
        <f>B4</f>
        <v>4.1377049180327869</v>
      </c>
    </row>
    <row r="5" spans="2:19" ht="15.95" customHeight="1" thickBot="1" x14ac:dyDescent="0.25">
      <c r="B5" s="8">
        <v>4.2158054711246198</v>
      </c>
      <c r="C5" s="1" t="s">
        <v>38</v>
      </c>
      <c r="D5" s="2" t="s">
        <v>48</v>
      </c>
      <c r="E5" s="3">
        <v>-84</v>
      </c>
      <c r="F5" s="3">
        <v>-183</v>
      </c>
      <c r="G5" s="3">
        <v>-329</v>
      </c>
      <c r="H5" s="3">
        <v>-1387</v>
      </c>
      <c r="I5" s="11"/>
      <c r="J5" s="13">
        <f>SUM(E4:E5)/2</f>
        <v>-83.5</v>
      </c>
      <c r="K5" s="13">
        <f>SUM(F4:F5)/2</f>
        <v>-175</v>
      </c>
      <c r="L5" s="13">
        <f>SUM(G4:G5)/2</f>
        <v>-317</v>
      </c>
      <c r="M5" s="13">
        <f>SUM(H4:H5)/2</f>
        <v>-1324.5</v>
      </c>
      <c r="N5" s="7"/>
      <c r="R5" s="11">
        <v>1</v>
      </c>
      <c r="S5" s="7">
        <f>S4+$Q$4</f>
        <v>4.2187049180327874</v>
      </c>
    </row>
    <row r="6" spans="2:19" ht="15.95" customHeight="1" x14ac:dyDescent="0.2">
      <c r="B6" s="8">
        <v>4.257668711656442</v>
      </c>
      <c r="C6" s="1" t="s">
        <v>37</v>
      </c>
      <c r="D6" s="2" t="s">
        <v>48</v>
      </c>
      <c r="E6" s="3">
        <v>-79</v>
      </c>
      <c r="F6" s="3">
        <v>-178</v>
      </c>
      <c r="G6" s="3">
        <v>-326</v>
      </c>
      <c r="H6" s="3">
        <v>-1388</v>
      </c>
      <c r="I6" s="12"/>
      <c r="N6" s="7"/>
      <c r="O6" s="20">
        <v>4.3</v>
      </c>
      <c r="R6" s="12">
        <v>2</v>
      </c>
      <c r="S6" s="7">
        <f t="shared" ref="S6:S14" si="0">S5+$Q$4</f>
        <v>4.2997049180327878</v>
      </c>
    </row>
    <row r="7" spans="2:19" ht="15.95" customHeight="1" x14ac:dyDescent="0.2">
      <c r="B7" s="8">
        <v>4.2579617834394901</v>
      </c>
      <c r="C7" s="1" t="s">
        <v>36</v>
      </c>
      <c r="D7" s="2" t="s">
        <v>46</v>
      </c>
      <c r="E7" s="3">
        <v>-80</v>
      </c>
      <c r="F7" s="3">
        <v>-176</v>
      </c>
      <c r="G7" s="3">
        <v>-314</v>
      </c>
      <c r="H7" s="3">
        <v>-1337</v>
      </c>
      <c r="I7" s="12"/>
      <c r="N7" s="7"/>
      <c r="O7" s="21">
        <v>4.5</v>
      </c>
      <c r="R7" s="11">
        <v>3</v>
      </c>
      <c r="S7" s="7">
        <f t="shared" si="0"/>
        <v>4.3807049180327882</v>
      </c>
    </row>
    <row r="8" spans="2:19" ht="15.95" customHeight="1" x14ac:dyDescent="0.2">
      <c r="B8" s="8">
        <v>4.2597014925373138</v>
      </c>
      <c r="C8" s="1" t="s">
        <v>39</v>
      </c>
      <c r="D8" s="2" t="s">
        <v>48</v>
      </c>
      <c r="E8" s="3">
        <v>-81</v>
      </c>
      <c r="F8" s="3">
        <v>-186</v>
      </c>
      <c r="G8" s="3">
        <v>-335</v>
      </c>
      <c r="H8" s="3">
        <v>-1427</v>
      </c>
      <c r="I8" s="12"/>
      <c r="N8" s="7"/>
      <c r="O8" s="21">
        <v>4.7</v>
      </c>
      <c r="R8" s="12">
        <v>4</v>
      </c>
      <c r="S8" s="7">
        <f t="shared" si="0"/>
        <v>4.4617049180327886</v>
      </c>
    </row>
    <row r="9" spans="2:19" ht="15.95" customHeight="1" thickBot="1" x14ac:dyDescent="0.25">
      <c r="B9" s="8">
        <v>4.2958801498127341</v>
      </c>
      <c r="C9" s="1" t="s">
        <v>14</v>
      </c>
      <c r="D9" s="2" t="s">
        <v>42</v>
      </c>
      <c r="E9" s="3">
        <v>-73</v>
      </c>
      <c r="F9" s="3">
        <v>-142</v>
      </c>
      <c r="G9" s="3">
        <v>-267</v>
      </c>
      <c r="H9" s="3">
        <v>-1147</v>
      </c>
      <c r="I9" s="12"/>
      <c r="J9" s="13">
        <f>SUM(E6:E9)/4</f>
        <v>-78.25</v>
      </c>
      <c r="K9" s="13">
        <f>SUM(F6:F9)/4</f>
        <v>-170.5</v>
      </c>
      <c r="L9" s="13">
        <f>SUM(G6:G9)/4</f>
        <v>-310.5</v>
      </c>
      <c r="M9" s="13">
        <f>SUM(H6:H9)/4</f>
        <v>-1324.75</v>
      </c>
      <c r="N9" s="7"/>
      <c r="O9" s="22"/>
      <c r="R9" s="11">
        <v>5</v>
      </c>
      <c r="S9" s="7">
        <f t="shared" si="0"/>
        <v>4.542704918032789</v>
      </c>
    </row>
    <row r="10" spans="2:19" ht="15.95" customHeight="1" x14ac:dyDescent="0.2">
      <c r="B10" s="8">
        <v>4.3396226415094343</v>
      </c>
      <c r="C10" s="1" t="s">
        <v>21</v>
      </c>
      <c r="D10" s="2" t="s">
        <v>50</v>
      </c>
      <c r="E10" s="3">
        <v>-74</v>
      </c>
      <c r="F10" s="3">
        <v>-149</v>
      </c>
      <c r="G10" s="3">
        <v>-265</v>
      </c>
      <c r="H10" s="3">
        <v>-1150</v>
      </c>
      <c r="I10" s="11"/>
      <c r="N10" s="7"/>
      <c r="R10" s="12">
        <v>6</v>
      </c>
      <c r="S10" s="7">
        <f t="shared" si="0"/>
        <v>4.6237049180327894</v>
      </c>
    </row>
    <row r="11" spans="2:19" ht="15.95" customHeight="1" x14ac:dyDescent="0.2">
      <c r="B11" s="8">
        <v>4.3409090909090908</v>
      </c>
      <c r="C11" s="1" t="s">
        <v>9</v>
      </c>
      <c r="D11" s="2" t="s">
        <v>42</v>
      </c>
      <c r="E11" s="3">
        <v>-68</v>
      </c>
      <c r="F11" s="3">
        <v>-136</v>
      </c>
      <c r="G11" s="3">
        <v>-264</v>
      </c>
      <c r="H11" s="3">
        <v>-1146</v>
      </c>
      <c r="I11" s="11"/>
      <c r="N11" s="7"/>
      <c r="R11" s="11">
        <v>7</v>
      </c>
      <c r="S11" s="7">
        <f t="shared" si="0"/>
        <v>4.7047049180327898</v>
      </c>
    </row>
    <row r="12" spans="2:19" ht="15.95" customHeight="1" x14ac:dyDescent="0.2">
      <c r="B12" s="8">
        <v>4.3595890410958908</v>
      </c>
      <c r="C12" s="1" t="s">
        <v>34</v>
      </c>
      <c r="D12" s="2" t="s">
        <v>46</v>
      </c>
      <c r="E12" s="3">
        <v>-79</v>
      </c>
      <c r="F12" s="3">
        <v>-169</v>
      </c>
      <c r="G12" s="3">
        <v>-292</v>
      </c>
      <c r="H12" s="3">
        <v>-1273</v>
      </c>
      <c r="I12" s="11"/>
      <c r="N12" s="7"/>
      <c r="R12" s="12">
        <v>8</v>
      </c>
      <c r="S12" s="7">
        <f t="shared" si="0"/>
        <v>4.7857049180327902</v>
      </c>
    </row>
    <row r="13" spans="2:19" ht="15.95" customHeight="1" x14ac:dyDescent="0.2">
      <c r="B13" s="8">
        <v>4.3788819875776399</v>
      </c>
      <c r="C13" s="1" t="s">
        <v>35</v>
      </c>
      <c r="D13" s="2" t="s">
        <v>48</v>
      </c>
      <c r="E13" s="3">
        <v>-69</v>
      </c>
      <c r="F13" s="3">
        <v>-170</v>
      </c>
      <c r="G13" s="3">
        <v>-322</v>
      </c>
      <c r="H13" s="3">
        <v>-1410</v>
      </c>
      <c r="I13" s="11"/>
      <c r="J13" s="13">
        <f>SUM(E10:E13)/4</f>
        <v>-72.5</v>
      </c>
      <c r="K13" s="13">
        <f>SUM(F10:F13)/4</f>
        <v>-156</v>
      </c>
      <c r="L13" s="13">
        <f>SUM(G10:G13)/4</f>
        <v>-285.75</v>
      </c>
      <c r="M13" s="13">
        <f>SUM(H10:H13)/4</f>
        <v>-1244.75</v>
      </c>
      <c r="N13" s="7"/>
      <c r="R13">
        <v>9</v>
      </c>
      <c r="S13" s="7">
        <f t="shared" si="0"/>
        <v>4.8667049180327906</v>
      </c>
    </row>
    <row r="14" spans="2:19" ht="15.95" customHeight="1" x14ac:dyDescent="0.2">
      <c r="B14" s="8">
        <v>4.4290540540540544</v>
      </c>
      <c r="C14" s="1" t="s">
        <v>31</v>
      </c>
      <c r="D14" s="2" t="s">
        <v>43</v>
      </c>
      <c r="E14" s="3">
        <v>-82</v>
      </c>
      <c r="F14" s="3">
        <v>-157</v>
      </c>
      <c r="G14" s="3">
        <v>-296</v>
      </c>
      <c r="H14" s="3">
        <v>-1311</v>
      </c>
      <c r="I14" s="12"/>
      <c r="N14" s="7"/>
      <c r="R14">
        <v>10</v>
      </c>
      <c r="S14" s="7">
        <f t="shared" si="0"/>
        <v>4.947704918032791</v>
      </c>
    </row>
    <row r="15" spans="2:19" ht="15.95" customHeight="1" x14ac:dyDescent="0.2">
      <c r="B15" s="8">
        <v>4.4319066147859925</v>
      </c>
      <c r="C15" s="1" t="s">
        <v>5</v>
      </c>
      <c r="D15" s="2" t="s">
        <v>42</v>
      </c>
      <c r="E15" s="3">
        <v>-65</v>
      </c>
      <c r="F15" s="3">
        <v>-133</v>
      </c>
      <c r="G15" s="3">
        <v>-257</v>
      </c>
      <c r="H15" s="3">
        <v>-1139</v>
      </c>
      <c r="I15" s="12"/>
      <c r="N15" s="7"/>
    </row>
    <row r="16" spans="2:19" ht="15.95" customHeight="1" x14ac:dyDescent="0.2">
      <c r="B16" s="8">
        <v>4.46484375</v>
      </c>
      <c r="C16" s="1" t="s">
        <v>3</v>
      </c>
      <c r="D16" s="2" t="s">
        <v>42</v>
      </c>
      <c r="E16" s="3">
        <v>-63</v>
      </c>
      <c r="F16" s="3">
        <v>-130</v>
      </c>
      <c r="G16" s="3">
        <v>-256</v>
      </c>
      <c r="H16" s="3">
        <v>-1143</v>
      </c>
      <c r="I16" s="12"/>
      <c r="J16" s="13">
        <f>SUM(E14:E16)/3</f>
        <v>-70</v>
      </c>
      <c r="K16" s="13">
        <f>SUM(F14:F16)/3</f>
        <v>-140</v>
      </c>
      <c r="L16" s="13">
        <f>SUM(G14:G16)/3</f>
        <v>-269.66666666666669</v>
      </c>
      <c r="M16" s="13">
        <f>SUM(H14:H16)/3</f>
        <v>-1197.6666666666667</v>
      </c>
      <c r="N16" s="7"/>
    </row>
    <row r="17" spans="2:14" ht="15.95" customHeight="1" x14ac:dyDescent="0.2">
      <c r="B17" s="8">
        <v>4.4750957854406126</v>
      </c>
      <c r="C17" s="1" t="s">
        <v>12</v>
      </c>
      <c r="D17" s="2" t="s">
        <v>46</v>
      </c>
      <c r="E17" s="3">
        <v>-62</v>
      </c>
      <c r="F17" s="3">
        <v>-141</v>
      </c>
      <c r="G17" s="3">
        <v>-261</v>
      </c>
      <c r="H17" s="3">
        <v>-1168</v>
      </c>
      <c r="I17" s="11"/>
      <c r="N17" s="7"/>
    </row>
    <row r="18" spans="2:14" ht="15.95" customHeight="1" x14ac:dyDescent="0.2">
      <c r="B18" s="8">
        <v>4.480836236933798</v>
      </c>
      <c r="C18" s="1" t="s">
        <v>25</v>
      </c>
      <c r="D18" s="2" t="s">
        <v>43</v>
      </c>
      <c r="E18" s="3">
        <v>-78</v>
      </c>
      <c r="F18" s="3">
        <v>-152</v>
      </c>
      <c r="G18" s="3">
        <v>-287</v>
      </c>
      <c r="H18" s="3">
        <v>-1286</v>
      </c>
      <c r="I18" s="11"/>
      <c r="N18" s="7"/>
    </row>
    <row r="19" spans="2:14" ht="15.95" customHeight="1" x14ac:dyDescent="0.2">
      <c r="B19" s="8">
        <v>4.484320557491289</v>
      </c>
      <c r="C19" s="1" t="s">
        <v>26</v>
      </c>
      <c r="D19" s="2" t="s">
        <v>43</v>
      </c>
      <c r="E19" s="3">
        <v>-79</v>
      </c>
      <c r="F19" s="3">
        <v>-152</v>
      </c>
      <c r="G19" s="3">
        <v>-287</v>
      </c>
      <c r="H19" s="3">
        <v>-1287</v>
      </c>
      <c r="I19" s="11"/>
      <c r="N19" s="7"/>
    </row>
    <row r="20" spans="2:14" ht="15.95" customHeight="1" x14ac:dyDescent="0.2">
      <c r="B20" s="8">
        <v>4.4854771784232366</v>
      </c>
      <c r="C20" s="1" t="s">
        <v>2</v>
      </c>
      <c r="D20" s="2" t="s">
        <v>44</v>
      </c>
      <c r="E20" s="3">
        <v>-64</v>
      </c>
      <c r="F20" s="3">
        <v>-126</v>
      </c>
      <c r="G20" s="3">
        <v>-241</v>
      </c>
      <c r="H20" s="3">
        <v>-1081</v>
      </c>
      <c r="I20" s="11"/>
      <c r="N20" s="7"/>
    </row>
    <row r="21" spans="2:14" ht="15.95" customHeight="1" x14ac:dyDescent="0.2">
      <c r="B21" s="8">
        <v>4.4966887417218544</v>
      </c>
      <c r="C21" s="1" t="s">
        <v>29</v>
      </c>
      <c r="D21" s="2" t="s">
        <v>44</v>
      </c>
      <c r="E21" s="3">
        <v>-65</v>
      </c>
      <c r="F21" s="3">
        <v>-153</v>
      </c>
      <c r="G21" s="3">
        <v>-302</v>
      </c>
      <c r="H21" s="3">
        <v>-1358</v>
      </c>
      <c r="I21" s="11"/>
      <c r="N21" s="7"/>
    </row>
    <row r="22" spans="2:14" ht="15.95" customHeight="1" x14ac:dyDescent="0.2">
      <c r="B22" s="8">
        <v>4.5090252707581229</v>
      </c>
      <c r="C22" s="1" t="s">
        <v>13</v>
      </c>
      <c r="D22" s="2" t="s">
        <v>49</v>
      </c>
      <c r="E22" s="3">
        <v>-70</v>
      </c>
      <c r="F22" s="3">
        <v>-141</v>
      </c>
      <c r="G22" s="3">
        <v>-277</v>
      </c>
      <c r="H22" s="3">
        <v>-1249</v>
      </c>
      <c r="I22" s="11"/>
      <c r="N22" s="7"/>
    </row>
    <row r="23" spans="2:14" ht="15.95" customHeight="1" x14ac:dyDescent="0.2">
      <c r="B23" s="8">
        <v>4.5186567164179108</v>
      </c>
      <c r="C23" s="1" t="s">
        <v>19</v>
      </c>
      <c r="D23" s="2" t="s">
        <v>45</v>
      </c>
      <c r="E23" s="3">
        <v>-75</v>
      </c>
      <c r="F23" s="3">
        <v>-149</v>
      </c>
      <c r="G23" s="3">
        <v>-268</v>
      </c>
      <c r="H23" s="3">
        <v>-1211</v>
      </c>
      <c r="I23" s="11"/>
      <c r="N23" s="7"/>
    </row>
    <row r="24" spans="2:14" ht="15.95" customHeight="1" x14ac:dyDescent="0.2">
      <c r="B24" s="8">
        <v>4.5206896551724141</v>
      </c>
      <c r="C24" s="1" t="s">
        <v>24</v>
      </c>
      <c r="D24" s="2" t="s">
        <v>41</v>
      </c>
      <c r="E24" s="3">
        <v>-63</v>
      </c>
      <c r="F24" s="3">
        <v>-152</v>
      </c>
      <c r="G24" s="3">
        <v>-290</v>
      </c>
      <c r="H24" s="3">
        <v>-1311</v>
      </c>
      <c r="I24" s="11"/>
      <c r="N24" s="7"/>
    </row>
    <row r="25" spans="2:14" ht="15.95" customHeight="1" x14ac:dyDescent="0.2">
      <c r="B25" s="8">
        <v>4.5342465753424657</v>
      </c>
      <c r="C25" s="1" t="s">
        <v>27</v>
      </c>
      <c r="D25" s="2" t="s">
        <v>40</v>
      </c>
      <c r="E25" s="3">
        <v>-77</v>
      </c>
      <c r="F25" s="3">
        <v>-152</v>
      </c>
      <c r="G25" s="3">
        <v>-292</v>
      </c>
      <c r="H25" s="3">
        <v>-1324</v>
      </c>
      <c r="I25" s="11"/>
      <c r="N25" s="7"/>
    </row>
    <row r="26" spans="2:14" ht="15.95" customHeight="1" x14ac:dyDescent="0.2">
      <c r="B26" s="8">
        <v>4.5369127516778525</v>
      </c>
      <c r="C26" s="1" t="s">
        <v>28</v>
      </c>
      <c r="D26" s="2" t="s">
        <v>47</v>
      </c>
      <c r="E26" s="3">
        <v>-65</v>
      </c>
      <c r="F26" s="3">
        <v>-153</v>
      </c>
      <c r="G26" s="3">
        <v>-298</v>
      </c>
      <c r="H26" s="3">
        <v>-1352</v>
      </c>
      <c r="I26" s="11"/>
      <c r="J26" s="13">
        <f>SUM(E17:E26)/10</f>
        <v>-69.8</v>
      </c>
      <c r="K26" s="13">
        <f>SUM(F17:F26)/10</f>
        <v>-147.1</v>
      </c>
      <c r="L26" s="13">
        <f>SUM(G17:G26)/10</f>
        <v>-280.3</v>
      </c>
      <c r="M26" s="13">
        <f>SUM(H17:H26)/10</f>
        <v>-1262.7</v>
      </c>
      <c r="N26" s="7"/>
    </row>
    <row r="27" spans="2:14" ht="15.95" customHeight="1" x14ac:dyDescent="0.2">
      <c r="B27" s="8">
        <v>4.5535055350553506</v>
      </c>
      <c r="C27" s="1" t="s">
        <v>32</v>
      </c>
      <c r="D27" s="2" t="s">
        <v>46</v>
      </c>
      <c r="E27" s="3">
        <v>-89</v>
      </c>
      <c r="F27" s="3">
        <v>-158</v>
      </c>
      <c r="G27" s="3">
        <v>-271</v>
      </c>
      <c r="H27" s="3">
        <v>-1234</v>
      </c>
      <c r="I27" s="12"/>
      <c r="N27" s="7"/>
    </row>
    <row r="28" spans="2:14" ht="15.95" customHeight="1" x14ac:dyDescent="0.2">
      <c r="B28" s="8">
        <v>4.5650684931506849</v>
      </c>
      <c r="C28" s="1" t="s">
        <v>22</v>
      </c>
      <c r="D28" s="2" t="s">
        <v>45</v>
      </c>
      <c r="E28" s="3">
        <v>-67</v>
      </c>
      <c r="F28" s="3">
        <v>-150</v>
      </c>
      <c r="G28" s="3">
        <v>-292</v>
      </c>
      <c r="H28" s="3">
        <v>-1333</v>
      </c>
      <c r="I28" s="12"/>
      <c r="N28" s="7"/>
    </row>
    <row r="29" spans="2:14" ht="15.95" customHeight="1" x14ac:dyDescent="0.2">
      <c r="B29" s="8">
        <v>4.5756302521008401</v>
      </c>
      <c r="C29" s="1" t="s">
        <v>1</v>
      </c>
      <c r="D29" s="2" t="s">
        <v>44</v>
      </c>
      <c r="E29" s="3">
        <v>-58</v>
      </c>
      <c r="F29" s="3">
        <v>-122</v>
      </c>
      <c r="G29" s="3">
        <v>-238</v>
      </c>
      <c r="H29" s="3">
        <v>-1089</v>
      </c>
      <c r="I29" s="12"/>
      <c r="N29" s="7"/>
    </row>
    <row r="30" spans="2:14" ht="15.95" customHeight="1" x14ac:dyDescent="0.2">
      <c r="B30" s="8">
        <v>4.6060606060606064</v>
      </c>
      <c r="C30" s="1" t="s">
        <v>0</v>
      </c>
      <c r="D30" s="2" t="s">
        <v>44</v>
      </c>
      <c r="E30" s="3">
        <v>-58</v>
      </c>
      <c r="F30" s="3">
        <v>-117</v>
      </c>
      <c r="G30" s="3">
        <v>-231</v>
      </c>
      <c r="H30" s="3">
        <v>-1064</v>
      </c>
      <c r="I30" s="12"/>
      <c r="J30" s="13">
        <f>SUM(E27:E30)/4</f>
        <v>-68</v>
      </c>
      <c r="K30" s="13">
        <f>SUM(F27:F30)/4</f>
        <v>-136.75</v>
      </c>
      <c r="L30" s="13">
        <f>SUM(G27:G30)/4</f>
        <v>-258</v>
      </c>
      <c r="M30" s="13">
        <f>SUM(H27:H30)/4</f>
        <v>-1180</v>
      </c>
      <c r="N30" s="7"/>
    </row>
    <row r="31" spans="2:14" ht="15.95" customHeight="1" x14ac:dyDescent="0.2">
      <c r="B31" s="8">
        <v>4.6259259259259258</v>
      </c>
      <c r="C31" s="1" t="s">
        <v>20</v>
      </c>
      <c r="D31" s="2" t="s">
        <v>45</v>
      </c>
      <c r="E31" s="3">
        <v>-77</v>
      </c>
      <c r="F31" s="3">
        <v>-149</v>
      </c>
      <c r="G31" s="3">
        <v>-270</v>
      </c>
      <c r="H31" s="3">
        <v>-1249</v>
      </c>
      <c r="I31" s="11"/>
      <c r="N31" s="7"/>
    </row>
    <row r="32" spans="2:14" ht="15.95" customHeight="1" x14ac:dyDescent="0.2">
      <c r="B32" s="8">
        <v>4.6272401433691757</v>
      </c>
      <c r="C32" s="1" t="s">
        <v>17</v>
      </c>
      <c r="D32" s="2" t="s">
        <v>45</v>
      </c>
      <c r="E32" s="3">
        <v>-62</v>
      </c>
      <c r="F32" s="3">
        <v>-145</v>
      </c>
      <c r="G32" s="3">
        <v>-279</v>
      </c>
      <c r="H32" s="3">
        <v>-1291</v>
      </c>
      <c r="I32" s="11"/>
      <c r="N32" s="7"/>
    </row>
    <row r="33" spans="2:14" ht="15.95" customHeight="1" x14ac:dyDescent="0.2">
      <c r="B33" s="8">
        <v>4.6655405405405403</v>
      </c>
      <c r="C33" s="1" t="s">
        <v>30</v>
      </c>
      <c r="D33" s="2" t="s">
        <v>41</v>
      </c>
      <c r="E33" s="3">
        <v>-64</v>
      </c>
      <c r="F33" s="3">
        <v>-155</v>
      </c>
      <c r="G33" s="3">
        <v>-296</v>
      </c>
      <c r="H33" s="3">
        <v>-1381</v>
      </c>
      <c r="I33" s="11"/>
      <c r="N33" s="7"/>
    </row>
    <row r="34" spans="2:14" ht="15.95" customHeight="1" x14ac:dyDescent="0.2">
      <c r="B34" s="8">
        <v>4.6716981132075475</v>
      </c>
      <c r="C34" s="1" t="s">
        <v>15</v>
      </c>
      <c r="D34" s="2" t="s">
        <v>45</v>
      </c>
      <c r="E34" s="3">
        <v>-72</v>
      </c>
      <c r="F34" s="3">
        <v>-143</v>
      </c>
      <c r="G34" s="3">
        <v>-265</v>
      </c>
      <c r="H34" s="3">
        <v>-1238</v>
      </c>
      <c r="I34" s="11"/>
      <c r="N34" s="7"/>
    </row>
    <row r="35" spans="2:14" ht="15.95" customHeight="1" x14ac:dyDescent="0.2">
      <c r="B35" s="8">
        <v>4.68</v>
      </c>
      <c r="C35" s="1" t="s">
        <v>8</v>
      </c>
      <c r="D35" s="2" t="s">
        <v>42</v>
      </c>
      <c r="E35" s="3">
        <v>-63</v>
      </c>
      <c r="F35" s="3">
        <v>-136</v>
      </c>
      <c r="G35" s="3">
        <v>-275</v>
      </c>
      <c r="H35" s="3">
        <v>-1287</v>
      </c>
      <c r="I35" s="11"/>
      <c r="N35" s="7"/>
    </row>
    <row r="36" spans="2:14" ht="15.95" customHeight="1" x14ac:dyDescent="0.2">
      <c r="B36" s="8">
        <v>4.6832061068702293</v>
      </c>
      <c r="C36" s="1" t="s">
        <v>23</v>
      </c>
      <c r="D36" s="2" t="s">
        <v>41</v>
      </c>
      <c r="E36" s="3">
        <v>-61</v>
      </c>
      <c r="F36" s="3">
        <v>-151</v>
      </c>
      <c r="G36" s="3">
        <v>-262</v>
      </c>
      <c r="H36" s="3">
        <v>-1227</v>
      </c>
      <c r="I36" s="11"/>
      <c r="N36" s="7"/>
    </row>
    <row r="37" spans="2:14" ht="15.95" customHeight="1" x14ac:dyDescent="0.2">
      <c r="B37" s="8">
        <v>4.6907216494845363</v>
      </c>
      <c r="C37" s="1" t="s">
        <v>18</v>
      </c>
      <c r="D37" s="2" t="s">
        <v>44</v>
      </c>
      <c r="E37" s="3">
        <v>-68</v>
      </c>
      <c r="F37" s="3">
        <v>-148</v>
      </c>
      <c r="G37" s="3">
        <v>-291</v>
      </c>
      <c r="H37" s="3">
        <v>-1365</v>
      </c>
      <c r="I37" s="11"/>
      <c r="J37" s="13">
        <f>SUM(E31:E37)/7</f>
        <v>-66.714285714285708</v>
      </c>
      <c r="K37" s="13">
        <f>SUM(F31:F37)/7</f>
        <v>-146.71428571428572</v>
      </c>
      <c r="L37" s="13">
        <f>SUM(G31:G37)/7</f>
        <v>-276.85714285714283</v>
      </c>
      <c r="M37" s="13">
        <f>SUM(H31:H37)/7</f>
        <v>-1291.1428571428571</v>
      </c>
      <c r="N37" s="7"/>
    </row>
    <row r="38" spans="2:14" ht="15.95" customHeight="1" x14ac:dyDescent="0.2">
      <c r="B38" s="8">
        <v>4.71484375</v>
      </c>
      <c r="C38" s="1" t="s">
        <v>10</v>
      </c>
      <c r="D38" s="2" t="s">
        <v>50</v>
      </c>
      <c r="E38" s="3">
        <v>-73</v>
      </c>
      <c r="F38" s="3">
        <v>-138</v>
      </c>
      <c r="G38" s="3">
        <v>-256</v>
      </c>
      <c r="H38" s="3">
        <v>-1207</v>
      </c>
      <c r="I38" s="12"/>
      <c r="N38" s="7"/>
    </row>
    <row r="39" spans="2:14" ht="15.95" customHeight="1" x14ac:dyDescent="0.2">
      <c r="B39" s="8">
        <v>4.7176470588235295</v>
      </c>
      <c r="C39" s="1" t="s">
        <v>6</v>
      </c>
      <c r="D39" s="2" t="s">
        <v>45</v>
      </c>
      <c r="E39" s="3">
        <v>-64</v>
      </c>
      <c r="F39" s="3">
        <v>-134</v>
      </c>
      <c r="G39" s="3">
        <v>-255</v>
      </c>
      <c r="H39" s="3">
        <v>-1203</v>
      </c>
      <c r="I39" s="12"/>
      <c r="N39" s="7"/>
    </row>
    <row r="40" spans="2:14" ht="15.95" customHeight="1" x14ac:dyDescent="0.2">
      <c r="B40" s="8">
        <v>4.730627306273063</v>
      </c>
      <c r="C40" s="1" t="s">
        <v>4</v>
      </c>
      <c r="D40" s="2" t="s">
        <v>42</v>
      </c>
      <c r="E40" s="3">
        <v>-60</v>
      </c>
      <c r="F40" s="3">
        <v>-132</v>
      </c>
      <c r="G40" s="3">
        <v>-271</v>
      </c>
      <c r="H40" s="3">
        <v>-1282</v>
      </c>
      <c r="I40" s="12"/>
      <c r="N40" s="7"/>
    </row>
    <row r="41" spans="2:14" ht="15.95" customHeight="1" x14ac:dyDescent="0.2">
      <c r="B41" s="8">
        <v>4.7410071942446042</v>
      </c>
      <c r="C41" s="1" t="s">
        <v>16</v>
      </c>
      <c r="D41" s="2" t="s">
        <v>41</v>
      </c>
      <c r="E41" s="3">
        <v>-61</v>
      </c>
      <c r="F41" s="3">
        <v>-144</v>
      </c>
      <c r="G41" s="3">
        <v>-278</v>
      </c>
      <c r="H41" s="3">
        <v>-1318</v>
      </c>
      <c r="I41" s="12"/>
      <c r="N41" s="7"/>
    </row>
    <row r="42" spans="2:14" ht="15.95" customHeight="1" x14ac:dyDescent="0.2">
      <c r="B42" s="8">
        <v>4.7413127413127416</v>
      </c>
      <c r="C42" s="1" t="s">
        <v>7</v>
      </c>
      <c r="D42" s="2" t="s">
        <v>43</v>
      </c>
      <c r="E42" s="3">
        <v>-66</v>
      </c>
      <c r="F42" s="3">
        <v>-135</v>
      </c>
      <c r="G42" s="3">
        <v>-259</v>
      </c>
      <c r="H42" s="3">
        <v>-1228</v>
      </c>
      <c r="I42" s="12"/>
      <c r="J42" s="13">
        <f>SUM(E38:E42)/5</f>
        <v>-64.8</v>
      </c>
      <c r="K42" s="13">
        <f>SUM(F38:F42)/5</f>
        <v>-136.6</v>
      </c>
      <c r="L42" s="13">
        <f>SUM(G38:G42)/5</f>
        <v>-263.8</v>
      </c>
      <c r="M42" s="13">
        <f>SUM(H38:H42)/5</f>
        <v>-1247.5999999999999</v>
      </c>
      <c r="N42" s="7"/>
    </row>
    <row r="43" spans="2:14" ht="15.95" customHeight="1" x14ac:dyDescent="0.2">
      <c r="B43" s="8">
        <v>4.9463601532567054</v>
      </c>
      <c r="C43" s="1" t="s">
        <v>11</v>
      </c>
      <c r="D43" s="2" t="s">
        <v>48</v>
      </c>
      <c r="E43" s="3">
        <v>-72</v>
      </c>
      <c r="F43" s="3">
        <v>-139</v>
      </c>
      <c r="G43" s="3">
        <v>-261</v>
      </c>
      <c r="H43" s="3">
        <v>-1291</v>
      </c>
      <c r="I43" s="11"/>
      <c r="J43" s="13">
        <f>SUM(E43)/1</f>
        <v>-72</v>
      </c>
      <c r="K43" s="13">
        <f>SUM(F43)/1</f>
        <v>-139</v>
      </c>
      <c r="L43" s="13">
        <f>SUM(G43)/1</f>
        <v>-261</v>
      </c>
      <c r="M43" s="13">
        <f>SUM(H43)/1</f>
        <v>-1291</v>
      </c>
      <c r="N43" s="7"/>
    </row>
    <row r="44" spans="2:14" ht="15.95" customHeight="1" x14ac:dyDescent="0.2">
      <c r="B44" s="8"/>
      <c r="E44" s="4"/>
      <c r="F44" s="4"/>
      <c r="G44" s="4"/>
      <c r="H44" s="4"/>
    </row>
    <row r="45" spans="2:14" ht="15.95" customHeight="1" x14ac:dyDescent="0.2">
      <c r="B45" s="8"/>
    </row>
    <row r="46" spans="2:14" ht="15.95" customHeight="1" x14ac:dyDescent="0.2">
      <c r="B46" s="8"/>
    </row>
    <row r="47" spans="2:14" ht="15.95" customHeight="1" x14ac:dyDescent="0.2">
      <c r="B47" s="8"/>
    </row>
    <row r="48" spans="2:14" ht="15.95" customHeight="1" x14ac:dyDescent="0.2"/>
    <row r="49" ht="15.95" customHeight="1" x14ac:dyDescent="0.2"/>
    <row r="50" ht="15.95" customHeight="1" x14ac:dyDescent="0.2"/>
    <row r="51" ht="15.95" customHeight="1" x14ac:dyDescent="0.2"/>
    <row r="52" ht="15.95" customHeight="1" x14ac:dyDescent="0.2"/>
    <row r="53" ht="15.95" customHeight="1" x14ac:dyDescent="0.2"/>
    <row r="54" ht="15.95" customHeight="1" x14ac:dyDescent="0.2"/>
    <row r="55" ht="15.95" customHeight="1" x14ac:dyDescent="0.2"/>
    <row r="56" ht="15.95" customHeight="1" x14ac:dyDescent="0.2"/>
    <row r="57" ht="15.95" customHeight="1" x14ac:dyDescent="0.2"/>
    <row r="58" ht="15.95" customHeight="1" x14ac:dyDescent="0.2"/>
    <row r="59" ht="15.95" customHeight="1" x14ac:dyDescent="0.2"/>
    <row r="60" ht="15.95" customHeight="1" x14ac:dyDescent="0.2"/>
    <row r="61" ht="15.95" customHeight="1" x14ac:dyDescent="0.2"/>
    <row r="62" ht="15.95" customHeight="1" x14ac:dyDescent="0.2"/>
    <row r="63" ht="15.95" customHeight="1" x14ac:dyDescent="0.2"/>
    <row r="64" ht="15.95" customHeight="1" x14ac:dyDescent="0.2"/>
    <row r="65" ht="15.95" customHeight="1" x14ac:dyDescent="0.2"/>
    <row r="66" ht="15.95" customHeight="1" x14ac:dyDescent="0.2"/>
    <row r="67" ht="15.95" customHeight="1" x14ac:dyDescent="0.2"/>
    <row r="68" ht="15.95" customHeight="1" x14ac:dyDescent="0.2"/>
    <row r="69" ht="15.95" customHeight="1" x14ac:dyDescent="0.2"/>
    <row r="70" ht="15.95" customHeight="1" x14ac:dyDescent="0.2"/>
    <row r="71" ht="15.95" customHeight="1" x14ac:dyDescent="0.2"/>
    <row r="72" ht="15.95" customHeight="1" x14ac:dyDescent="0.2"/>
    <row r="73" ht="15.95" customHeight="1" x14ac:dyDescent="0.2"/>
    <row r="74" ht="15.95" customHeight="1" x14ac:dyDescent="0.2"/>
    <row r="75" ht="15.95" customHeight="1" x14ac:dyDescent="0.2"/>
    <row r="76" ht="15.95" customHeight="1" x14ac:dyDescent="0.2"/>
    <row r="77" ht="15.95" customHeight="1" x14ac:dyDescent="0.2"/>
    <row r="78" ht="15.95" customHeight="1" x14ac:dyDescent="0.2"/>
    <row r="79" ht="15.95" customHeight="1" x14ac:dyDescent="0.2"/>
    <row r="80" ht="15.95" customHeight="1" x14ac:dyDescent="0.2"/>
    <row r="81" ht="15.95" customHeight="1" x14ac:dyDescent="0.2"/>
    <row r="82" ht="15.95" customHeight="1" x14ac:dyDescent="0.2"/>
    <row r="83" ht="15.95" customHeight="1" x14ac:dyDescent="0.2"/>
    <row r="84" ht="15.95" customHeight="1" x14ac:dyDescent="0.2"/>
    <row r="85" ht="15.95" customHeight="1" x14ac:dyDescent="0.2"/>
    <row r="86" ht="15.95" customHeight="1" x14ac:dyDescent="0.2"/>
    <row r="87" ht="15.95" customHeight="1" x14ac:dyDescent="0.2"/>
    <row r="88" ht="15.95" customHeight="1" x14ac:dyDescent="0.2"/>
    <row r="89" ht="15.95" customHeight="1" x14ac:dyDescent="0.2"/>
    <row r="90" ht="15.95" customHeight="1" x14ac:dyDescent="0.2"/>
    <row r="91" ht="15.95" customHeight="1" x14ac:dyDescent="0.2"/>
    <row r="92" ht="15.95" customHeight="1" x14ac:dyDescent="0.2"/>
    <row r="93" ht="15.95" customHeight="1" x14ac:dyDescent="0.2"/>
    <row r="94" ht="15.95" customHeight="1" x14ac:dyDescent="0.2"/>
    <row r="95" ht="15.95" customHeight="1" x14ac:dyDescent="0.2"/>
    <row r="96" ht="15.95" customHeight="1" x14ac:dyDescent="0.2"/>
    <row r="97" ht="15.95" customHeight="1" x14ac:dyDescent="0.2"/>
    <row r="98" ht="15.95" customHeight="1" x14ac:dyDescent="0.2"/>
    <row r="99" ht="15.95" customHeight="1" x14ac:dyDescent="0.2"/>
    <row r="100" ht="15.95" customHeight="1" x14ac:dyDescent="0.2"/>
    <row r="101" ht="15.95" customHeight="1" x14ac:dyDescent="0.2"/>
    <row r="102" ht="15.95" customHeight="1" x14ac:dyDescent="0.2"/>
    <row r="103" ht="15.95" customHeight="1" x14ac:dyDescent="0.2"/>
    <row r="104" ht="15.95" customHeight="1" x14ac:dyDescent="0.2"/>
    <row r="105" ht="15.95" customHeight="1" x14ac:dyDescent="0.2"/>
    <row r="106" ht="15.95" customHeight="1" x14ac:dyDescent="0.2"/>
    <row r="107" ht="15.95" customHeight="1" x14ac:dyDescent="0.2"/>
    <row r="108" ht="15.95" customHeight="1" x14ac:dyDescent="0.2"/>
    <row r="109" ht="15.95" customHeight="1" x14ac:dyDescent="0.2"/>
    <row r="110" ht="15.95" customHeight="1" x14ac:dyDescent="0.2"/>
    <row r="111" ht="15.95" customHeight="1" x14ac:dyDescent="0.2"/>
    <row r="112" ht="15.95" customHeight="1" x14ac:dyDescent="0.2"/>
    <row r="113" ht="15.95" customHeight="1" x14ac:dyDescent="0.2"/>
    <row r="114" ht="15.95" customHeight="1" x14ac:dyDescent="0.2"/>
    <row r="115" ht="15.95" customHeight="1" x14ac:dyDescent="0.2"/>
    <row r="116" ht="15.95" customHeight="1" x14ac:dyDescent="0.2"/>
    <row r="117" ht="15.95" customHeight="1" x14ac:dyDescent="0.2"/>
    <row r="118" ht="15.95" customHeight="1" x14ac:dyDescent="0.2"/>
    <row r="119" ht="15.95" customHeight="1" x14ac:dyDescent="0.2"/>
    <row r="120" ht="15.95" customHeight="1" x14ac:dyDescent="0.2"/>
    <row r="121" ht="15.95" customHeight="1" x14ac:dyDescent="0.2"/>
    <row r="122" ht="15.95" customHeight="1" x14ac:dyDescent="0.2"/>
    <row r="123" ht="15.95" customHeight="1" x14ac:dyDescent="0.2"/>
    <row r="124" ht="15.95" customHeight="1" x14ac:dyDescent="0.2"/>
    <row r="125" ht="15.95" customHeight="1" x14ac:dyDescent="0.2"/>
    <row r="126" ht="15.95" customHeight="1" x14ac:dyDescent="0.2"/>
    <row r="127" ht="15.95" customHeight="1" x14ac:dyDescent="0.2"/>
    <row r="128" ht="15.95" customHeight="1" x14ac:dyDescent="0.2"/>
    <row r="129" ht="15.95" customHeight="1" x14ac:dyDescent="0.2"/>
    <row r="130" ht="15.95" customHeight="1" x14ac:dyDescent="0.2"/>
    <row r="131" ht="15.95" customHeight="1" x14ac:dyDescent="0.2"/>
    <row r="132" ht="15.95" customHeight="1" x14ac:dyDescent="0.2"/>
    <row r="133" ht="15.95" customHeight="1" x14ac:dyDescent="0.2"/>
    <row r="134" ht="15.95" customHeight="1" x14ac:dyDescent="0.2"/>
    <row r="135" ht="15.95" customHeight="1" x14ac:dyDescent="0.2"/>
    <row r="136" ht="15.95" customHeight="1" x14ac:dyDescent="0.2"/>
    <row r="137" ht="15.95" customHeight="1" x14ac:dyDescent="0.2"/>
    <row r="138" ht="15.95" customHeight="1" x14ac:dyDescent="0.2"/>
    <row r="139" ht="15.95" customHeight="1" x14ac:dyDescent="0.2"/>
    <row r="140" ht="15.95" customHeight="1" x14ac:dyDescent="0.2"/>
    <row r="141" ht="15.95" customHeight="1" x14ac:dyDescent="0.2"/>
    <row r="142" ht="15.95" customHeight="1" x14ac:dyDescent="0.2"/>
    <row r="143" ht="15.95" customHeight="1" x14ac:dyDescent="0.2"/>
    <row r="144" ht="15.95" customHeight="1" x14ac:dyDescent="0.2"/>
    <row r="145" ht="15.95" customHeight="1" x14ac:dyDescent="0.2"/>
    <row r="146" ht="15.95" customHeight="1" x14ac:dyDescent="0.2"/>
    <row r="147" ht="15.95" customHeight="1" x14ac:dyDescent="0.2"/>
    <row r="148" ht="15.95" customHeight="1" x14ac:dyDescent="0.2"/>
    <row r="149" ht="15.95" customHeight="1" x14ac:dyDescent="0.2"/>
    <row r="150" ht="15.95" customHeight="1" x14ac:dyDescent="0.2"/>
    <row r="151" ht="15.95" customHeight="1" x14ac:dyDescent="0.2"/>
    <row r="152" ht="15.95" customHeight="1" x14ac:dyDescent="0.2"/>
    <row r="153" ht="15.95" customHeight="1" x14ac:dyDescent="0.2"/>
    <row r="154" ht="15.95" customHeight="1" x14ac:dyDescent="0.2"/>
    <row r="155" ht="15.95" customHeight="1" x14ac:dyDescent="0.2"/>
    <row r="156" ht="15.95" customHeight="1" x14ac:dyDescent="0.2"/>
    <row r="157" ht="15.95" customHeight="1" x14ac:dyDescent="0.2"/>
    <row r="158" ht="15.95" customHeight="1" x14ac:dyDescent="0.2"/>
    <row r="159" ht="15.95" customHeight="1" x14ac:dyDescent="0.2"/>
    <row r="160" ht="15.95" customHeight="1" x14ac:dyDescent="0.2"/>
    <row r="161" ht="15.95" customHeight="1" x14ac:dyDescent="0.2"/>
    <row r="162" ht="15.95" customHeight="1" x14ac:dyDescent="0.2"/>
    <row r="163" ht="15.95" customHeight="1" x14ac:dyDescent="0.2"/>
    <row r="164" ht="15.95" customHeight="1" x14ac:dyDescent="0.2"/>
    <row r="165" ht="15.95" customHeight="1" x14ac:dyDescent="0.2"/>
  </sheetData>
  <phoneticPr fontId="0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copied_data</vt:lpstr>
      <vt:lpstr>sort_2ips</vt:lpstr>
      <vt:lpstr>sort_5ips</vt:lpstr>
      <vt:lpstr>sort_10ips_pre_final_results</vt:lpstr>
      <vt:lpstr>final_results</vt:lpstr>
      <vt:lpstr>sort_40.10</vt:lpstr>
      <vt:lpstr>Sheet3</vt:lpstr>
      <vt:lpstr>final_results!Print_Area</vt:lpstr>
      <vt:lpstr>sort_10ips_pre_final_results!Print_Area</vt:lpstr>
    </vt:vector>
  </TitlesOfParts>
  <Company>GP Racing,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cp:lastPrinted>2017-07-17T04:42:02Z</cp:lastPrinted>
  <dcterms:created xsi:type="dcterms:W3CDTF">2016-07-24T20:30:52Z</dcterms:created>
  <dcterms:modified xsi:type="dcterms:W3CDTF">2017-07-26T21:20:23Z</dcterms:modified>
</cp:coreProperties>
</file>