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7100" windowHeight="7560" tabRatio="753"/>
  </bookViews>
  <sheets>
    <sheet name="rzeta_bkwd_less_drag" sheetId="12" r:id="rId1"/>
    <sheet name="shr_per_spr" sheetId="6" r:id="rId2"/>
    <sheet name="shr_add_rcratio_aver" sheetId="7" r:id="rId3"/>
    <sheet name="shr_add_rcratio_adjust" sheetId="11" r:id="rId4"/>
    <sheet name="sh_comp_zeta" sheetId="10" r:id="rId5"/>
    <sheet name="shr_save_rzeta_1.00" sheetId="8" r:id="rId6"/>
    <sheet name="Sheet1" sheetId="9" r:id="rId7"/>
  </sheets>
  <definedNames>
    <definedName name="_xlnm.Print_Area" localSheetId="0">rzeta_bkwd_less_drag!$A$85:$H$99</definedName>
    <definedName name="_xlnm.Print_Area" localSheetId="4">sh_comp_zeta!$J$15:$W$80</definedName>
    <definedName name="_xlnm.Print_Area" localSheetId="3">shr_add_rcratio_adjust!$B$13:$R$101</definedName>
    <definedName name="_xlnm.Print_Area" localSheetId="2">shr_add_rcratio_aver!$B$68:$R$100</definedName>
    <definedName name="_xlnm.Print_Area" localSheetId="1">shr_per_spr!$A$31:$F$48</definedName>
    <definedName name="_xlnm.Print_Area" localSheetId="5">shr_save_rzeta_1.00!$C$13:$R$83</definedName>
  </definedNames>
  <calcPr calcId="145621"/>
</workbook>
</file>

<file path=xl/calcChain.xml><?xml version="1.0" encoding="utf-8"?>
<calcChain xmlns="http://schemas.openxmlformats.org/spreadsheetml/2006/main">
  <c r="G90" i="12" l="1"/>
  <c r="G91" i="12"/>
  <c r="G92" i="12"/>
  <c r="G93" i="12"/>
  <c r="G94" i="12"/>
  <c r="G95" i="12"/>
  <c r="G96" i="12"/>
  <c r="G97" i="12"/>
  <c r="G98" i="12"/>
  <c r="G89" i="12"/>
  <c r="F90" i="12"/>
  <c r="F91" i="12"/>
  <c r="F92" i="12"/>
  <c r="F93" i="12"/>
  <c r="F94" i="12"/>
  <c r="F95" i="12"/>
  <c r="F96" i="12"/>
  <c r="F97" i="12"/>
  <c r="F98" i="12"/>
  <c r="F89" i="12"/>
  <c r="E90" i="12"/>
  <c r="E91" i="12"/>
  <c r="E92" i="12"/>
  <c r="E93" i="12"/>
  <c r="E94" i="12"/>
  <c r="E95" i="12"/>
  <c r="E96" i="12"/>
  <c r="E97" i="12"/>
  <c r="E98" i="12"/>
  <c r="E89" i="12"/>
  <c r="D90" i="12"/>
  <c r="D91" i="12"/>
  <c r="D92" i="12"/>
  <c r="D93" i="12"/>
  <c r="D94" i="12"/>
  <c r="D95" i="12"/>
  <c r="D96" i="12"/>
  <c r="D97" i="12"/>
  <c r="D98" i="12"/>
  <c r="D89" i="12"/>
  <c r="C98" i="12"/>
  <c r="C97" i="12"/>
  <c r="C96" i="12"/>
  <c r="C95" i="12"/>
  <c r="C94" i="12"/>
  <c r="C93" i="12"/>
  <c r="C92" i="12"/>
  <c r="C91" i="12"/>
  <c r="C90" i="12"/>
  <c r="C89" i="12"/>
  <c r="O83" i="12"/>
  <c r="N83" i="12"/>
  <c r="P83" i="12" s="1"/>
  <c r="Q83" i="12" s="1"/>
  <c r="M83" i="12"/>
  <c r="F83" i="12"/>
  <c r="D83" i="12"/>
  <c r="E83" i="12" s="1"/>
  <c r="G83" i="12" s="1"/>
  <c r="H83" i="12" s="1"/>
  <c r="I83" i="12" s="1"/>
  <c r="O82" i="12"/>
  <c r="M82" i="12"/>
  <c r="N82" i="12" s="1"/>
  <c r="P82" i="12" s="1"/>
  <c r="Q82" i="12" s="1"/>
  <c r="F82" i="12"/>
  <c r="D82" i="12"/>
  <c r="E82" i="12" s="1"/>
  <c r="G82" i="12" s="1"/>
  <c r="H82" i="12" s="1"/>
  <c r="I82" i="12" s="1"/>
  <c r="O81" i="12"/>
  <c r="M81" i="12"/>
  <c r="N81" i="12" s="1"/>
  <c r="P81" i="12" s="1"/>
  <c r="Q81" i="12" s="1"/>
  <c r="F81" i="12"/>
  <c r="E81" i="12"/>
  <c r="G81" i="12" s="1"/>
  <c r="H81" i="12" s="1"/>
  <c r="I81" i="12" s="1"/>
  <c r="D81" i="12"/>
  <c r="O80" i="12"/>
  <c r="M80" i="12"/>
  <c r="N80" i="12" s="1"/>
  <c r="P80" i="12" s="1"/>
  <c r="Q80" i="12" s="1"/>
  <c r="F80" i="12"/>
  <c r="D80" i="12"/>
  <c r="E80" i="12" s="1"/>
  <c r="G80" i="12" s="1"/>
  <c r="H80" i="12" s="1"/>
  <c r="I80" i="12" s="1"/>
  <c r="O79" i="12"/>
  <c r="M79" i="12"/>
  <c r="N79" i="12" s="1"/>
  <c r="P79" i="12" s="1"/>
  <c r="F79" i="12"/>
  <c r="D79" i="12"/>
  <c r="E79" i="12" s="1"/>
  <c r="G79" i="12" s="1"/>
  <c r="H79" i="12" s="1"/>
  <c r="I79" i="12" s="1"/>
  <c r="O78" i="12"/>
  <c r="M78" i="12"/>
  <c r="N78" i="12" s="1"/>
  <c r="P78" i="12" s="1"/>
  <c r="F78" i="12"/>
  <c r="D78" i="12"/>
  <c r="E78" i="12" s="1"/>
  <c r="G78" i="12" s="1"/>
  <c r="H78" i="12" s="1"/>
  <c r="I78" i="12" s="1"/>
  <c r="O77" i="12"/>
  <c r="M77" i="12"/>
  <c r="N77" i="12" s="1"/>
  <c r="P77" i="12" s="1"/>
  <c r="F77" i="12"/>
  <c r="D77" i="12"/>
  <c r="E77" i="12" s="1"/>
  <c r="G77" i="12" s="1"/>
  <c r="H77" i="12" s="1"/>
  <c r="I77" i="12" s="1"/>
  <c r="O76" i="12"/>
  <c r="M76" i="12"/>
  <c r="N76" i="12" s="1"/>
  <c r="P76" i="12" s="1"/>
  <c r="F76" i="12"/>
  <c r="D76" i="12"/>
  <c r="E76" i="12" s="1"/>
  <c r="G76" i="12" s="1"/>
  <c r="H76" i="12" s="1"/>
  <c r="I76" i="12" s="1"/>
  <c r="O75" i="12"/>
  <c r="M75" i="12"/>
  <c r="N75" i="12" s="1"/>
  <c r="P75" i="12" s="1"/>
  <c r="F75" i="12"/>
  <c r="D75" i="12"/>
  <c r="E75" i="12" s="1"/>
  <c r="G75" i="12" s="1"/>
  <c r="H75" i="12" s="1"/>
  <c r="I75" i="12" s="1"/>
  <c r="O74" i="12"/>
  <c r="M74" i="12"/>
  <c r="N74" i="12" s="1"/>
  <c r="P74" i="12" s="1"/>
  <c r="Q74" i="12" s="1"/>
  <c r="F74" i="12"/>
  <c r="D74" i="12"/>
  <c r="E74" i="12" s="1"/>
  <c r="G74" i="12" s="1"/>
  <c r="H74" i="12" s="1"/>
  <c r="I74" i="12" s="1"/>
  <c r="O69" i="12"/>
  <c r="N69" i="12"/>
  <c r="P69" i="12" s="1"/>
  <c r="Q69" i="12" s="1"/>
  <c r="M69" i="12"/>
  <c r="F69" i="12"/>
  <c r="D69" i="12"/>
  <c r="E69" i="12" s="1"/>
  <c r="G69" i="12" s="1"/>
  <c r="H69" i="12" s="1"/>
  <c r="I69" i="12" s="1"/>
  <c r="O68" i="12"/>
  <c r="M68" i="12"/>
  <c r="N68" i="12" s="1"/>
  <c r="P68" i="12" s="1"/>
  <c r="Q68" i="12" s="1"/>
  <c r="F68" i="12"/>
  <c r="D68" i="12"/>
  <c r="E68" i="12" s="1"/>
  <c r="G68" i="12" s="1"/>
  <c r="H68" i="12" s="1"/>
  <c r="I68" i="12" s="1"/>
  <c r="O67" i="12"/>
  <c r="M67" i="12"/>
  <c r="N67" i="12" s="1"/>
  <c r="P67" i="12" s="1"/>
  <c r="Q67" i="12" s="1"/>
  <c r="F67" i="12"/>
  <c r="E67" i="12"/>
  <c r="G67" i="12" s="1"/>
  <c r="H67" i="12" s="1"/>
  <c r="I67" i="12" s="1"/>
  <c r="D67" i="12"/>
  <c r="O66" i="12"/>
  <c r="M66" i="12"/>
  <c r="N66" i="12" s="1"/>
  <c r="P66" i="12" s="1"/>
  <c r="F66" i="12"/>
  <c r="D66" i="12"/>
  <c r="E66" i="12" s="1"/>
  <c r="G66" i="12" s="1"/>
  <c r="H66" i="12" s="1"/>
  <c r="I66" i="12" s="1"/>
  <c r="O65" i="12"/>
  <c r="M65" i="12"/>
  <c r="N65" i="12" s="1"/>
  <c r="P65" i="12" s="1"/>
  <c r="F65" i="12"/>
  <c r="D65" i="12"/>
  <c r="E65" i="12" s="1"/>
  <c r="G65" i="12" s="1"/>
  <c r="H65" i="12" s="1"/>
  <c r="I65" i="12" s="1"/>
  <c r="O64" i="12"/>
  <c r="M64" i="12"/>
  <c r="N64" i="12" s="1"/>
  <c r="P64" i="12" s="1"/>
  <c r="F64" i="12"/>
  <c r="D64" i="12"/>
  <c r="E64" i="12" s="1"/>
  <c r="G64" i="12" s="1"/>
  <c r="H64" i="12" s="1"/>
  <c r="I64" i="12" s="1"/>
  <c r="O63" i="12"/>
  <c r="M63" i="12"/>
  <c r="N63" i="12" s="1"/>
  <c r="P63" i="12" s="1"/>
  <c r="F63" i="12"/>
  <c r="D63" i="12"/>
  <c r="E63" i="12" s="1"/>
  <c r="G63" i="12" s="1"/>
  <c r="H63" i="12" s="1"/>
  <c r="I63" i="12" s="1"/>
  <c r="O62" i="12"/>
  <c r="M62" i="12"/>
  <c r="N62" i="12" s="1"/>
  <c r="P62" i="12" s="1"/>
  <c r="F62" i="12"/>
  <c r="D62" i="12"/>
  <c r="E62" i="12" s="1"/>
  <c r="G62" i="12" s="1"/>
  <c r="H62" i="12" s="1"/>
  <c r="I62" i="12" s="1"/>
  <c r="O61" i="12"/>
  <c r="M61" i="12"/>
  <c r="N61" i="12" s="1"/>
  <c r="P61" i="12" s="1"/>
  <c r="Q61" i="12" s="1"/>
  <c r="F61" i="12"/>
  <c r="D61" i="12"/>
  <c r="E61" i="12" s="1"/>
  <c r="G61" i="12" s="1"/>
  <c r="H61" i="12" s="1"/>
  <c r="I61" i="12" s="1"/>
  <c r="O60" i="12"/>
  <c r="M60" i="12"/>
  <c r="N60" i="12" s="1"/>
  <c r="P60" i="12" s="1"/>
  <c r="Q60" i="12" s="1"/>
  <c r="F60" i="12"/>
  <c r="D60" i="12"/>
  <c r="E60" i="12" s="1"/>
  <c r="G60" i="12" s="1"/>
  <c r="H60" i="12" s="1"/>
  <c r="I60" i="12" s="1"/>
  <c r="O55" i="12"/>
  <c r="O54" i="12"/>
  <c r="O53" i="12"/>
  <c r="O52" i="12"/>
  <c r="O51" i="12"/>
  <c r="O50" i="12"/>
  <c r="O49" i="12"/>
  <c r="O48" i="12"/>
  <c r="O47" i="12"/>
  <c r="O46" i="12"/>
  <c r="P46" i="12" s="1"/>
  <c r="F55" i="12"/>
  <c r="F54" i="12"/>
  <c r="F53" i="12"/>
  <c r="F52" i="12"/>
  <c r="F51" i="12"/>
  <c r="F50" i="12"/>
  <c r="F49" i="12"/>
  <c r="F48" i="12"/>
  <c r="F47" i="12"/>
  <c r="F46" i="12"/>
  <c r="G46" i="12" s="1"/>
  <c r="H46" i="12" s="1"/>
  <c r="I46" i="12" s="1"/>
  <c r="O41" i="12"/>
  <c r="O40" i="12"/>
  <c r="O39" i="12"/>
  <c r="O38" i="12"/>
  <c r="O37" i="12"/>
  <c r="O36" i="12"/>
  <c r="O35" i="12"/>
  <c r="O34" i="12"/>
  <c r="O33" i="12"/>
  <c r="O32" i="12"/>
  <c r="F41" i="12"/>
  <c r="F40" i="12"/>
  <c r="F39" i="12"/>
  <c r="F38" i="12"/>
  <c r="F37" i="12"/>
  <c r="F36" i="12"/>
  <c r="F35" i="12"/>
  <c r="F34" i="12"/>
  <c r="F33" i="12"/>
  <c r="F32" i="12"/>
  <c r="O19" i="12"/>
  <c r="O20" i="12"/>
  <c r="O21" i="12"/>
  <c r="O22" i="12"/>
  <c r="O23" i="12"/>
  <c r="O24" i="12"/>
  <c r="O25" i="12"/>
  <c r="O26" i="12"/>
  <c r="O27" i="12"/>
  <c r="O18" i="12"/>
  <c r="N46" i="12"/>
  <c r="M46" i="12"/>
  <c r="E46" i="12"/>
  <c r="D46" i="12"/>
  <c r="M55" i="12"/>
  <c r="N55" i="12" s="1"/>
  <c r="D55" i="12"/>
  <c r="E55" i="12" s="1"/>
  <c r="N54" i="12"/>
  <c r="M54" i="12"/>
  <c r="D54" i="12"/>
  <c r="E54" i="12" s="1"/>
  <c r="M53" i="12"/>
  <c r="N53" i="12" s="1"/>
  <c r="D53" i="12"/>
  <c r="E53" i="12" s="1"/>
  <c r="G53" i="12" s="1"/>
  <c r="H53" i="12" s="1"/>
  <c r="I53" i="12" s="1"/>
  <c r="M52" i="12"/>
  <c r="N52" i="12" s="1"/>
  <c r="E52" i="12"/>
  <c r="D52" i="12"/>
  <c r="M51" i="12"/>
  <c r="N51" i="12" s="1"/>
  <c r="D51" i="12"/>
  <c r="E51" i="12" s="1"/>
  <c r="M50" i="12"/>
  <c r="N50" i="12" s="1"/>
  <c r="D50" i="12"/>
  <c r="E50" i="12" s="1"/>
  <c r="M49" i="12"/>
  <c r="N49" i="12" s="1"/>
  <c r="D49" i="12"/>
  <c r="E49" i="12" s="1"/>
  <c r="G49" i="12" s="1"/>
  <c r="H49" i="12" s="1"/>
  <c r="I49" i="12" s="1"/>
  <c r="M48" i="12"/>
  <c r="N48" i="12" s="1"/>
  <c r="D48" i="12"/>
  <c r="E48" i="12" s="1"/>
  <c r="M47" i="12"/>
  <c r="N47" i="12" s="1"/>
  <c r="D47" i="12"/>
  <c r="E47" i="12" s="1"/>
  <c r="M41" i="12"/>
  <c r="N41" i="12" s="1"/>
  <c r="D41" i="12"/>
  <c r="E41" i="12" s="1"/>
  <c r="N40" i="12"/>
  <c r="M40" i="12"/>
  <c r="D40" i="12"/>
  <c r="E40" i="12" s="1"/>
  <c r="M39" i="12"/>
  <c r="N39" i="12" s="1"/>
  <c r="D39" i="12"/>
  <c r="E39" i="12" s="1"/>
  <c r="G39" i="12" s="1"/>
  <c r="H39" i="12" s="1"/>
  <c r="I39" i="12" s="1"/>
  <c r="M38" i="12"/>
  <c r="N38" i="12" s="1"/>
  <c r="E38" i="12"/>
  <c r="D38" i="12"/>
  <c r="M37" i="12"/>
  <c r="N37" i="12" s="1"/>
  <c r="D37" i="12"/>
  <c r="E37" i="12" s="1"/>
  <c r="M36" i="12"/>
  <c r="N36" i="12" s="1"/>
  <c r="D36" i="12"/>
  <c r="E36" i="12" s="1"/>
  <c r="M35" i="12"/>
  <c r="N35" i="12" s="1"/>
  <c r="D35" i="12"/>
  <c r="E35" i="12" s="1"/>
  <c r="M34" i="12"/>
  <c r="N34" i="12" s="1"/>
  <c r="D34" i="12"/>
  <c r="E34" i="12" s="1"/>
  <c r="M33" i="12"/>
  <c r="N33" i="12" s="1"/>
  <c r="D33" i="12"/>
  <c r="E33" i="12" s="1"/>
  <c r="M32" i="12"/>
  <c r="N32" i="12" s="1"/>
  <c r="P32" i="12" s="1"/>
  <c r="D32" i="12"/>
  <c r="E32" i="12" s="1"/>
  <c r="M27" i="12"/>
  <c r="N27" i="12" s="1"/>
  <c r="M26" i="12"/>
  <c r="N26" i="12" s="1"/>
  <c r="M25" i="12"/>
  <c r="N25" i="12" s="1"/>
  <c r="M24" i="12"/>
  <c r="N24" i="12" s="1"/>
  <c r="M23" i="12"/>
  <c r="N23" i="12" s="1"/>
  <c r="M22" i="12"/>
  <c r="N22" i="12" s="1"/>
  <c r="M21" i="12"/>
  <c r="N21" i="12" s="1"/>
  <c r="M20" i="12"/>
  <c r="N20" i="12" s="1"/>
  <c r="M19" i="12"/>
  <c r="N19" i="12" s="1"/>
  <c r="M18" i="12"/>
  <c r="N18" i="12" s="1"/>
  <c r="F16" i="6"/>
  <c r="F20" i="12"/>
  <c r="F21" i="12"/>
  <c r="F22" i="12"/>
  <c r="F23" i="12"/>
  <c r="F24" i="12"/>
  <c r="F25" i="12"/>
  <c r="F26" i="12"/>
  <c r="F27" i="12"/>
  <c r="F19" i="12"/>
  <c r="D21" i="12"/>
  <c r="E21" i="12" s="1"/>
  <c r="D25" i="12"/>
  <c r="E25" i="12" s="1"/>
  <c r="B10" i="12"/>
  <c r="D18" i="12" s="1"/>
  <c r="E18" i="12" s="1"/>
  <c r="G18" i="12" s="1"/>
  <c r="H18" i="12" s="1"/>
  <c r="I18" i="12" s="1"/>
  <c r="Q79" i="12" l="1"/>
  <c r="Q77" i="12"/>
  <c r="Q75" i="12"/>
  <c r="Q76" i="12"/>
  <c r="Q78" i="12"/>
  <c r="Q63" i="12"/>
  <c r="Q62" i="12"/>
  <c r="Q64" i="12"/>
  <c r="Q65" i="12"/>
  <c r="Q66" i="12"/>
  <c r="G37" i="12"/>
  <c r="H37" i="12" s="1"/>
  <c r="I37" i="12" s="1"/>
  <c r="G33" i="12"/>
  <c r="H33" i="12" s="1"/>
  <c r="I33" i="12" s="1"/>
  <c r="G47" i="12"/>
  <c r="H47" i="12" s="1"/>
  <c r="I47" i="12" s="1"/>
  <c r="G51" i="12"/>
  <c r="H51" i="12" s="1"/>
  <c r="I51" i="12" s="1"/>
  <c r="G32" i="12"/>
  <c r="H32" i="12" s="1"/>
  <c r="I32" i="12" s="1"/>
  <c r="G36" i="12"/>
  <c r="H36" i="12" s="1"/>
  <c r="I36" i="12" s="1"/>
  <c r="G41" i="12"/>
  <c r="H41" i="12" s="1"/>
  <c r="I41" i="12" s="1"/>
  <c r="G50" i="12"/>
  <c r="H50" i="12" s="1"/>
  <c r="I50" i="12" s="1"/>
  <c r="G40" i="12"/>
  <c r="H40" i="12" s="1"/>
  <c r="I40" i="12" s="1"/>
  <c r="G54" i="12"/>
  <c r="H54" i="12" s="1"/>
  <c r="I54" i="12" s="1"/>
  <c r="G48" i="12"/>
  <c r="H48" i="12" s="1"/>
  <c r="I48" i="12" s="1"/>
  <c r="G52" i="12"/>
  <c r="H52" i="12" s="1"/>
  <c r="I52" i="12" s="1"/>
  <c r="G55" i="12"/>
  <c r="H55" i="12" s="1"/>
  <c r="I55" i="12" s="1"/>
  <c r="G34" i="12"/>
  <c r="H34" i="12" s="1"/>
  <c r="I34" i="12" s="1"/>
  <c r="G38" i="12"/>
  <c r="H38" i="12" s="1"/>
  <c r="I38" i="12" s="1"/>
  <c r="G35" i="12"/>
  <c r="H35" i="12" s="1"/>
  <c r="I35" i="12" s="1"/>
  <c r="P40" i="12"/>
  <c r="Q40" i="12" s="1"/>
  <c r="P41" i="12"/>
  <c r="Q41" i="12" s="1"/>
  <c r="P18" i="12"/>
  <c r="Q18" i="12" s="1"/>
  <c r="P26" i="12"/>
  <c r="Q26" i="12" s="1"/>
  <c r="P22" i="12"/>
  <c r="Q22" i="12" s="1"/>
  <c r="P35" i="12"/>
  <c r="P47" i="12"/>
  <c r="Q47" i="12" s="1"/>
  <c r="P48" i="12"/>
  <c r="Q48" i="12" s="1"/>
  <c r="P49" i="12"/>
  <c r="Q49" i="12" s="1"/>
  <c r="P50" i="12"/>
  <c r="Q50" i="12" s="1"/>
  <c r="P51" i="12"/>
  <c r="Q51" i="12" s="1"/>
  <c r="P52" i="12"/>
  <c r="Q52" i="12" s="1"/>
  <c r="P53" i="12"/>
  <c r="Q53" i="12" s="1"/>
  <c r="P24" i="12"/>
  <c r="Q24" i="12" s="1"/>
  <c r="P19" i="12"/>
  <c r="Q19" i="12" s="1"/>
  <c r="P20" i="12"/>
  <c r="Q20" i="12" s="1"/>
  <c r="P33" i="12"/>
  <c r="Q33" i="12" s="1"/>
  <c r="P34" i="12"/>
  <c r="Q34" i="12" s="1"/>
  <c r="P36" i="12"/>
  <c r="Q36" i="12" s="1"/>
  <c r="P37" i="12"/>
  <c r="Q37" i="12" s="1"/>
  <c r="P38" i="12"/>
  <c r="Q38" i="12" s="1"/>
  <c r="P39" i="12"/>
  <c r="Q39" i="12" s="1"/>
  <c r="P54" i="12"/>
  <c r="Q54" i="12" s="1"/>
  <c r="P55" i="12"/>
  <c r="Q55" i="12" s="1"/>
  <c r="Q46" i="12"/>
  <c r="Q35" i="12"/>
  <c r="Q32" i="12"/>
  <c r="G24" i="12"/>
  <c r="G20" i="12"/>
  <c r="G25" i="12"/>
  <c r="H25" i="12" s="1"/>
  <c r="I25" i="12" s="1"/>
  <c r="G21" i="12"/>
  <c r="H21" i="12" s="1"/>
  <c r="I21" i="12" s="1"/>
  <c r="P21" i="12"/>
  <c r="Q21" i="12" s="1"/>
  <c r="P25" i="12"/>
  <c r="Q25" i="12" s="1"/>
  <c r="P27" i="12"/>
  <c r="Q27" i="12" s="1"/>
  <c r="P23" i="12"/>
  <c r="Q23" i="12" s="1"/>
  <c r="H24" i="12"/>
  <c r="I24" i="12" s="1"/>
  <c r="H20" i="12"/>
  <c r="I20" i="12" s="1"/>
  <c r="D24" i="12"/>
  <c r="E24" i="12" s="1"/>
  <c r="D20" i="12"/>
  <c r="E20" i="12" s="1"/>
  <c r="D27" i="12"/>
  <c r="E27" i="12" s="1"/>
  <c r="G27" i="12" s="1"/>
  <c r="H27" i="12" s="1"/>
  <c r="I27" i="12" s="1"/>
  <c r="D23" i="12"/>
  <c r="E23" i="12" s="1"/>
  <c r="G23" i="12" s="1"/>
  <c r="H23" i="12" s="1"/>
  <c r="I23" i="12" s="1"/>
  <c r="D19" i="12"/>
  <c r="E19" i="12" s="1"/>
  <c r="G19" i="12" s="1"/>
  <c r="H19" i="12" s="1"/>
  <c r="I19" i="12" s="1"/>
  <c r="D26" i="12"/>
  <c r="E26" i="12" s="1"/>
  <c r="G26" i="12" s="1"/>
  <c r="H26" i="12" s="1"/>
  <c r="I26" i="12" s="1"/>
  <c r="D22" i="12"/>
  <c r="E22" i="12" s="1"/>
  <c r="G22" i="12" s="1"/>
  <c r="H22" i="12" s="1"/>
  <c r="I22" i="12" s="1"/>
  <c r="F149" i="11" l="1"/>
  <c r="F150" i="11"/>
  <c r="F151" i="11"/>
  <c r="F152" i="11"/>
  <c r="F153" i="11"/>
  <c r="F154" i="11"/>
  <c r="F155" i="11"/>
  <c r="F156" i="11"/>
  <c r="F157" i="11"/>
  <c r="F148" i="11"/>
  <c r="D148" i="11"/>
  <c r="D149" i="11"/>
  <c r="D150" i="11"/>
  <c r="D151" i="11"/>
  <c r="D152" i="11"/>
  <c r="D153" i="11"/>
  <c r="D154" i="11"/>
  <c r="D155" i="11"/>
  <c r="D156" i="11"/>
  <c r="D157" i="11"/>
  <c r="E157" i="11" s="1"/>
  <c r="E156" i="11"/>
  <c r="E155" i="11"/>
  <c r="E154" i="11"/>
  <c r="E153" i="11"/>
  <c r="E152" i="11"/>
  <c r="E151" i="11"/>
  <c r="E150" i="11"/>
  <c r="B149" i="11"/>
  <c r="E149" i="11" s="1"/>
  <c r="E148" i="11"/>
  <c r="G123" i="11" l="1"/>
  <c r="G124" i="11" s="1"/>
  <c r="G126" i="11" s="1"/>
  <c r="D122" i="11"/>
  <c r="D123" i="11"/>
  <c r="D124" i="11"/>
  <c r="D125" i="11"/>
  <c r="D126" i="11"/>
  <c r="D127" i="11"/>
  <c r="D128" i="11"/>
  <c r="D129" i="11"/>
  <c r="D130" i="11"/>
  <c r="D131" i="11"/>
  <c r="D132" i="11"/>
  <c r="D133" i="11"/>
  <c r="D134" i="11"/>
  <c r="D121" i="11"/>
  <c r="G11" i="6" l="1"/>
  <c r="G10" i="6"/>
  <c r="U25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34" i="6"/>
  <c r="B17" i="6"/>
  <c r="D16" i="6"/>
  <c r="D23" i="11"/>
  <c r="E23" i="11"/>
  <c r="E39" i="11"/>
  <c r="Q47" i="11"/>
  <c r="K47" i="11"/>
  <c r="J22" i="11"/>
  <c r="J92" i="11"/>
  <c r="K92" i="11" s="1"/>
  <c r="J93" i="11"/>
  <c r="K93" i="11"/>
  <c r="J94" i="11"/>
  <c r="K94" i="11" s="1"/>
  <c r="J95" i="11"/>
  <c r="K95" i="11"/>
  <c r="J96" i="11"/>
  <c r="K96" i="11" s="1"/>
  <c r="J97" i="11"/>
  <c r="K97" i="11"/>
  <c r="J98" i="11"/>
  <c r="I98" i="11" s="1"/>
  <c r="J99" i="11"/>
  <c r="K99" i="11"/>
  <c r="D92" i="11"/>
  <c r="E92" i="11"/>
  <c r="D93" i="11"/>
  <c r="E93" i="11" s="1"/>
  <c r="D94" i="11"/>
  <c r="E94" i="11"/>
  <c r="D95" i="11"/>
  <c r="E95" i="11" s="1"/>
  <c r="D96" i="11"/>
  <c r="E96" i="11"/>
  <c r="D97" i="11"/>
  <c r="E97" i="11" s="1"/>
  <c r="D98" i="11"/>
  <c r="C93" i="11" s="1"/>
  <c r="E98" i="11"/>
  <c r="D99" i="11"/>
  <c r="E99" i="11" s="1"/>
  <c r="P75" i="11"/>
  <c r="P76" i="11"/>
  <c r="P77" i="11"/>
  <c r="Q77" i="11" s="1"/>
  <c r="P78" i="11"/>
  <c r="Q78" i="11" s="1"/>
  <c r="P79" i="11"/>
  <c r="P80" i="11"/>
  <c r="P81" i="11"/>
  <c r="Q81" i="11" s="1"/>
  <c r="P82" i="11"/>
  <c r="Q82" i="11" s="1"/>
  <c r="Q75" i="11"/>
  <c r="Q76" i="11"/>
  <c r="Q79" i="11"/>
  <c r="Q80" i="11"/>
  <c r="J75" i="11"/>
  <c r="K75" i="11"/>
  <c r="J76" i="11"/>
  <c r="K76" i="11" s="1"/>
  <c r="J77" i="11"/>
  <c r="K77" i="11"/>
  <c r="J78" i="11"/>
  <c r="K78" i="11" s="1"/>
  <c r="J79" i="11"/>
  <c r="K79" i="11"/>
  <c r="J80" i="11"/>
  <c r="K80" i="11" s="1"/>
  <c r="J81" i="11"/>
  <c r="K81" i="11"/>
  <c r="J82" i="11"/>
  <c r="K82" i="11" s="1"/>
  <c r="E75" i="11"/>
  <c r="E76" i="11"/>
  <c r="E77" i="11"/>
  <c r="E78" i="11"/>
  <c r="E79" i="11"/>
  <c r="E80" i="11"/>
  <c r="E81" i="11"/>
  <c r="E82" i="11"/>
  <c r="D75" i="11"/>
  <c r="D76" i="11"/>
  <c r="D77" i="11"/>
  <c r="D78" i="11"/>
  <c r="D79" i="11"/>
  <c r="D80" i="11"/>
  <c r="D81" i="11"/>
  <c r="D82" i="11"/>
  <c r="P58" i="11"/>
  <c r="Q58" i="11"/>
  <c r="P59" i="11"/>
  <c r="Q59" i="11" s="1"/>
  <c r="P60" i="11"/>
  <c r="Q60" i="11"/>
  <c r="P61" i="11"/>
  <c r="Q61" i="11" s="1"/>
  <c r="P62" i="11"/>
  <c r="Q62" i="11"/>
  <c r="P63" i="11"/>
  <c r="Q63" i="11" s="1"/>
  <c r="P64" i="11"/>
  <c r="Q64" i="11"/>
  <c r="P65" i="11"/>
  <c r="Q65" i="11" s="1"/>
  <c r="K58" i="11"/>
  <c r="K59" i="11"/>
  <c r="K60" i="11"/>
  <c r="K61" i="11"/>
  <c r="K62" i="11"/>
  <c r="K63" i="11"/>
  <c r="K64" i="11"/>
  <c r="K65" i="11"/>
  <c r="J58" i="11"/>
  <c r="J59" i="11"/>
  <c r="J60" i="11"/>
  <c r="J61" i="11"/>
  <c r="J62" i="11"/>
  <c r="J63" i="11"/>
  <c r="J64" i="11"/>
  <c r="J65" i="11"/>
  <c r="E65" i="11"/>
  <c r="D65" i="11"/>
  <c r="D58" i="11"/>
  <c r="E58" i="11"/>
  <c r="D59" i="11"/>
  <c r="E59" i="11" s="1"/>
  <c r="D60" i="11"/>
  <c r="E60" i="11"/>
  <c r="D61" i="11"/>
  <c r="E61" i="11" s="1"/>
  <c r="D62" i="11"/>
  <c r="E62" i="11"/>
  <c r="D63" i="11"/>
  <c r="E63" i="11" s="1"/>
  <c r="D64" i="11"/>
  <c r="E64" i="11"/>
  <c r="P41" i="11"/>
  <c r="Q41" i="11"/>
  <c r="P42" i="11"/>
  <c r="P43" i="11"/>
  <c r="Q43" i="11"/>
  <c r="P44" i="11"/>
  <c r="Q44" i="11" s="1"/>
  <c r="P45" i="11"/>
  <c r="P46" i="11"/>
  <c r="Q46" i="11" s="1"/>
  <c r="P47" i="11"/>
  <c r="P48" i="11"/>
  <c r="K22" i="11"/>
  <c r="E22" i="11"/>
  <c r="J41" i="11"/>
  <c r="J42" i="11"/>
  <c r="J43" i="11"/>
  <c r="K43" i="11" s="1"/>
  <c r="J44" i="11"/>
  <c r="J45" i="11"/>
  <c r="J46" i="11"/>
  <c r="J47" i="11"/>
  <c r="J48" i="11"/>
  <c r="D41" i="11"/>
  <c r="E41" i="11"/>
  <c r="D42" i="11"/>
  <c r="E42" i="11" s="1"/>
  <c r="D43" i="11"/>
  <c r="E43" i="11"/>
  <c r="D44" i="11"/>
  <c r="E44" i="11" s="1"/>
  <c r="D45" i="11"/>
  <c r="E45" i="11"/>
  <c r="D46" i="11"/>
  <c r="E46" i="11" s="1"/>
  <c r="D47" i="11"/>
  <c r="E47" i="11"/>
  <c r="D48" i="11"/>
  <c r="E48" i="11" s="1"/>
  <c r="P24" i="11"/>
  <c r="Q24" i="11"/>
  <c r="P25" i="11"/>
  <c r="Q25" i="11"/>
  <c r="P26" i="11"/>
  <c r="Q26" i="11"/>
  <c r="P27" i="11"/>
  <c r="Q27" i="11"/>
  <c r="P28" i="11"/>
  <c r="Q28" i="11"/>
  <c r="P29" i="11"/>
  <c r="Q29" i="11"/>
  <c r="P30" i="11"/>
  <c r="Q30" i="11"/>
  <c r="P31" i="11"/>
  <c r="Q31" i="11"/>
  <c r="P22" i="11"/>
  <c r="D39" i="11" s="1"/>
  <c r="J24" i="11"/>
  <c r="J25" i="11"/>
  <c r="J26" i="11"/>
  <c r="K26" i="11" s="1"/>
  <c r="J27" i="11"/>
  <c r="K27" i="11" s="1"/>
  <c r="J28" i="11"/>
  <c r="K28" i="11" s="1"/>
  <c r="J29" i="11"/>
  <c r="J30" i="11"/>
  <c r="K30" i="11" s="1"/>
  <c r="J31" i="11"/>
  <c r="K31" i="11" s="1"/>
  <c r="K24" i="11"/>
  <c r="K25" i="11"/>
  <c r="K29" i="11"/>
  <c r="E24" i="11"/>
  <c r="E25" i="11"/>
  <c r="E26" i="11"/>
  <c r="E27" i="11"/>
  <c r="E28" i="11"/>
  <c r="E29" i="11"/>
  <c r="E30" i="11"/>
  <c r="E31" i="11"/>
  <c r="C92" i="11"/>
  <c r="C97" i="11"/>
  <c r="C98" i="11"/>
  <c r="J23" i="11" l="1"/>
  <c r="K23" i="11" s="1"/>
  <c r="Q48" i="11"/>
  <c r="Q45" i="11"/>
  <c r="Q42" i="11"/>
  <c r="K46" i="11"/>
  <c r="K42" i="11"/>
  <c r="K48" i="11"/>
  <c r="K45" i="11"/>
  <c r="K41" i="11"/>
  <c r="K44" i="11"/>
  <c r="Q22" i="11"/>
  <c r="J39" i="11"/>
  <c r="I96" i="11"/>
  <c r="I93" i="11"/>
  <c r="I92" i="11"/>
  <c r="K98" i="11"/>
  <c r="I91" i="11"/>
  <c r="O39" i="11"/>
  <c r="C96" i="11"/>
  <c r="I90" i="11"/>
  <c r="I95" i="11"/>
  <c r="C90" i="11"/>
  <c r="C94" i="11"/>
  <c r="I99" i="11"/>
  <c r="I94" i="11"/>
  <c r="C99" i="11"/>
  <c r="C95" i="11"/>
  <c r="C91" i="11"/>
  <c r="I97" i="11"/>
  <c r="C5" i="9"/>
  <c r="B26" i="6"/>
  <c r="P23" i="11" l="1"/>
  <c r="D40" i="11" s="1"/>
  <c r="P39" i="11"/>
  <c r="K39" i="11"/>
  <c r="C31" i="11"/>
  <c r="J100" i="11"/>
  <c r="D100" i="11"/>
  <c r="P83" i="11"/>
  <c r="O82" i="11"/>
  <c r="O81" i="11"/>
  <c r="R81" i="11" s="1"/>
  <c r="O80" i="11"/>
  <c r="R80" i="11" s="1"/>
  <c r="O79" i="11"/>
  <c r="R79" i="11" s="1"/>
  <c r="O78" i="11"/>
  <c r="R78" i="11" s="1"/>
  <c r="O77" i="11"/>
  <c r="R77" i="11" s="1"/>
  <c r="O76" i="11"/>
  <c r="R76" i="11" s="1"/>
  <c r="O75" i="11"/>
  <c r="R75" i="11" s="1"/>
  <c r="O74" i="11"/>
  <c r="O73" i="11"/>
  <c r="J83" i="11"/>
  <c r="I82" i="11"/>
  <c r="L82" i="11" s="1"/>
  <c r="I81" i="11"/>
  <c r="L81" i="11" s="1"/>
  <c r="I80" i="11"/>
  <c r="L80" i="11" s="1"/>
  <c r="I79" i="11"/>
  <c r="L79" i="11" s="1"/>
  <c r="I78" i="11"/>
  <c r="L78" i="11" s="1"/>
  <c r="I77" i="11"/>
  <c r="L77" i="11" s="1"/>
  <c r="I76" i="11"/>
  <c r="L76" i="11" s="1"/>
  <c r="I75" i="11"/>
  <c r="L75" i="11" s="1"/>
  <c r="I74" i="11"/>
  <c r="I73" i="11"/>
  <c r="I100" i="7"/>
  <c r="J99" i="7"/>
  <c r="L98" i="7"/>
  <c r="L97" i="7"/>
  <c r="L96" i="7"/>
  <c r="L95" i="7"/>
  <c r="L94" i="7"/>
  <c r="L93" i="7"/>
  <c r="L92" i="7"/>
  <c r="L91" i="7"/>
  <c r="L90" i="7"/>
  <c r="L89" i="7"/>
  <c r="O83" i="7"/>
  <c r="P82" i="7"/>
  <c r="R81" i="7"/>
  <c r="R80" i="7"/>
  <c r="R79" i="7"/>
  <c r="R78" i="7"/>
  <c r="R77" i="7"/>
  <c r="R76" i="7"/>
  <c r="R75" i="7"/>
  <c r="R74" i="7"/>
  <c r="R73" i="7"/>
  <c r="R72" i="7"/>
  <c r="P96" i="6"/>
  <c r="P95" i="6"/>
  <c r="P94" i="6"/>
  <c r="P93" i="6"/>
  <c r="P92" i="6"/>
  <c r="P91" i="6"/>
  <c r="P90" i="6"/>
  <c r="P89" i="6"/>
  <c r="P88" i="6"/>
  <c r="P87" i="6"/>
  <c r="K96" i="6"/>
  <c r="K95" i="6"/>
  <c r="K94" i="6"/>
  <c r="K93" i="6"/>
  <c r="K92" i="6"/>
  <c r="K91" i="6"/>
  <c r="K90" i="6"/>
  <c r="K89" i="6"/>
  <c r="K88" i="6"/>
  <c r="K87" i="6"/>
  <c r="U80" i="6"/>
  <c r="U79" i="6"/>
  <c r="U78" i="6"/>
  <c r="U77" i="6"/>
  <c r="U76" i="6"/>
  <c r="U75" i="6"/>
  <c r="U74" i="6"/>
  <c r="U73" i="6"/>
  <c r="U72" i="6"/>
  <c r="U71" i="6"/>
  <c r="P80" i="6"/>
  <c r="P79" i="6"/>
  <c r="P78" i="6"/>
  <c r="P77" i="6"/>
  <c r="P76" i="6"/>
  <c r="P75" i="6"/>
  <c r="P74" i="6"/>
  <c r="P73" i="6"/>
  <c r="P72" i="6"/>
  <c r="P71" i="6"/>
  <c r="K80" i="6"/>
  <c r="K79" i="6"/>
  <c r="K78" i="6"/>
  <c r="K77" i="6"/>
  <c r="K76" i="6"/>
  <c r="K75" i="6"/>
  <c r="K74" i="6"/>
  <c r="K73" i="6"/>
  <c r="K72" i="6"/>
  <c r="K71" i="6"/>
  <c r="U64" i="6"/>
  <c r="U63" i="6"/>
  <c r="U62" i="6"/>
  <c r="U61" i="6"/>
  <c r="U60" i="6"/>
  <c r="U59" i="6"/>
  <c r="U58" i="6"/>
  <c r="U57" i="6"/>
  <c r="U56" i="6"/>
  <c r="U55" i="6"/>
  <c r="P64" i="6"/>
  <c r="P63" i="6"/>
  <c r="P62" i="6"/>
  <c r="P61" i="6"/>
  <c r="P60" i="6"/>
  <c r="P59" i="6"/>
  <c r="P58" i="6"/>
  <c r="P57" i="6"/>
  <c r="P56" i="6"/>
  <c r="P55" i="6"/>
  <c r="K64" i="6"/>
  <c r="K63" i="6"/>
  <c r="K62" i="6"/>
  <c r="K61" i="6"/>
  <c r="K60" i="6"/>
  <c r="K59" i="6"/>
  <c r="K58" i="6"/>
  <c r="K57" i="6"/>
  <c r="K56" i="6"/>
  <c r="K55" i="6"/>
  <c r="U48" i="6"/>
  <c r="U47" i="6"/>
  <c r="U46" i="6"/>
  <c r="U45" i="6"/>
  <c r="U44" i="6"/>
  <c r="U43" i="6"/>
  <c r="U42" i="6"/>
  <c r="U41" i="6"/>
  <c r="U40" i="6"/>
  <c r="U39" i="6"/>
  <c r="P48" i="6"/>
  <c r="P47" i="6"/>
  <c r="P46" i="6"/>
  <c r="P45" i="6"/>
  <c r="P44" i="6"/>
  <c r="P43" i="6"/>
  <c r="P42" i="6"/>
  <c r="P41" i="6"/>
  <c r="P40" i="6"/>
  <c r="P39" i="6"/>
  <c r="K48" i="6"/>
  <c r="K47" i="6"/>
  <c r="K46" i="6"/>
  <c r="K45" i="6"/>
  <c r="K44" i="6"/>
  <c r="K43" i="6"/>
  <c r="K42" i="6"/>
  <c r="K41" i="6"/>
  <c r="K40" i="6"/>
  <c r="K39" i="6"/>
  <c r="U32" i="6"/>
  <c r="U31" i="6"/>
  <c r="U30" i="6"/>
  <c r="U29" i="6"/>
  <c r="U28" i="6"/>
  <c r="U27" i="6"/>
  <c r="U26" i="6"/>
  <c r="U24" i="6"/>
  <c r="U23" i="6"/>
  <c r="P32" i="6"/>
  <c r="P31" i="6"/>
  <c r="P30" i="6"/>
  <c r="P29" i="6"/>
  <c r="P28" i="6"/>
  <c r="P27" i="6"/>
  <c r="P26" i="6"/>
  <c r="P25" i="6"/>
  <c r="P24" i="6"/>
  <c r="P23" i="6"/>
  <c r="K32" i="6"/>
  <c r="K24" i="6"/>
  <c r="K25" i="6"/>
  <c r="K26" i="6"/>
  <c r="K27" i="6"/>
  <c r="K28" i="6"/>
  <c r="K29" i="6"/>
  <c r="K30" i="6"/>
  <c r="K31" i="6"/>
  <c r="K23" i="6"/>
  <c r="Q23" i="11" l="1"/>
  <c r="E40" i="11"/>
  <c r="J40" i="11"/>
  <c r="D56" i="11"/>
  <c r="Q39" i="11"/>
  <c r="O84" i="11"/>
  <c r="I84" i="11"/>
  <c r="R82" i="11"/>
  <c r="K40" i="11" l="1"/>
  <c r="P40" i="11"/>
  <c r="J56" i="11"/>
  <c r="E56" i="11"/>
  <c r="I83" i="7"/>
  <c r="J82" i="7"/>
  <c r="L81" i="7"/>
  <c r="L80" i="7"/>
  <c r="L79" i="7"/>
  <c r="L78" i="7"/>
  <c r="L77" i="7"/>
  <c r="L76" i="7"/>
  <c r="L75" i="7"/>
  <c r="L74" i="7"/>
  <c r="L73" i="7"/>
  <c r="L72" i="7"/>
  <c r="C100" i="7"/>
  <c r="D99" i="7"/>
  <c r="F98" i="7"/>
  <c r="F97" i="7"/>
  <c r="F96" i="7"/>
  <c r="F95" i="7"/>
  <c r="F94" i="7"/>
  <c r="F93" i="7"/>
  <c r="F92" i="7"/>
  <c r="F91" i="7"/>
  <c r="F90" i="7"/>
  <c r="F89" i="7"/>
  <c r="W86" i="7"/>
  <c r="X86" i="7" s="1"/>
  <c r="W85" i="7"/>
  <c r="X85" i="7" s="1"/>
  <c r="W84" i="7"/>
  <c r="X84" i="7" s="1"/>
  <c r="D57" i="11" l="1"/>
  <c r="Q40" i="11"/>
  <c r="K56" i="11"/>
  <c r="P56" i="11"/>
  <c r="C82" i="11"/>
  <c r="C74" i="11"/>
  <c r="C75" i="11"/>
  <c r="F75" i="11" s="1"/>
  <c r="C76" i="11"/>
  <c r="F76" i="11" s="1"/>
  <c r="C77" i="11"/>
  <c r="F77" i="11" s="1"/>
  <c r="C78" i="11"/>
  <c r="C79" i="11"/>
  <c r="F79" i="11" s="1"/>
  <c r="C80" i="11"/>
  <c r="F80" i="11" s="1"/>
  <c r="C81" i="11"/>
  <c r="F81" i="11" s="1"/>
  <c r="C73" i="11"/>
  <c r="O57" i="11"/>
  <c r="O58" i="11"/>
  <c r="R58" i="11" s="1"/>
  <c r="O59" i="11"/>
  <c r="R59" i="11" s="1"/>
  <c r="O60" i="11"/>
  <c r="R60" i="11" s="1"/>
  <c r="O61" i="11"/>
  <c r="R61" i="11" s="1"/>
  <c r="O62" i="11"/>
  <c r="R62" i="11" s="1"/>
  <c r="O63" i="11"/>
  <c r="R63" i="11" s="1"/>
  <c r="O64" i="11"/>
  <c r="R64" i="11" s="1"/>
  <c r="O65" i="11"/>
  <c r="O67" i="11" s="1"/>
  <c r="O56" i="11"/>
  <c r="I57" i="11"/>
  <c r="I58" i="11"/>
  <c r="I59" i="11"/>
  <c r="L59" i="11" s="1"/>
  <c r="I60" i="11"/>
  <c r="L60" i="11" s="1"/>
  <c r="I61" i="11"/>
  <c r="I62" i="11"/>
  <c r="I63" i="11"/>
  <c r="L63" i="11" s="1"/>
  <c r="I64" i="11"/>
  <c r="L64" i="11" s="1"/>
  <c r="I65" i="11"/>
  <c r="L65" i="11" s="1"/>
  <c r="I56" i="11"/>
  <c r="C65" i="11"/>
  <c r="C57" i="11"/>
  <c r="C58" i="11"/>
  <c r="F58" i="11" s="1"/>
  <c r="C59" i="11"/>
  <c r="F59" i="11" s="1"/>
  <c r="C60" i="11"/>
  <c r="F60" i="11" s="1"/>
  <c r="C61" i="11"/>
  <c r="F61" i="11" s="1"/>
  <c r="C62" i="11"/>
  <c r="F62" i="11" s="1"/>
  <c r="C63" i="11"/>
  <c r="C64" i="11"/>
  <c r="F64" i="11" s="1"/>
  <c r="C56" i="11"/>
  <c r="F56" i="11" s="1"/>
  <c r="O48" i="11"/>
  <c r="R48" i="11" s="1"/>
  <c r="R39" i="11"/>
  <c r="O40" i="11"/>
  <c r="R40" i="11" s="1"/>
  <c r="O41" i="11"/>
  <c r="R41" i="11" s="1"/>
  <c r="O42" i="11"/>
  <c r="R42" i="11" s="1"/>
  <c r="O43" i="11"/>
  <c r="R43" i="11" s="1"/>
  <c r="O44" i="11"/>
  <c r="R44" i="11" s="1"/>
  <c r="O45" i="11"/>
  <c r="R45" i="11" s="1"/>
  <c r="O46" i="11"/>
  <c r="O47" i="11"/>
  <c r="C40" i="11"/>
  <c r="F40" i="11" s="1"/>
  <c r="C41" i="11"/>
  <c r="F41" i="11" s="1"/>
  <c r="C42" i="11"/>
  <c r="F42" i="11" s="1"/>
  <c r="C43" i="11"/>
  <c r="F43" i="11" s="1"/>
  <c r="C44" i="11"/>
  <c r="F44" i="11" s="1"/>
  <c r="C45" i="11"/>
  <c r="F45" i="11" s="1"/>
  <c r="C46" i="11"/>
  <c r="F46" i="11" s="1"/>
  <c r="C47" i="11"/>
  <c r="F47" i="11" s="1"/>
  <c r="C48" i="11"/>
  <c r="C50" i="11" s="1"/>
  <c r="C39" i="11"/>
  <c r="F39" i="11" s="1"/>
  <c r="O23" i="11"/>
  <c r="R23" i="11" s="1"/>
  <c r="O24" i="11"/>
  <c r="R24" i="11" s="1"/>
  <c r="O25" i="11"/>
  <c r="R25" i="11" s="1"/>
  <c r="O26" i="11"/>
  <c r="R26" i="11" s="1"/>
  <c r="O27" i="11"/>
  <c r="O28" i="11"/>
  <c r="R28" i="11" s="1"/>
  <c r="O29" i="11"/>
  <c r="R29" i="11" s="1"/>
  <c r="O30" i="11"/>
  <c r="R30" i="11" s="1"/>
  <c r="O31" i="11"/>
  <c r="O33" i="11" s="1"/>
  <c r="O22" i="11"/>
  <c r="R22" i="11" s="1"/>
  <c r="I31" i="11"/>
  <c r="L31" i="11" s="1"/>
  <c r="I23" i="11"/>
  <c r="L23" i="11" s="1"/>
  <c r="I24" i="11"/>
  <c r="L24" i="11" s="1"/>
  <c r="I25" i="11"/>
  <c r="L25" i="11" s="1"/>
  <c r="I26" i="11"/>
  <c r="L26" i="11" s="1"/>
  <c r="I27" i="11"/>
  <c r="L27" i="11" s="1"/>
  <c r="I28" i="11"/>
  <c r="L28" i="11" s="1"/>
  <c r="I29" i="11"/>
  <c r="I30" i="11"/>
  <c r="L30" i="11" s="1"/>
  <c r="I22" i="11"/>
  <c r="L22" i="11" s="1"/>
  <c r="C23" i="11"/>
  <c r="F23" i="11" s="1"/>
  <c r="C24" i="11"/>
  <c r="F24" i="11" s="1"/>
  <c r="C25" i="11"/>
  <c r="F25" i="11" s="1"/>
  <c r="C26" i="11"/>
  <c r="F26" i="11" s="1"/>
  <c r="C27" i="11"/>
  <c r="F27" i="11" s="1"/>
  <c r="C28" i="11"/>
  <c r="F28" i="11" s="1"/>
  <c r="C29" i="11"/>
  <c r="F29" i="11" s="1"/>
  <c r="C30" i="11"/>
  <c r="F30" i="11" s="1"/>
  <c r="C22" i="11"/>
  <c r="F22" i="11" s="1"/>
  <c r="D83" i="11"/>
  <c r="F78" i="11"/>
  <c r="W76" i="11"/>
  <c r="X76" i="11" s="1"/>
  <c r="W75" i="11"/>
  <c r="X75" i="11" s="1"/>
  <c r="W74" i="11"/>
  <c r="X74" i="11" s="1"/>
  <c r="W73" i="11"/>
  <c r="X73" i="11" s="1"/>
  <c r="I67" i="11"/>
  <c r="W72" i="11"/>
  <c r="X72" i="11" s="1"/>
  <c r="P66" i="11"/>
  <c r="J66" i="11"/>
  <c r="D66" i="11"/>
  <c r="W71" i="11"/>
  <c r="X71" i="11" s="1"/>
  <c r="W70" i="11"/>
  <c r="X70" i="11" s="1"/>
  <c r="W69" i="11"/>
  <c r="X69" i="11" s="1"/>
  <c r="F63" i="11"/>
  <c r="X68" i="11"/>
  <c r="W68" i="11"/>
  <c r="W67" i="11"/>
  <c r="X67" i="11" s="1"/>
  <c r="T56" i="11"/>
  <c r="I50" i="11"/>
  <c r="T55" i="11"/>
  <c r="P49" i="11"/>
  <c r="J49" i="11"/>
  <c r="D49" i="11"/>
  <c r="T54" i="11"/>
  <c r="L48" i="11"/>
  <c r="T53" i="11"/>
  <c r="R47" i="11"/>
  <c r="L47" i="11"/>
  <c r="T52" i="11"/>
  <c r="R46" i="11"/>
  <c r="L46" i="11"/>
  <c r="T51" i="11"/>
  <c r="L45" i="11"/>
  <c r="T50" i="11"/>
  <c r="L44" i="11"/>
  <c r="T49" i="11"/>
  <c r="L43" i="11"/>
  <c r="T48" i="11"/>
  <c r="L42" i="11"/>
  <c r="L41" i="11"/>
  <c r="L40" i="11"/>
  <c r="L39" i="11"/>
  <c r="T43" i="11"/>
  <c r="T42" i="11"/>
  <c r="T41" i="11"/>
  <c r="T40" i="11"/>
  <c r="T39" i="11"/>
  <c r="T38" i="11"/>
  <c r="P32" i="11"/>
  <c r="J32" i="11"/>
  <c r="D32" i="11"/>
  <c r="T37" i="11"/>
  <c r="F31" i="11"/>
  <c r="T36" i="11"/>
  <c r="A30" i="11"/>
  <c r="T35" i="11"/>
  <c r="L29" i="11"/>
  <c r="R27" i="11"/>
  <c r="T31" i="11"/>
  <c r="T30" i="11"/>
  <c r="T29" i="11"/>
  <c r="T28" i="11"/>
  <c r="T27" i="11"/>
  <c r="T26" i="11"/>
  <c r="T25" i="11"/>
  <c r="T24" i="11"/>
  <c r="T23" i="11"/>
  <c r="F57" i="11" l="1"/>
  <c r="E57" i="11"/>
  <c r="J57" i="11"/>
  <c r="L57" i="11" s="1"/>
  <c r="R56" i="11"/>
  <c r="Q56" i="11"/>
  <c r="D73" i="11"/>
  <c r="C84" i="11"/>
  <c r="L62" i="11"/>
  <c r="L96" i="11"/>
  <c r="F96" i="11"/>
  <c r="L58" i="11"/>
  <c r="F92" i="11"/>
  <c r="L92" i="11"/>
  <c r="L61" i="11"/>
  <c r="L95" i="11"/>
  <c r="F95" i="11"/>
  <c r="C67" i="11"/>
  <c r="L98" i="11"/>
  <c r="F98" i="11"/>
  <c r="L94" i="11"/>
  <c r="F94" i="11"/>
  <c r="C33" i="11"/>
  <c r="L56" i="11"/>
  <c r="F97" i="11"/>
  <c r="L97" i="11"/>
  <c r="L93" i="11"/>
  <c r="F93" i="11"/>
  <c r="I33" i="11"/>
  <c r="F82" i="11"/>
  <c r="R65" i="11"/>
  <c r="R31" i="11"/>
  <c r="F65" i="11"/>
  <c r="O50" i="11"/>
  <c r="F48" i="11"/>
  <c r="J17" i="10"/>
  <c r="J18" i="10"/>
  <c r="J19" i="10"/>
  <c r="J20" i="10"/>
  <c r="J21" i="10"/>
  <c r="J22" i="10"/>
  <c r="J23" i="10"/>
  <c r="J24" i="10"/>
  <c r="J25" i="10"/>
  <c r="J16" i="10"/>
  <c r="M15" i="10"/>
  <c r="D24" i="10"/>
  <c r="D16" i="10"/>
  <c r="E16" i="10" s="1"/>
  <c r="F16" i="10" s="1"/>
  <c r="H16" i="10" s="1"/>
  <c r="AB80" i="10"/>
  <c r="AB79" i="10"/>
  <c r="AB78" i="10"/>
  <c r="AB77" i="10"/>
  <c r="AB76" i="10"/>
  <c r="AB75" i="10"/>
  <c r="AB74" i="10"/>
  <c r="AB73" i="10"/>
  <c r="AB72" i="10"/>
  <c r="AB71" i="10"/>
  <c r="AL64" i="10"/>
  <c r="AG64" i="10"/>
  <c r="AB64" i="10"/>
  <c r="AL63" i="10"/>
  <c r="AG63" i="10"/>
  <c r="AB63" i="10"/>
  <c r="AL62" i="10"/>
  <c r="AG62" i="10"/>
  <c r="AB62" i="10"/>
  <c r="AL61" i="10"/>
  <c r="AG61" i="10"/>
  <c r="AB61" i="10"/>
  <c r="AL60" i="10"/>
  <c r="AG60" i="10"/>
  <c r="AB60" i="10"/>
  <c r="AL59" i="10"/>
  <c r="AG59" i="10"/>
  <c r="AB59" i="10"/>
  <c r="AL58" i="10"/>
  <c r="AG58" i="10"/>
  <c r="AB58" i="10"/>
  <c r="AL57" i="10"/>
  <c r="AG57" i="10"/>
  <c r="AB57" i="10"/>
  <c r="AL56" i="10"/>
  <c r="AG56" i="10"/>
  <c r="AB56" i="10"/>
  <c r="AL55" i="10"/>
  <c r="AG55" i="10"/>
  <c r="AB55" i="10"/>
  <c r="AL48" i="10"/>
  <c r="AG48" i="10"/>
  <c r="AB48" i="10"/>
  <c r="AL47" i="10"/>
  <c r="AG47" i="10"/>
  <c r="AB47" i="10"/>
  <c r="AL46" i="10"/>
  <c r="AG46" i="10"/>
  <c r="AB46" i="10"/>
  <c r="AL45" i="10"/>
  <c r="AG45" i="10"/>
  <c r="AB45" i="10"/>
  <c r="AL44" i="10"/>
  <c r="AG44" i="10"/>
  <c r="AB44" i="10"/>
  <c r="AL43" i="10"/>
  <c r="AG43" i="10"/>
  <c r="AB43" i="10"/>
  <c r="AL42" i="10"/>
  <c r="AG42" i="10"/>
  <c r="AB42" i="10"/>
  <c r="AL41" i="10"/>
  <c r="AG41" i="10"/>
  <c r="AB41" i="10"/>
  <c r="AL40" i="10"/>
  <c r="AG40" i="10"/>
  <c r="AB40" i="10"/>
  <c r="AL39" i="10"/>
  <c r="AG39" i="10"/>
  <c r="AB39" i="10"/>
  <c r="AL32" i="10"/>
  <c r="AG32" i="10"/>
  <c r="AB32" i="10"/>
  <c r="AL31" i="10"/>
  <c r="AG31" i="10"/>
  <c r="AB31" i="10"/>
  <c r="AL30" i="10"/>
  <c r="AG30" i="10"/>
  <c r="AB30" i="10"/>
  <c r="AL29" i="10"/>
  <c r="AG29" i="10"/>
  <c r="AB29" i="10"/>
  <c r="AL28" i="10"/>
  <c r="AG28" i="10"/>
  <c r="AB28" i="10"/>
  <c r="AL27" i="10"/>
  <c r="AG27" i="10"/>
  <c r="AB27" i="10"/>
  <c r="AL26" i="10"/>
  <c r="AG26" i="10"/>
  <c r="AB26" i="10"/>
  <c r="AL25" i="10"/>
  <c r="AG25" i="10"/>
  <c r="AB25" i="10"/>
  <c r="D25" i="10"/>
  <c r="E25" i="10" s="1"/>
  <c r="F25" i="10" s="1"/>
  <c r="H25" i="10" s="1"/>
  <c r="AL24" i="10"/>
  <c r="AG24" i="10"/>
  <c r="AB24" i="10"/>
  <c r="AL23" i="10"/>
  <c r="AG23" i="10"/>
  <c r="AB23" i="10"/>
  <c r="D23" i="10"/>
  <c r="E23" i="10" s="1"/>
  <c r="F23" i="10" s="1"/>
  <c r="H23" i="10" s="1"/>
  <c r="D22" i="10"/>
  <c r="E22" i="10" s="1"/>
  <c r="F22" i="10" s="1"/>
  <c r="H22" i="10" s="1"/>
  <c r="D21" i="10"/>
  <c r="E21" i="10" s="1"/>
  <c r="F21" i="10" s="1"/>
  <c r="H21" i="10" s="1"/>
  <c r="D20" i="10"/>
  <c r="E20" i="10" s="1"/>
  <c r="F20" i="10" s="1"/>
  <c r="H20" i="10" s="1"/>
  <c r="D19" i="10"/>
  <c r="D18" i="10"/>
  <c r="E18" i="10" s="1"/>
  <c r="F18" i="10" s="1"/>
  <c r="H18" i="10" s="1"/>
  <c r="D17" i="10"/>
  <c r="P57" i="11" l="1"/>
  <c r="K57" i="11"/>
  <c r="J73" i="11"/>
  <c r="E73" i="11"/>
  <c r="F73" i="11"/>
  <c r="C101" i="11"/>
  <c r="F99" i="11"/>
  <c r="L99" i="11"/>
  <c r="I101" i="11"/>
  <c r="E24" i="10"/>
  <c r="F24" i="10" s="1"/>
  <c r="H24" i="10" s="1"/>
  <c r="E19" i="10"/>
  <c r="F19" i="10" s="1"/>
  <c r="H19" i="10" s="1"/>
  <c r="E17" i="10"/>
  <c r="F17" i="10" s="1"/>
  <c r="H17" i="10" s="1"/>
  <c r="F57" i="7"/>
  <c r="F58" i="7"/>
  <c r="F59" i="7"/>
  <c r="F60" i="7"/>
  <c r="F61" i="7"/>
  <c r="F63" i="7"/>
  <c r="F64" i="7"/>
  <c r="F55" i="7"/>
  <c r="F62" i="7"/>
  <c r="R39" i="7"/>
  <c r="R40" i="7"/>
  <c r="R41" i="7"/>
  <c r="R44" i="7"/>
  <c r="R45" i="7"/>
  <c r="R46" i="7"/>
  <c r="R47" i="7"/>
  <c r="R38" i="7"/>
  <c r="F40" i="7"/>
  <c r="F44" i="7"/>
  <c r="F46" i="7"/>
  <c r="F42" i="7"/>
  <c r="R22" i="7"/>
  <c r="R23" i="7"/>
  <c r="R27" i="7"/>
  <c r="R21" i="7"/>
  <c r="L30" i="7"/>
  <c r="L29" i="7"/>
  <c r="L28" i="7"/>
  <c r="L27" i="7"/>
  <c r="L25" i="7"/>
  <c r="L24" i="7"/>
  <c r="L23" i="7"/>
  <c r="L22" i="7"/>
  <c r="L21" i="7"/>
  <c r="F23" i="7"/>
  <c r="F24" i="7"/>
  <c r="F25" i="7"/>
  <c r="F27" i="7"/>
  <c r="F28" i="7"/>
  <c r="F29" i="7"/>
  <c r="F21" i="7"/>
  <c r="R29" i="7"/>
  <c r="R30" i="7"/>
  <c r="L44" i="7"/>
  <c r="L40" i="7"/>
  <c r="A29" i="7"/>
  <c r="T49" i="7"/>
  <c r="T48" i="7"/>
  <c r="T47" i="7"/>
  <c r="T46" i="7"/>
  <c r="T45" i="7"/>
  <c r="T44" i="7"/>
  <c r="T43" i="7"/>
  <c r="T42" i="7"/>
  <c r="T41" i="7"/>
  <c r="T36" i="7"/>
  <c r="T35" i="7"/>
  <c r="T34" i="7"/>
  <c r="T33" i="7"/>
  <c r="T32" i="7"/>
  <c r="T31" i="7"/>
  <c r="T30" i="7"/>
  <c r="T29" i="7"/>
  <c r="T28" i="7"/>
  <c r="T24" i="7"/>
  <c r="T17" i="7"/>
  <c r="T18" i="7"/>
  <c r="T19" i="7"/>
  <c r="T20" i="7"/>
  <c r="T21" i="7"/>
  <c r="T22" i="7"/>
  <c r="T23" i="7"/>
  <c r="T16" i="7"/>
  <c r="X63" i="7"/>
  <c r="W61" i="7"/>
  <c r="X61" i="7" s="1"/>
  <c r="W62" i="7"/>
  <c r="X62" i="7" s="1"/>
  <c r="W63" i="7"/>
  <c r="W64" i="7"/>
  <c r="X64" i="7" s="1"/>
  <c r="W65" i="7"/>
  <c r="X65" i="7" s="1"/>
  <c r="W66" i="7"/>
  <c r="X66" i="7" s="1"/>
  <c r="W67" i="7"/>
  <c r="X67" i="7" s="1"/>
  <c r="W68" i="7"/>
  <c r="X68" i="7" s="1"/>
  <c r="W69" i="7"/>
  <c r="X69" i="7" s="1"/>
  <c r="W60" i="7"/>
  <c r="X60" i="7" s="1"/>
  <c r="F81" i="7"/>
  <c r="F80" i="7"/>
  <c r="F79" i="7"/>
  <c r="F78" i="7"/>
  <c r="F77" i="7"/>
  <c r="F76" i="7"/>
  <c r="F75" i="7"/>
  <c r="F74" i="7"/>
  <c r="F73" i="7"/>
  <c r="F72" i="7"/>
  <c r="R64" i="7"/>
  <c r="R63" i="7"/>
  <c r="R62" i="7"/>
  <c r="R61" i="7"/>
  <c r="R60" i="7"/>
  <c r="R59" i="7"/>
  <c r="R58" i="7"/>
  <c r="R57" i="7"/>
  <c r="R56" i="7"/>
  <c r="R55" i="7"/>
  <c r="L64" i="7"/>
  <c r="L63" i="7"/>
  <c r="L62" i="7"/>
  <c r="L61" i="7"/>
  <c r="L60" i="7"/>
  <c r="L59" i="7"/>
  <c r="L58" i="7"/>
  <c r="L57" i="7"/>
  <c r="L56" i="7"/>
  <c r="L55" i="7"/>
  <c r="F56" i="7"/>
  <c r="R43" i="7"/>
  <c r="R42" i="7"/>
  <c r="L47" i="7"/>
  <c r="L46" i="7"/>
  <c r="L45" i="7"/>
  <c r="L43" i="7"/>
  <c r="L42" i="7"/>
  <c r="L41" i="7"/>
  <c r="L39" i="7"/>
  <c r="L38" i="7"/>
  <c r="F47" i="7"/>
  <c r="F43" i="7"/>
  <c r="F39" i="7"/>
  <c r="R26" i="7"/>
  <c r="L26" i="7"/>
  <c r="F22" i="7"/>
  <c r="F26" i="7"/>
  <c r="F30" i="7"/>
  <c r="D82" i="7"/>
  <c r="C83" i="7"/>
  <c r="D83" i="8"/>
  <c r="E82" i="8"/>
  <c r="P66" i="8"/>
  <c r="J66" i="8"/>
  <c r="D66" i="8"/>
  <c r="Q65" i="8"/>
  <c r="K65" i="8"/>
  <c r="E65" i="8"/>
  <c r="P49" i="8"/>
  <c r="J49" i="8"/>
  <c r="D49" i="8"/>
  <c r="Q48" i="8"/>
  <c r="K48" i="8"/>
  <c r="E48" i="8"/>
  <c r="S47" i="8"/>
  <c r="M47" i="8"/>
  <c r="G47" i="8"/>
  <c r="S46" i="8"/>
  <c r="M46" i="8"/>
  <c r="G46" i="8"/>
  <c r="S45" i="8"/>
  <c r="M45" i="8"/>
  <c r="G45" i="8"/>
  <c r="S44" i="8"/>
  <c r="M44" i="8"/>
  <c r="G44" i="8"/>
  <c r="S43" i="8"/>
  <c r="M43" i="8"/>
  <c r="G43" i="8"/>
  <c r="S42" i="8"/>
  <c r="M42" i="8"/>
  <c r="G42" i="8"/>
  <c r="S41" i="8"/>
  <c r="M41" i="8"/>
  <c r="G41" i="8"/>
  <c r="S40" i="8"/>
  <c r="M40" i="8"/>
  <c r="G40" i="8"/>
  <c r="S39" i="8"/>
  <c r="M39" i="8"/>
  <c r="G39" i="8"/>
  <c r="S38" i="8"/>
  <c r="M38" i="8"/>
  <c r="G38" i="8"/>
  <c r="K33" i="8"/>
  <c r="P32" i="8"/>
  <c r="J32" i="8"/>
  <c r="D32" i="8"/>
  <c r="Q31" i="8"/>
  <c r="K31" i="8"/>
  <c r="E31" i="8"/>
  <c r="S30" i="8"/>
  <c r="M30" i="8"/>
  <c r="G30" i="8"/>
  <c r="S29" i="8"/>
  <c r="M29" i="8"/>
  <c r="G29" i="8"/>
  <c r="S28" i="8"/>
  <c r="M28" i="8"/>
  <c r="G28" i="8"/>
  <c r="S27" i="8"/>
  <c r="M27" i="8"/>
  <c r="G27" i="8"/>
  <c r="S26" i="8"/>
  <c r="M26" i="8"/>
  <c r="G26" i="8"/>
  <c r="S25" i="8"/>
  <c r="M25" i="8"/>
  <c r="G25" i="8"/>
  <c r="S24" i="8"/>
  <c r="M24" i="8"/>
  <c r="G24" i="8"/>
  <c r="S23" i="8"/>
  <c r="M23" i="8"/>
  <c r="G23" i="8"/>
  <c r="S22" i="8"/>
  <c r="M22" i="8"/>
  <c r="G22" i="8"/>
  <c r="S21" i="8"/>
  <c r="M21" i="8"/>
  <c r="G21" i="8"/>
  <c r="AB80" i="6"/>
  <c r="AB79" i="6"/>
  <c r="AB78" i="6"/>
  <c r="AB77" i="6"/>
  <c r="AB76" i="6"/>
  <c r="AB75" i="6"/>
  <c r="AB74" i="6"/>
  <c r="AB73" i="6"/>
  <c r="AB72" i="6"/>
  <c r="AB71" i="6"/>
  <c r="AL64" i="6"/>
  <c r="AG64" i="6"/>
  <c r="AB64" i="6"/>
  <c r="AL63" i="6"/>
  <c r="AG63" i="6"/>
  <c r="AB63" i="6"/>
  <c r="AL62" i="6"/>
  <c r="AG62" i="6"/>
  <c r="AB62" i="6"/>
  <c r="AL61" i="6"/>
  <c r="AG61" i="6"/>
  <c r="AB61" i="6"/>
  <c r="AL60" i="6"/>
  <c r="AG60" i="6"/>
  <c r="AB60" i="6"/>
  <c r="AL59" i="6"/>
  <c r="AG59" i="6"/>
  <c r="AB59" i="6"/>
  <c r="AL58" i="6"/>
  <c r="AG58" i="6"/>
  <c r="AB58" i="6"/>
  <c r="AL57" i="6"/>
  <c r="AG57" i="6"/>
  <c r="AB57" i="6"/>
  <c r="AL56" i="6"/>
  <c r="AG56" i="6"/>
  <c r="AB56" i="6"/>
  <c r="AL55" i="6"/>
  <c r="AG55" i="6"/>
  <c r="AB55" i="6"/>
  <c r="AL48" i="6"/>
  <c r="AG48" i="6"/>
  <c r="AB48" i="6"/>
  <c r="AL47" i="6"/>
  <c r="AG47" i="6"/>
  <c r="AB47" i="6"/>
  <c r="AL46" i="6"/>
  <c r="AG46" i="6"/>
  <c r="AB46" i="6"/>
  <c r="AL45" i="6"/>
  <c r="AG45" i="6"/>
  <c r="AB45" i="6"/>
  <c r="AL44" i="6"/>
  <c r="AG44" i="6"/>
  <c r="AB44" i="6"/>
  <c r="AL43" i="6"/>
  <c r="AG43" i="6"/>
  <c r="AB43" i="6"/>
  <c r="AL42" i="6"/>
  <c r="AG42" i="6"/>
  <c r="AB42" i="6"/>
  <c r="AL41" i="6"/>
  <c r="AG41" i="6"/>
  <c r="AB41" i="6"/>
  <c r="AL40" i="6"/>
  <c r="AG40" i="6"/>
  <c r="AB40" i="6"/>
  <c r="AL39" i="6"/>
  <c r="AG39" i="6"/>
  <c r="AB39" i="6"/>
  <c r="AL32" i="6"/>
  <c r="AG32" i="6"/>
  <c r="AB32" i="6"/>
  <c r="AL31" i="6"/>
  <c r="AG31" i="6"/>
  <c r="AB31" i="6"/>
  <c r="AL30" i="6"/>
  <c r="AG30" i="6"/>
  <c r="AB30" i="6"/>
  <c r="AL29" i="6"/>
  <c r="AG29" i="6"/>
  <c r="AB29" i="6"/>
  <c r="AL28" i="6"/>
  <c r="AG28" i="6"/>
  <c r="AB28" i="6"/>
  <c r="AL27" i="6"/>
  <c r="AG27" i="6"/>
  <c r="AB27" i="6"/>
  <c r="AL26" i="6"/>
  <c r="AG26" i="6"/>
  <c r="AB26" i="6"/>
  <c r="AL25" i="6"/>
  <c r="AG25" i="6"/>
  <c r="AB25" i="6"/>
  <c r="AL24" i="6"/>
  <c r="AG24" i="6"/>
  <c r="AB24" i="6"/>
  <c r="AL23" i="6"/>
  <c r="AG23" i="6"/>
  <c r="AB23" i="6"/>
  <c r="Q57" i="11" l="1"/>
  <c r="D74" i="11"/>
  <c r="R57" i="11"/>
  <c r="K73" i="11"/>
  <c r="P73" i="11"/>
  <c r="L73" i="11"/>
  <c r="R24" i="7"/>
  <c r="R28" i="7"/>
  <c r="R25" i="7"/>
  <c r="F38" i="7"/>
  <c r="F41" i="7"/>
  <c r="F45" i="7"/>
  <c r="J33" i="7"/>
  <c r="O66" i="7"/>
  <c r="I66" i="7"/>
  <c r="C66" i="7"/>
  <c r="P65" i="7"/>
  <c r="J65" i="7"/>
  <c r="D65" i="7"/>
  <c r="O49" i="7"/>
  <c r="I49" i="7"/>
  <c r="C49" i="7"/>
  <c r="P48" i="7"/>
  <c r="J48" i="7"/>
  <c r="D48" i="7"/>
  <c r="O32" i="7"/>
  <c r="P31" i="7"/>
  <c r="I32" i="7"/>
  <c r="J31" i="7"/>
  <c r="C32" i="7"/>
  <c r="D31" i="7"/>
  <c r="D25" i="6"/>
  <c r="E25" i="6" s="1"/>
  <c r="F25" i="6" s="1"/>
  <c r="H25" i="6" s="1"/>
  <c r="D24" i="6"/>
  <c r="E24" i="6" s="1"/>
  <c r="F24" i="6" s="1"/>
  <c r="H24" i="6" s="1"/>
  <c r="D23" i="6"/>
  <c r="E23" i="6" s="1"/>
  <c r="F23" i="6" s="1"/>
  <c r="H23" i="6" s="1"/>
  <c r="D22" i="6"/>
  <c r="E22" i="6" s="1"/>
  <c r="F22" i="6" s="1"/>
  <c r="H22" i="6" s="1"/>
  <c r="D21" i="6"/>
  <c r="E21" i="6" s="1"/>
  <c r="F21" i="6" s="1"/>
  <c r="H21" i="6" s="1"/>
  <c r="D20" i="6"/>
  <c r="E20" i="6" s="1"/>
  <c r="F20" i="6" s="1"/>
  <c r="H20" i="6" s="1"/>
  <c r="D19" i="6"/>
  <c r="E19" i="6" s="1"/>
  <c r="F19" i="6" s="1"/>
  <c r="H19" i="6" s="1"/>
  <c r="D18" i="6"/>
  <c r="E18" i="6" s="1"/>
  <c r="F18" i="6" s="1"/>
  <c r="H18" i="6" s="1"/>
  <c r="D17" i="6"/>
  <c r="E17" i="6" s="1"/>
  <c r="F17" i="6" s="1"/>
  <c r="H17" i="6" s="1"/>
  <c r="E16" i="6"/>
  <c r="H16" i="6" l="1"/>
  <c r="J74" i="11"/>
  <c r="E74" i="11"/>
  <c r="F74" i="11"/>
  <c r="Q73" i="11"/>
  <c r="D90" i="11"/>
  <c r="R73" i="11"/>
  <c r="K74" i="11" l="1"/>
  <c r="P74" i="11"/>
  <c r="L74" i="11"/>
  <c r="E90" i="11"/>
  <c r="J90" i="11"/>
  <c r="F90" i="11"/>
  <c r="Q74" i="11" l="1"/>
  <c r="D91" i="11"/>
  <c r="R74" i="11"/>
  <c r="K90" i="11"/>
  <c r="L90" i="11"/>
  <c r="E91" i="11" l="1"/>
  <c r="J91" i="11"/>
  <c r="F91" i="11"/>
  <c r="K91" i="11" l="1"/>
  <c r="L91" i="11"/>
</calcChain>
</file>

<file path=xl/sharedStrings.xml><?xml version="1.0" encoding="utf-8"?>
<sst xmlns="http://schemas.openxmlformats.org/spreadsheetml/2006/main" count="976" uniqueCount="109">
  <si>
    <t xml:space="preserve"> lev ratio</t>
  </si>
  <si>
    <t xml:space="preserve"> spr rate</t>
  </si>
  <si>
    <t>lev ratio</t>
  </si>
  <si>
    <t xml:space="preserve"> spr</t>
  </si>
  <si>
    <t xml:space="preserve"> prel</t>
  </si>
  <si>
    <t>zeta_shr_per_rdyno_spr_levratio.xlsx</t>
  </si>
  <si>
    <t xml:space="preserve"> 8-20-17</t>
  </si>
  <si>
    <t xml:space="preserve"> Calculate the reb dyno force needed to get ideal r-zeta values for each lev ratio and corrosponding suggested spring rate</t>
  </si>
  <si>
    <t xml:space="preserve"> mWheel</t>
  </si>
  <si>
    <t xml:space="preserve"> ips</t>
  </si>
  <si>
    <t>ro</t>
  </si>
  <si>
    <t>r zeta</t>
  </si>
  <si>
    <t xml:space="preserve"> r/c ratio</t>
  </si>
  <si>
    <t>r coeff</t>
  </si>
  <si>
    <t>copy</t>
  </si>
  <si>
    <t xml:space="preserve"> copy</t>
  </si>
  <si>
    <t xml:space="preserve"> ar lb</t>
  </si>
  <si>
    <t xml:space="preserve"> 50.10</t>
  </si>
  <si>
    <t xml:space="preserve"> 40.10</t>
  </si>
  <si>
    <t xml:space="preserve">  Compared to stock rebound, this rebound is much less progressive and has</t>
  </si>
  <si>
    <t xml:space="preserve">  more low speed reb damping.  </t>
  </si>
  <si>
    <t xml:space="preserve">     current reb range [4.1 / 4.4 / 4.7]</t>
  </si>
  <si>
    <t xml:space="preserve"> 1)  Spring rate for apx 160 - 185 lb rider.  Since these are our calculated 'sugested rates', it doesn't really fit spring rate charts.</t>
  </si>
  <si>
    <t xml:space="preserve"> On this tab we are adding r/c ratio for aver or stiff comp.</t>
  </si>
  <si>
    <t>ips</t>
  </si>
  <si>
    <t>aver</t>
  </si>
  <si>
    <t>comp</t>
  </si>
  <si>
    <t>comp range [3.3 / 3.6 / 3.9]</t>
  </si>
  <si>
    <t>aver co</t>
  </si>
  <si>
    <t xml:space="preserve"> 2)  We chose aver comp with 50.10 = 5.3, less progressive (more low speed) to get r/c ratio higher at 10ips.</t>
  </si>
  <si>
    <t xml:space="preserve">     current comp range [3.3 / 3.6 / 3.9]</t>
  </si>
  <si>
    <t xml:space="preserve">  _01 is with ideal r-zeta as:  .70 all the way thru</t>
  </si>
  <si>
    <t>end</t>
  </si>
  <si>
    <t xml:space="preserve">  Compared to stock rebound, this rebound is less progressive [40.10 = 4.0]</t>
  </si>
  <si>
    <t xml:space="preserve">  due to increased reb numbers at 10 - 20 - 30ips.  </t>
  </si>
  <si>
    <t xml:space="preserve">   AND reb force at 2ips is less than our original fkr target nu series.</t>
  </si>
  <si>
    <t xml:space="preserve"> 1493, gaskey</t>
  </si>
  <si>
    <t xml:space="preserve"> 1024, 08yz250, stk dyno</t>
  </si>
  <si>
    <t xml:space="preserve"> 1701, milan good crf450</t>
  </si>
  <si>
    <t xml:space="preserve"> 3.9</t>
  </si>
  <si>
    <t xml:space="preserve"> this page done</t>
  </si>
  <si>
    <t>aver co 3.6</t>
  </si>
  <si>
    <t xml:space="preserve"> 2)  We will just start with aver comp with 50.10 = 3.6, mid progressive.</t>
  </si>
  <si>
    <t xml:space="preserve"> 3)  We considered adjusting comp force to match the lev ratio, but couldn't decide how.  For now just use aver.</t>
  </si>
  <si>
    <t xml:space="preserve"> 8-20-17, we started creating r/c ratio for each spring rate and preload, but could not figure out how to do it.  </t>
  </si>
  <si>
    <t xml:space="preserve"> So we just decided to start with aver co, 50.10 = 3.6 for now.</t>
  </si>
  <si>
    <t xml:space="preserve"> We just saved this.  It has reb zeta at 1.00.  Save in case we want to look back.</t>
  </si>
  <si>
    <t xml:space="preserve"> Use shock comp zeta to determine how much to change the comp force per spring rate change.</t>
  </si>
  <si>
    <t>co</t>
  </si>
  <si>
    <t>co 2920</t>
  </si>
  <si>
    <t>c zeta</t>
  </si>
  <si>
    <t>co 1662</t>
  </si>
  <si>
    <t xml:space="preserve"> x 1.04</t>
  </si>
  <si>
    <t>assuming</t>
  </si>
  <si>
    <t>this to be</t>
  </si>
  <si>
    <t>good reb</t>
  </si>
  <si>
    <t>curve</t>
  </si>
  <si>
    <t>adjust with factor</t>
  </si>
  <si>
    <t>factor used</t>
  </si>
  <si>
    <t xml:space="preserve"> We get the spring rates used below from   springRate_shock_per_levratio.xlsx</t>
  </si>
  <si>
    <t xml:space="preserve"> USE    shr_add_rcratio_adjust</t>
  </si>
  <si>
    <t xml:space="preserve"> USE THIS TAB</t>
  </si>
  <si>
    <t xml:space="preserve"> Calculate the reb dyno force needed to get ideal r-zeta values for each lev ratio and corrosponding suggested spring rate.</t>
  </si>
  <si>
    <t xml:space="preserve"> 4)  We considered adjusting comp force to match the lev ratio, but couldn't decide how.  For now just use aver.</t>
  </si>
  <si>
    <t xml:space="preserve"> 3)  We will just start with aver comp and 50.10 = 3.6, mid progressive.  We used aver comp with 2.65 levratio and maintained the same r/c ratio.  After some thought, this is way to soft.</t>
  </si>
  <si>
    <t xml:space="preserve">   lev ratio and matching spring rate</t>
  </si>
  <si>
    <t xml:space="preserve"> 1)  Suggested spring rate for apx 160 - 185 lb rider for matching levratio.  Since these are our calculated 'sugested rates', they doesn't really fit spring rate charts.</t>
  </si>
  <si>
    <t xml:space="preserve"> 2)  To get rzeta .70 we ended up using 40.10 = 4.0.</t>
  </si>
  <si>
    <t xml:space="preserve"> 12-25-17,  2:06PM</t>
  </si>
  <si>
    <t xml:space="preserve"> linear spr</t>
  </si>
  <si>
    <t xml:space="preserve"> lev ratio at 100tr</t>
  </si>
  <si>
    <t xml:space="preserve"> divide</t>
  </si>
  <si>
    <t xml:space="preserve"> levratio start</t>
  </si>
  <si>
    <t xml:space="preserve"> levratio new</t>
  </si>
  <si>
    <t xml:space="preserve"> start spr</t>
  </si>
  <si>
    <t xml:space="preserve"> x start spr</t>
  </si>
  <si>
    <t>linear spr</t>
  </si>
  <si>
    <t>spr</t>
  </si>
  <si>
    <t xml:space="preserve">  =N</t>
  </si>
  <si>
    <t xml:space="preserve"> Work the equation backwards</t>
  </si>
  <si>
    <t xml:space="preserve">  Go to line 140 where we work the equation backwards.</t>
  </si>
  <si>
    <t xml:space="preserve"> zeta_backwards_shr_spr_per_levratio.xlsx</t>
  </si>
  <si>
    <t xml:space="preserve"> 5-12-19</t>
  </si>
  <si>
    <t xml:space="preserve"> We need to remove drag, calculate reb force for spring rate increate, then add back drag.</t>
  </si>
  <si>
    <t xml:space="preserve"> Currently we do not do this, and when we scale for a stiffer spring the r/c ratio changes, and it should not.</t>
  </si>
  <si>
    <t>r-zeta</t>
  </si>
  <si>
    <t xml:space="preserve">  $r_damp1_targ = ($r_zeta1_targ * 1.0) * $lrfoal * sqrt( 4 * $mWheel * $kspring_coef / 32.2 ) / 12;</t>
  </si>
  <si>
    <t xml:space="preserve"> kspring coeff</t>
  </si>
  <si>
    <t>target</t>
  </si>
  <si>
    <t>reb</t>
  </si>
  <si>
    <t xml:space="preserve"> first work it backward as per vdb</t>
  </si>
  <si>
    <t xml:space="preserve"> second, remove drag force and recalculate r-zeta forward</t>
  </si>
  <si>
    <t>drag</t>
  </si>
  <si>
    <t>less drag</t>
  </si>
  <si>
    <t xml:space="preserve"> r_damp_bkwd</t>
  </si>
  <si>
    <t xml:space="preserve"> r_damp_fwd</t>
  </si>
  <si>
    <t xml:space="preserve"> double check above new r-zeta</t>
  </si>
  <si>
    <t>+ drag</t>
  </si>
  <si>
    <t xml:space="preserve">target </t>
  </si>
  <si>
    <t xml:space="preserve"> 100_74_70</t>
  </si>
  <si>
    <t xml:space="preserve"> diff</t>
  </si>
  <si>
    <t>bkwd to fwd</t>
  </si>
  <si>
    <t xml:space="preserve"> 93_73_70</t>
  </si>
  <si>
    <t>reenter here, ck rnd4</t>
  </si>
  <si>
    <t xml:space="preserve"> 86_72_70</t>
  </si>
  <si>
    <t xml:space="preserve"> 78_71_70</t>
  </si>
  <si>
    <t xml:space="preserve"> 70_70_70</t>
  </si>
  <si>
    <t xml:space="preserve"> r-zeta less drag</t>
  </si>
  <si>
    <t xml:space="preserve"> Use the same drag force as per co-zeta target       see    zeta_bbackwards_shc.xlsx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</si>
</sst>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00"/>
    <numFmt numFmtId="167" formatCode="0.000000"/>
  </numFmts>
  <fonts count="34" x14ac:knownFonts="1"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8000"/>
      <name val="Arial"/>
      <family val="2"/>
    </font>
    <font>
      <u/>
      <sz val="10"/>
      <color theme="1"/>
      <name val="Arial"/>
      <family val="2"/>
    </font>
    <font>
      <u/>
      <sz val="10"/>
      <color rgb="FF008000"/>
      <name val="Arial"/>
      <family val="2"/>
    </font>
    <font>
      <sz val="10"/>
      <color rgb="FF0070C0"/>
      <name val="Arial"/>
      <family val="2"/>
    </font>
    <font>
      <sz val="10"/>
      <color theme="5" tint="-0.249977111117893"/>
      <name val="Trebuchet MS"/>
      <family val="2"/>
    </font>
    <font>
      <sz val="10"/>
      <color theme="9" tint="-0.249977111117893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color theme="9" tint="-0.249977111117893"/>
      <name val="Trebuchet MS"/>
      <family val="2"/>
    </font>
    <font>
      <u/>
      <sz val="10"/>
      <color theme="9" tint="-0.249977111117893"/>
      <name val="Arial"/>
      <family val="2"/>
    </font>
    <font>
      <sz val="8"/>
      <color theme="5"/>
      <name val="Arial"/>
      <family val="2"/>
    </font>
    <font>
      <sz val="8"/>
      <color rgb="FF0070C0"/>
      <name val="Arial"/>
      <family val="2"/>
    </font>
    <font>
      <sz val="9"/>
      <color theme="1"/>
      <name val="Trebuchet MS"/>
      <family val="2"/>
    </font>
    <font>
      <sz val="9"/>
      <color rgb="FF006200"/>
      <name val="Trebuchet MS"/>
      <family val="2"/>
    </font>
    <font>
      <sz val="8"/>
      <color rgb="FFB34040"/>
      <name val="Trebuchet MS"/>
      <family val="2"/>
    </font>
    <font>
      <sz val="10"/>
      <color theme="5"/>
      <name val="Arial"/>
      <family val="2"/>
    </font>
    <font>
      <b/>
      <sz val="10"/>
      <color rgb="FFFF0000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2"/>
      <color theme="7" tint="-0.249977111117893"/>
      <name val="Arial"/>
      <family val="2"/>
    </font>
    <font>
      <b/>
      <sz val="10"/>
      <color theme="1"/>
      <name val="Arial"/>
      <family val="2"/>
    </font>
    <font>
      <sz val="8"/>
      <color rgb="FFC00000"/>
      <name val="Arial"/>
      <family val="2"/>
    </font>
    <font>
      <b/>
      <sz val="10"/>
      <color theme="9" tint="-0.249977111117893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  <fill>
      <patternFill patternType="solid">
        <fgColor rgb="FFFFFFB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/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0" fillId="0" borderId="0" xfId="0" quotePrefix="1" applyAlignment="1">
      <alignment horizontal="left"/>
    </xf>
    <xf numFmtId="0" fontId="3" fillId="0" borderId="0" xfId="0" applyFont="1" applyAlignment="1">
      <alignment horizontal="center"/>
    </xf>
    <xf numFmtId="0" fontId="0" fillId="0" borderId="1" xfId="0" applyBorder="1"/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165" fontId="2" fillId="0" borderId="0" xfId="0" applyNumberFormat="1" applyFont="1" applyBorder="1" applyAlignment="1">
      <alignment horizontal="center"/>
    </xf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quotePrefix="1" applyBorder="1" applyAlignment="1">
      <alignment horizontal="left"/>
    </xf>
    <xf numFmtId="0" fontId="0" fillId="0" borderId="6" xfId="0" applyBorder="1"/>
    <xf numFmtId="0" fontId="0" fillId="0" borderId="0" xfId="0" applyBorder="1" applyAlignment="1">
      <alignment horizontal="center"/>
    </xf>
    <xf numFmtId="0" fontId="5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0" fontId="5" fillId="4" borderId="0" xfId="0" applyFont="1" applyFill="1" applyAlignment="1">
      <alignment horizontal="center"/>
    </xf>
    <xf numFmtId="0" fontId="7" fillId="0" borderId="0" xfId="0" applyFont="1"/>
    <xf numFmtId="2" fontId="0" fillId="4" borderId="0" xfId="0" applyNumberFormat="1" applyFill="1" applyBorder="1" applyAlignment="1">
      <alignment horizontal="center"/>
    </xf>
    <xf numFmtId="0" fontId="9" fillId="0" borderId="0" xfId="0" applyFont="1" applyBorder="1"/>
    <xf numFmtId="0" fontId="7" fillId="0" borderId="0" xfId="0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1" fontId="0" fillId="5" borderId="0" xfId="0" applyNumberFormat="1" applyFont="1" applyFill="1" applyBorder="1" applyAlignment="1">
      <alignment horizontal="center"/>
    </xf>
    <xf numFmtId="165" fontId="6" fillId="0" borderId="0" xfId="0" applyNumberFormat="1" applyFont="1" applyBorder="1" applyAlignment="1">
      <alignment horizontal="center" vertical="center" wrapText="1"/>
    </xf>
    <xf numFmtId="165" fontId="10" fillId="0" borderId="0" xfId="0" applyNumberFormat="1" applyFont="1" applyBorder="1" applyAlignment="1">
      <alignment horizontal="center" vertical="center" wrapText="1"/>
    </xf>
    <xf numFmtId="0" fontId="0" fillId="5" borderId="0" xfId="0" applyFill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0" fontId="0" fillId="4" borderId="0" xfId="0" applyFill="1" applyBorder="1" applyAlignment="1">
      <alignment horizontal="center"/>
    </xf>
    <xf numFmtId="165" fontId="6" fillId="4" borderId="0" xfId="0" applyNumberFormat="1" applyFont="1" applyFill="1" applyBorder="1" applyAlignment="1">
      <alignment horizontal="center" vertical="center" wrapText="1"/>
    </xf>
    <xf numFmtId="165" fontId="10" fillId="4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Border="1" applyAlignment="1">
      <alignment horizontal="center"/>
    </xf>
    <xf numFmtId="1" fontId="0" fillId="4" borderId="0" xfId="0" applyNumberFormat="1" applyFill="1" applyBorder="1" applyAlignment="1">
      <alignment horizontal="center"/>
    </xf>
    <xf numFmtId="0" fontId="0" fillId="0" borderId="0" xfId="0" applyBorder="1" applyAlignment="1">
      <alignment horizontal="right"/>
    </xf>
    <xf numFmtId="2" fontId="9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8" fillId="0" borderId="3" xfId="0" quotePrefix="1" applyFont="1" applyBorder="1" applyAlignment="1">
      <alignment horizontal="left"/>
    </xf>
    <xf numFmtId="0" fontId="0" fillId="5" borderId="5" xfId="0" applyFont="1" applyFill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4" borderId="6" xfId="0" applyNumberFormat="1" applyFill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8" fillId="0" borderId="0" xfId="0" quotePrefix="1" applyFont="1" applyBorder="1" applyAlignment="1">
      <alignment horizontal="left"/>
    </xf>
    <xf numFmtId="1" fontId="0" fillId="0" borderId="0" xfId="0" applyNumberFormat="1"/>
    <xf numFmtId="1" fontId="0" fillId="0" borderId="0" xfId="0" applyNumberFormat="1" applyBorder="1"/>
    <xf numFmtId="0" fontId="0" fillId="0" borderId="5" xfId="0" quotePrefix="1" applyBorder="1" applyAlignment="1">
      <alignment horizontal="left"/>
    </xf>
    <xf numFmtId="0" fontId="8" fillId="0" borderId="5" xfId="0" quotePrefix="1" applyFont="1" applyBorder="1" applyAlignment="1">
      <alignment horizontal="left"/>
    </xf>
    <xf numFmtId="164" fontId="12" fillId="0" borderId="0" xfId="0" applyNumberFormat="1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164" fontId="13" fillId="0" borderId="0" xfId="0" applyNumberFormat="1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164" fontId="13" fillId="0" borderId="1" xfId="0" applyNumberFormat="1" applyFont="1" applyFill="1" applyBorder="1" applyAlignment="1">
      <alignment horizontal="center"/>
    </xf>
    <xf numFmtId="1" fontId="9" fillId="0" borderId="0" xfId="0" applyNumberFormat="1" applyFont="1" applyBorder="1" applyAlignment="1">
      <alignment horizontal="center"/>
    </xf>
    <xf numFmtId="1" fontId="9" fillId="4" borderId="0" xfId="0" applyNumberFormat="1" applyFont="1" applyFill="1" applyBorder="1" applyAlignment="1">
      <alignment horizontal="center"/>
    </xf>
    <xf numFmtId="1" fontId="13" fillId="5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15" fillId="2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2" fontId="17" fillId="0" borderId="0" xfId="0" applyNumberFormat="1" applyFont="1" applyBorder="1" applyAlignment="1">
      <alignment horizontal="center"/>
    </xf>
    <xf numFmtId="0" fontId="17" fillId="5" borderId="0" xfId="0" applyFont="1" applyFill="1" applyBorder="1" applyAlignment="1">
      <alignment horizontal="center"/>
    </xf>
    <xf numFmtId="2" fontId="17" fillId="4" borderId="0" xfId="0" applyNumberFormat="1" applyFont="1" applyFill="1" applyBorder="1" applyAlignment="1">
      <alignment horizontal="center"/>
    </xf>
    <xf numFmtId="1" fontId="0" fillId="5" borderId="0" xfId="0" quotePrefix="1" applyNumberFormat="1" applyFont="1" applyFill="1" applyBorder="1" applyAlignment="1">
      <alignment horizontal="center"/>
    </xf>
    <xf numFmtId="0" fontId="13" fillId="5" borderId="5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17" fillId="0" borderId="5" xfId="0" quotePrefix="1" applyFont="1" applyBorder="1" applyAlignment="1">
      <alignment horizontal="left"/>
    </xf>
    <xf numFmtId="0" fontId="5" fillId="0" borderId="5" xfId="0" quotePrefix="1" applyFont="1" applyBorder="1" applyAlignment="1">
      <alignment horizontal="left"/>
    </xf>
    <xf numFmtId="0" fontId="13" fillId="5" borderId="0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center"/>
    </xf>
    <xf numFmtId="0" fontId="12" fillId="5" borderId="7" xfId="0" applyFont="1" applyFill="1" applyBorder="1" applyAlignment="1">
      <alignment horizontal="center"/>
    </xf>
    <xf numFmtId="164" fontId="12" fillId="0" borderId="1" xfId="0" applyNumberFormat="1" applyFont="1" applyFill="1" applyBorder="1" applyAlignment="1">
      <alignment horizontal="center"/>
    </xf>
    <xf numFmtId="0" fontId="7" fillId="0" borderId="0" xfId="0" quotePrefix="1" applyFont="1" applyAlignment="1">
      <alignment horizontal="left"/>
    </xf>
    <xf numFmtId="0" fontId="17" fillId="5" borderId="6" xfId="0" applyFont="1" applyFill="1" applyBorder="1" applyAlignment="1">
      <alignment horizontal="center"/>
    </xf>
    <xf numFmtId="2" fontId="17" fillId="0" borderId="6" xfId="0" applyNumberFormat="1" applyFont="1" applyBorder="1" applyAlignment="1">
      <alignment horizontal="center"/>
    </xf>
    <xf numFmtId="2" fontId="17" fillId="4" borderId="6" xfId="0" applyNumberFormat="1" applyFont="1" applyFill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0" fillId="0" borderId="0" xfId="0" applyFill="1" applyBorder="1"/>
    <xf numFmtId="0" fontId="17" fillId="0" borderId="0" xfId="0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/>
    <xf numFmtId="1" fontId="19" fillId="5" borderId="0" xfId="0" quotePrefix="1" applyNumberFormat="1" applyFont="1" applyFill="1" applyBorder="1" applyAlignment="1">
      <alignment horizontal="center"/>
    </xf>
    <xf numFmtId="0" fontId="20" fillId="0" borderId="5" xfId="0" quotePrefix="1" applyFont="1" applyBorder="1" applyAlignment="1">
      <alignment horizontal="left"/>
    </xf>
    <xf numFmtId="0" fontId="18" fillId="0" borderId="0" xfId="0" quotePrefix="1" applyFont="1" applyAlignment="1">
      <alignment horizontal="left"/>
    </xf>
    <xf numFmtId="0" fontId="3" fillId="0" borderId="0" xfId="0" quotePrefix="1" applyFont="1" applyAlignment="1">
      <alignment horizontal="center"/>
    </xf>
    <xf numFmtId="0" fontId="11" fillId="0" borderId="0" xfId="0" quotePrefix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16" fillId="0" borderId="1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65" fontId="5" fillId="0" borderId="9" xfId="0" applyNumberFormat="1" applyFont="1" applyBorder="1" applyAlignment="1">
      <alignment horizontal="center"/>
    </xf>
    <xf numFmtId="2" fontId="0" fillId="0" borderId="0" xfId="0" applyNumberFormat="1"/>
    <xf numFmtId="1" fontId="5" fillId="4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165" fontId="0" fillId="0" borderId="0" xfId="0" applyNumberFormat="1" applyBorder="1"/>
    <xf numFmtId="0" fontId="5" fillId="5" borderId="1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21" fillId="0" borderId="0" xfId="0" quotePrefix="1" applyFont="1" applyAlignment="1">
      <alignment horizontal="left"/>
    </xf>
    <xf numFmtId="0" fontId="16" fillId="0" borderId="0" xfId="0" applyFont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6" fillId="0" borderId="13" xfId="0" quotePrefix="1" applyFont="1" applyBorder="1" applyAlignment="1">
      <alignment horizontal="left" vertical="center"/>
    </xf>
    <xf numFmtId="0" fontId="0" fillId="0" borderId="18" xfId="0" applyBorder="1"/>
    <xf numFmtId="0" fontId="5" fillId="0" borderId="20" xfId="0" applyFont="1" applyBorder="1" applyAlignment="1">
      <alignment horizontal="center"/>
    </xf>
    <xf numFmtId="0" fontId="0" fillId="0" borderId="19" xfId="0" applyBorder="1"/>
    <xf numFmtId="0" fontId="8" fillId="0" borderId="0" xfId="0" applyFont="1"/>
    <xf numFmtId="2" fontId="8" fillId="0" borderId="0" xfId="0" applyNumberFormat="1" applyFont="1" applyAlignment="1">
      <alignment horizontal="center"/>
    </xf>
    <xf numFmtId="0" fontId="22" fillId="0" borderId="2" xfId="0" quotePrefix="1" applyFont="1" applyBorder="1" applyAlignment="1">
      <alignment horizontal="left"/>
    </xf>
    <xf numFmtId="1" fontId="0" fillId="0" borderId="5" xfId="0" applyNumberFormat="1" applyBorder="1"/>
    <xf numFmtId="166" fontId="9" fillId="0" borderId="0" xfId="0" applyNumberFormat="1" applyFont="1" applyBorder="1" applyAlignment="1">
      <alignment horizontal="center"/>
    </xf>
    <xf numFmtId="166" fontId="9" fillId="4" borderId="0" xfId="0" applyNumberFormat="1" applyFont="1" applyFill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2" fontId="5" fillId="4" borderId="0" xfId="0" applyNumberFormat="1" applyFont="1" applyFill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5" fillId="4" borderId="0" xfId="0" applyNumberFormat="1" applyFont="1" applyFill="1" applyBorder="1" applyAlignment="1">
      <alignment horizontal="center"/>
    </xf>
    <xf numFmtId="0" fontId="23" fillId="0" borderId="0" xfId="0" applyFont="1" applyBorder="1"/>
    <xf numFmtId="0" fontId="23" fillId="0" borderId="5" xfId="0" applyFont="1" applyBorder="1"/>
    <xf numFmtId="0" fontId="0" fillId="0" borderId="2" xfId="0" quotePrefix="1" applyBorder="1" applyAlignment="1">
      <alignment horizontal="left"/>
    </xf>
    <xf numFmtId="166" fontId="6" fillId="0" borderId="0" xfId="0" applyNumberFormat="1" applyFont="1" applyBorder="1" applyAlignment="1">
      <alignment horizontal="center" vertical="center" wrapText="1"/>
    </xf>
    <xf numFmtId="166" fontId="6" fillId="4" borderId="0" xfId="0" applyNumberFormat="1" applyFont="1" applyFill="1" applyBorder="1" applyAlignment="1">
      <alignment horizontal="center" vertical="center" wrapText="1"/>
    </xf>
    <xf numFmtId="166" fontId="10" fillId="0" borderId="0" xfId="0" applyNumberFormat="1" applyFont="1" applyBorder="1" applyAlignment="1">
      <alignment horizontal="center" vertical="center" wrapText="1"/>
    </xf>
    <xf numFmtId="166" fontId="10" fillId="4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0" fontId="0" fillId="0" borderId="0" xfId="0" quotePrefix="1" applyFill="1" applyBorder="1" applyAlignment="1">
      <alignment horizontal="left"/>
    </xf>
    <xf numFmtId="0" fontId="4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5" fillId="0" borderId="0" xfId="0" applyFont="1" applyBorder="1" applyAlignment="1">
      <alignment horizontal="right"/>
    </xf>
    <xf numFmtId="0" fontId="0" fillId="0" borderId="0" xfId="0" quotePrefix="1" applyBorder="1" applyAlignment="1">
      <alignment horizontal="right"/>
    </xf>
    <xf numFmtId="0" fontId="24" fillId="0" borderId="0" xfId="0" applyFont="1"/>
    <xf numFmtId="0" fontId="19" fillId="0" borderId="0" xfId="0" applyFont="1"/>
    <xf numFmtId="0" fontId="19" fillId="0" borderId="0" xfId="0" quotePrefix="1" applyFont="1" applyAlignment="1">
      <alignment horizontal="left"/>
    </xf>
    <xf numFmtId="0" fontId="25" fillId="0" borderId="0" xfId="0" applyFont="1"/>
    <xf numFmtId="0" fontId="25" fillId="0" borderId="0" xfId="0" quotePrefix="1" applyFont="1" applyAlignment="1">
      <alignment horizontal="left"/>
    </xf>
    <xf numFmtId="0" fontId="26" fillId="0" borderId="0" xfId="0" quotePrefix="1" applyFont="1" applyAlignment="1">
      <alignment horizontal="left"/>
    </xf>
    <xf numFmtId="0" fontId="27" fillId="0" borderId="0" xfId="0" applyFont="1" applyBorder="1"/>
    <xf numFmtId="0" fontId="25" fillId="0" borderId="0" xfId="0" applyFont="1" applyBorder="1"/>
    <xf numFmtId="164" fontId="25" fillId="0" borderId="0" xfId="0" applyNumberFormat="1" applyFont="1" applyBorder="1" applyAlignment="1">
      <alignment horizontal="center"/>
    </xf>
    <xf numFmtId="0" fontId="25" fillId="5" borderId="0" xfId="0" applyFont="1" applyFill="1" applyBorder="1" applyAlignment="1">
      <alignment horizontal="center"/>
    </xf>
    <xf numFmtId="165" fontId="25" fillId="6" borderId="0" xfId="0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165" fontId="25" fillId="0" borderId="0" xfId="0" applyNumberFormat="1" applyFont="1" applyBorder="1" applyAlignment="1">
      <alignment horizontal="center"/>
    </xf>
    <xf numFmtId="2" fontId="25" fillId="0" borderId="0" xfId="0" applyNumberFormat="1" applyFont="1" applyBorder="1" applyAlignment="1">
      <alignment horizontal="center"/>
    </xf>
    <xf numFmtId="2" fontId="25" fillId="4" borderId="0" xfId="0" applyNumberFormat="1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9" fillId="0" borderId="0" xfId="0" quotePrefix="1" applyFont="1" applyBorder="1" applyAlignment="1">
      <alignment horizontal="left"/>
    </xf>
    <xf numFmtId="0" fontId="29" fillId="0" borderId="0" xfId="0" applyFont="1" applyBorder="1"/>
    <xf numFmtId="0" fontId="29" fillId="0" borderId="0" xfId="0" applyFont="1" applyFill="1" applyBorder="1"/>
    <xf numFmtId="2" fontId="25" fillId="6" borderId="0" xfId="0" applyNumberFormat="1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quotePrefix="1" applyFont="1" applyAlignment="1">
      <alignment horizontal="left"/>
    </xf>
    <xf numFmtId="0" fontId="29" fillId="5" borderId="0" xfId="0" applyFont="1" applyFill="1" applyAlignment="1">
      <alignment horizontal="center"/>
    </xf>
    <xf numFmtId="0" fontId="29" fillId="7" borderId="0" xfId="0" applyFont="1" applyFill="1" applyAlignment="1">
      <alignment horizontal="center"/>
    </xf>
    <xf numFmtId="0" fontId="29" fillId="5" borderId="0" xfId="0" applyFont="1" applyFill="1" applyBorder="1" applyAlignment="1">
      <alignment horizontal="center"/>
    </xf>
    <xf numFmtId="0" fontId="29" fillId="5" borderId="0" xfId="0" quotePrefix="1" applyFont="1" applyFill="1" applyAlignment="1">
      <alignment horizontal="center"/>
    </xf>
    <xf numFmtId="0" fontId="29" fillId="7" borderId="0" xfId="0" quotePrefix="1" applyFont="1" applyFill="1" applyAlignment="1">
      <alignment horizontal="center"/>
    </xf>
    <xf numFmtId="0" fontId="30" fillId="7" borderId="0" xfId="0" quotePrefix="1" applyFont="1" applyFill="1" applyAlignment="1">
      <alignment horizontal="center"/>
    </xf>
    <xf numFmtId="166" fontId="31" fillId="6" borderId="0" xfId="0" applyNumberFormat="1" applyFont="1" applyFill="1" applyBorder="1" applyAlignment="1">
      <alignment horizontal="center"/>
    </xf>
    <xf numFmtId="166" fontId="31" fillId="4" borderId="0" xfId="0" applyNumberFormat="1" applyFont="1" applyFill="1" applyBorder="1" applyAlignment="1">
      <alignment horizontal="center"/>
    </xf>
    <xf numFmtId="166" fontId="31" fillId="0" borderId="0" xfId="0" applyNumberFormat="1" applyFont="1" applyBorder="1" applyAlignment="1">
      <alignment horizontal="center"/>
    </xf>
    <xf numFmtId="166" fontId="25" fillId="4" borderId="0" xfId="0" applyNumberFormat="1" applyFont="1" applyFill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167" fontId="25" fillId="0" borderId="0" xfId="0" applyNumberFormat="1" applyFont="1"/>
    <xf numFmtId="166" fontId="27" fillId="6" borderId="0" xfId="0" applyNumberFormat="1" applyFont="1" applyFill="1" applyBorder="1" applyAlignment="1">
      <alignment horizontal="center"/>
    </xf>
    <xf numFmtId="166" fontId="27" fillId="4" borderId="0" xfId="0" applyNumberFormat="1" applyFont="1" applyFill="1" applyBorder="1" applyAlignment="1">
      <alignment horizontal="center"/>
    </xf>
    <xf numFmtId="166" fontId="27" fillId="0" borderId="0" xfId="0" applyNumberFormat="1" applyFont="1" applyBorder="1" applyAlignment="1">
      <alignment horizontal="center"/>
    </xf>
    <xf numFmtId="0" fontId="33" fillId="5" borderId="0" xfId="0" applyFont="1" applyFill="1" applyAlignment="1">
      <alignment horizontal="center"/>
    </xf>
    <xf numFmtId="0" fontId="29" fillId="0" borderId="0" xfId="0" applyFont="1"/>
    <xf numFmtId="0" fontId="29" fillId="0" borderId="0" xfId="0" applyFont="1" applyAlignment="1">
      <alignment horizontal="center"/>
    </xf>
    <xf numFmtId="165" fontId="25" fillId="0" borderId="0" xfId="0" applyNumberFormat="1" applyFont="1" applyAlignment="1">
      <alignment horizontal="center"/>
    </xf>
    <xf numFmtId="0" fontId="33" fillId="5" borderId="0" xfId="0" quotePrefix="1" applyFont="1" applyFill="1" applyAlignment="1">
      <alignment horizontal="center"/>
    </xf>
    <xf numFmtId="0" fontId="32" fillId="5" borderId="0" xfId="0" quotePrefix="1" applyFont="1" applyFill="1" applyAlignment="1">
      <alignment horizontal="center"/>
    </xf>
    <xf numFmtId="166" fontId="26" fillId="6" borderId="0" xfId="0" applyNumberFormat="1" applyFont="1" applyFill="1" applyBorder="1" applyAlignment="1">
      <alignment horizontal="center"/>
    </xf>
    <xf numFmtId="166" fontId="26" fillId="4" borderId="0" xfId="0" applyNumberFormat="1" applyFont="1" applyFill="1" applyBorder="1" applyAlignment="1">
      <alignment horizontal="center"/>
    </xf>
    <xf numFmtId="166" fontId="26" fillId="0" borderId="0" xfId="0" applyNumberFormat="1" applyFont="1" applyBorder="1" applyAlignment="1">
      <alignment horizontal="center"/>
    </xf>
    <xf numFmtId="0" fontId="26" fillId="0" borderId="0" xfId="0" applyFont="1"/>
    <xf numFmtId="0" fontId="16" fillId="0" borderId="1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linear"/>
            <c:dispRSqr val="1"/>
            <c:dispEq val="1"/>
            <c:trendlineLbl>
              <c:layout>
                <c:manualLayout>
                  <c:x val="-8.3895013123359577E-2"/>
                  <c:y val="-4.769575678040245E-2"/>
                </c:manualLayout>
              </c:layout>
              <c:numFmt formatCode="General" sourceLinked="0"/>
            </c:trendlineLbl>
          </c:trendline>
          <c:xVal>
            <c:numRef>
              <c:f>shr_per_spr!$B$34:$B$47</c:f>
              <c:numCache>
                <c:formatCode>0.00</c:formatCode>
                <c:ptCount val="14"/>
                <c:pt idx="0">
                  <c:v>2.4500000000000002</c:v>
                </c:pt>
                <c:pt idx="1">
                  <c:v>2.5000680331013507</c:v>
                </c:pt>
                <c:pt idx="2">
                  <c:v>2.5501786911101423</c:v>
                </c:pt>
                <c:pt idx="3">
                  <c:v>2.6</c:v>
                </c:pt>
                <c:pt idx="4">
                  <c:v>2.6496440938966015</c:v>
                </c:pt>
                <c:pt idx="5">
                  <c:v>2.6995106480969238</c:v>
                </c:pt>
                <c:pt idx="6">
                  <c:v>2.75031284808647</c:v>
                </c:pt>
                <c:pt idx="7">
                  <c:v>2.8004419881581071</c:v>
                </c:pt>
                <c:pt idx="8">
                  <c:v>2.8498977493736195</c:v>
                </c:pt>
                <c:pt idx="9">
                  <c:v>2.9001312541402999</c:v>
                </c:pt>
                <c:pt idx="10">
                  <c:v>3</c:v>
                </c:pt>
                <c:pt idx="11">
                  <c:v>3.1</c:v>
                </c:pt>
                <c:pt idx="12">
                  <c:v>3.2</c:v>
                </c:pt>
                <c:pt idx="13">
                  <c:v>3.3</c:v>
                </c:pt>
              </c:numCache>
            </c:numRef>
          </c:xVal>
          <c:yVal>
            <c:numRef>
              <c:f>shr_per_spr!$C$34:$C$47</c:f>
              <c:numCache>
                <c:formatCode>General</c:formatCode>
                <c:ptCount val="14"/>
                <c:pt idx="0">
                  <c:v>4.47</c:v>
                </c:pt>
                <c:pt idx="1">
                  <c:v>4.6500000000000004</c:v>
                </c:pt>
                <c:pt idx="2">
                  <c:v>4.82</c:v>
                </c:pt>
                <c:pt idx="3">
                  <c:v>5</c:v>
                </c:pt>
                <c:pt idx="4">
                  <c:v>5.18</c:v>
                </c:pt>
                <c:pt idx="5">
                  <c:v>5.36</c:v>
                </c:pt>
                <c:pt idx="6">
                  <c:v>5.55</c:v>
                </c:pt>
                <c:pt idx="7">
                  <c:v>5.74</c:v>
                </c:pt>
                <c:pt idx="8">
                  <c:v>5.93</c:v>
                </c:pt>
                <c:pt idx="9">
                  <c:v>6.12</c:v>
                </c:pt>
                <c:pt idx="10">
                  <c:v>6.52</c:v>
                </c:pt>
                <c:pt idx="11">
                  <c:v>6.92</c:v>
                </c:pt>
                <c:pt idx="12">
                  <c:v>7.34</c:v>
                </c:pt>
                <c:pt idx="13">
                  <c:v>7.77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753280"/>
        <c:axId val="112755072"/>
      </c:scatterChart>
      <c:valAx>
        <c:axId val="112753280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112755072"/>
        <c:crosses val="autoZero"/>
        <c:crossBetween val="midCat"/>
      </c:valAx>
      <c:valAx>
        <c:axId val="112755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27532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linear"/>
            <c:dispRSqr val="1"/>
            <c:dispEq val="1"/>
            <c:trendlineLbl>
              <c:layout>
                <c:manualLayout>
                  <c:x val="-0.12613582677165355"/>
                  <c:y val="-6.493985126859142E-2"/>
                </c:manualLayout>
              </c:layout>
              <c:numFmt formatCode="General" sourceLinked="0"/>
            </c:trendlineLbl>
          </c:trendline>
          <c:xVal>
            <c:numRef>
              <c:f>shr_add_rcratio_adjust!$B$121:$B$134</c:f>
              <c:numCache>
                <c:formatCode>0.00</c:formatCode>
                <c:ptCount val="14"/>
                <c:pt idx="0">
                  <c:v>2.4500000000000002</c:v>
                </c:pt>
                <c:pt idx="1">
                  <c:v>2.5</c:v>
                </c:pt>
                <c:pt idx="2">
                  <c:v>2.5499999999999998</c:v>
                </c:pt>
                <c:pt idx="3">
                  <c:v>2.6</c:v>
                </c:pt>
                <c:pt idx="4">
                  <c:v>2.65</c:v>
                </c:pt>
                <c:pt idx="5">
                  <c:v>2.7</c:v>
                </c:pt>
                <c:pt idx="6">
                  <c:v>2.75</c:v>
                </c:pt>
                <c:pt idx="7">
                  <c:v>2.8</c:v>
                </c:pt>
                <c:pt idx="8">
                  <c:v>2.85</c:v>
                </c:pt>
                <c:pt idx="9">
                  <c:v>2.9</c:v>
                </c:pt>
                <c:pt idx="10">
                  <c:v>3</c:v>
                </c:pt>
                <c:pt idx="11">
                  <c:v>3.1</c:v>
                </c:pt>
                <c:pt idx="12">
                  <c:v>3.2</c:v>
                </c:pt>
                <c:pt idx="13">
                  <c:v>3.3</c:v>
                </c:pt>
              </c:numCache>
            </c:numRef>
          </c:xVal>
          <c:yVal>
            <c:numRef>
              <c:f>shr_add_rcratio_adjust!$C$121:$C$134</c:f>
              <c:numCache>
                <c:formatCode>General</c:formatCode>
                <c:ptCount val="14"/>
                <c:pt idx="0">
                  <c:v>4.47</c:v>
                </c:pt>
                <c:pt idx="1">
                  <c:v>4.6500000000000004</c:v>
                </c:pt>
                <c:pt idx="2">
                  <c:v>4.82</c:v>
                </c:pt>
                <c:pt idx="3">
                  <c:v>5</c:v>
                </c:pt>
                <c:pt idx="4">
                  <c:v>5.18</c:v>
                </c:pt>
                <c:pt idx="5">
                  <c:v>5.36</c:v>
                </c:pt>
                <c:pt idx="6">
                  <c:v>5.55</c:v>
                </c:pt>
                <c:pt idx="7">
                  <c:v>5.74</c:v>
                </c:pt>
                <c:pt idx="8">
                  <c:v>5.93</c:v>
                </c:pt>
                <c:pt idx="9">
                  <c:v>6.12</c:v>
                </c:pt>
                <c:pt idx="10">
                  <c:v>6.52</c:v>
                </c:pt>
                <c:pt idx="11">
                  <c:v>6.92</c:v>
                </c:pt>
                <c:pt idx="12">
                  <c:v>7.34</c:v>
                </c:pt>
                <c:pt idx="13">
                  <c:v>7.77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161088"/>
        <c:axId val="129162624"/>
      </c:scatterChart>
      <c:valAx>
        <c:axId val="129161088"/>
        <c:scaling>
          <c:orientation val="minMax"/>
          <c:max val="3.5"/>
          <c:min val="2"/>
        </c:scaling>
        <c:delete val="0"/>
        <c:axPos val="b"/>
        <c:numFmt formatCode="0.00" sourceLinked="1"/>
        <c:majorTickMark val="out"/>
        <c:minorTickMark val="none"/>
        <c:tickLblPos val="nextTo"/>
        <c:crossAx val="129162624"/>
        <c:crosses val="autoZero"/>
        <c:crossBetween val="midCat"/>
      </c:valAx>
      <c:valAx>
        <c:axId val="129162624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916108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shr_add_rcratio_aver!$U$15:$U$24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</c:numCache>
            </c:numRef>
          </c:xVal>
          <c:yVal>
            <c:numRef>
              <c:f>shr_add_rcratio_aver!$V$15:$V$24</c:f>
              <c:numCache>
                <c:formatCode>General</c:formatCode>
                <c:ptCount val="10"/>
                <c:pt idx="0">
                  <c:v>52</c:v>
                </c:pt>
                <c:pt idx="1">
                  <c:v>68</c:v>
                </c:pt>
                <c:pt idx="2">
                  <c:v>84</c:v>
                </c:pt>
                <c:pt idx="3">
                  <c:v>100</c:v>
                </c:pt>
                <c:pt idx="4">
                  <c:v>116</c:v>
                </c:pt>
                <c:pt idx="5">
                  <c:v>181</c:v>
                </c:pt>
                <c:pt idx="6">
                  <c:v>285</c:v>
                </c:pt>
                <c:pt idx="7">
                  <c:v>389</c:v>
                </c:pt>
                <c:pt idx="8">
                  <c:v>492</c:v>
                </c:pt>
                <c:pt idx="9">
                  <c:v>596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shr_add_rcratio_aver!$U$15:$U$24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</c:numCache>
            </c:numRef>
          </c:xVal>
          <c:yVal>
            <c:numRef>
              <c:f>shr_add_rcratio_aver!$W$15:$W$24</c:f>
              <c:numCache>
                <c:formatCode>General</c:formatCode>
                <c:ptCount val="10"/>
                <c:pt idx="0">
                  <c:v>37</c:v>
                </c:pt>
                <c:pt idx="1">
                  <c:v>61</c:v>
                </c:pt>
                <c:pt idx="2">
                  <c:v>82</c:v>
                </c:pt>
                <c:pt idx="3">
                  <c:v>101</c:v>
                </c:pt>
                <c:pt idx="4">
                  <c:v>119</c:v>
                </c:pt>
                <c:pt idx="5">
                  <c:v>186</c:v>
                </c:pt>
                <c:pt idx="6">
                  <c:v>297</c:v>
                </c:pt>
                <c:pt idx="7">
                  <c:v>398</c:v>
                </c:pt>
                <c:pt idx="8">
                  <c:v>489</c:v>
                </c:pt>
                <c:pt idx="9">
                  <c:v>578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896256"/>
        <c:axId val="117866496"/>
      </c:scatterChart>
      <c:valAx>
        <c:axId val="11289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7866496"/>
        <c:crosses val="autoZero"/>
        <c:crossBetween val="midCat"/>
      </c:valAx>
      <c:valAx>
        <c:axId val="117866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289625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shr_add_rcratio_aver!$U$28:$U$37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</c:numCache>
            </c:numRef>
          </c:xVal>
          <c:yVal>
            <c:numRef>
              <c:f>shr_add_rcratio_aver!$V$28:$V$37</c:f>
              <c:numCache>
                <c:formatCode>General</c:formatCode>
                <c:ptCount val="10"/>
                <c:pt idx="0">
                  <c:v>40</c:v>
                </c:pt>
                <c:pt idx="1">
                  <c:v>55</c:v>
                </c:pt>
                <c:pt idx="2">
                  <c:v>71</c:v>
                </c:pt>
                <c:pt idx="3">
                  <c:v>86</c:v>
                </c:pt>
                <c:pt idx="4">
                  <c:v>101</c:v>
                </c:pt>
                <c:pt idx="5">
                  <c:v>166</c:v>
                </c:pt>
                <c:pt idx="6">
                  <c:v>273</c:v>
                </c:pt>
                <c:pt idx="7">
                  <c:v>381</c:v>
                </c:pt>
                <c:pt idx="8">
                  <c:v>489</c:v>
                </c:pt>
                <c:pt idx="9">
                  <c:v>596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shr_add_rcratio_aver!$U$28:$U$37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</c:numCache>
            </c:numRef>
          </c:xVal>
          <c:yVal>
            <c:numRef>
              <c:f>shr_add_rcratio_aver!$W$28:$W$37</c:f>
              <c:numCache>
                <c:formatCode>General</c:formatCode>
                <c:ptCount val="10"/>
                <c:pt idx="0">
                  <c:v>25</c:v>
                </c:pt>
                <c:pt idx="1">
                  <c:v>42</c:v>
                </c:pt>
                <c:pt idx="2">
                  <c:v>61</c:v>
                </c:pt>
                <c:pt idx="3">
                  <c:v>80</c:v>
                </c:pt>
                <c:pt idx="4">
                  <c:v>97</c:v>
                </c:pt>
                <c:pt idx="5">
                  <c:v>175</c:v>
                </c:pt>
                <c:pt idx="6">
                  <c:v>307</c:v>
                </c:pt>
                <c:pt idx="7">
                  <c:v>425</c:v>
                </c:pt>
                <c:pt idx="8">
                  <c:v>530</c:v>
                </c:pt>
                <c:pt idx="9">
                  <c:v>627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887360"/>
        <c:axId val="117888896"/>
      </c:scatterChart>
      <c:valAx>
        <c:axId val="117887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7888896"/>
        <c:crosses val="autoZero"/>
        <c:crossBetween val="midCat"/>
      </c:valAx>
      <c:valAx>
        <c:axId val="117888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8873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shr_add_rcratio_aver!$U$41:$U$50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</c:numCache>
            </c:numRef>
          </c:xVal>
          <c:yVal>
            <c:numRef>
              <c:f>shr_add_rcratio_aver!$V$41:$V$50</c:f>
              <c:numCache>
                <c:formatCode>General</c:formatCode>
                <c:ptCount val="10"/>
                <c:pt idx="0">
                  <c:v>30</c:v>
                </c:pt>
                <c:pt idx="1">
                  <c:v>44</c:v>
                </c:pt>
                <c:pt idx="2">
                  <c:v>59</c:v>
                </c:pt>
                <c:pt idx="3">
                  <c:v>74</c:v>
                </c:pt>
                <c:pt idx="4">
                  <c:v>89</c:v>
                </c:pt>
                <c:pt idx="5">
                  <c:v>153</c:v>
                </c:pt>
                <c:pt idx="6">
                  <c:v>264</c:v>
                </c:pt>
                <c:pt idx="7">
                  <c:v>375</c:v>
                </c:pt>
                <c:pt idx="8">
                  <c:v>485</c:v>
                </c:pt>
                <c:pt idx="9">
                  <c:v>596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shr_add_rcratio_aver!$U$41:$U$50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</c:numCache>
            </c:numRef>
          </c:xVal>
          <c:yVal>
            <c:numRef>
              <c:f>shr_add_rcratio_aver!$W$41:$W$50</c:f>
              <c:numCache>
                <c:formatCode>General</c:formatCode>
                <c:ptCount val="10"/>
                <c:pt idx="0">
                  <c:v>23</c:v>
                </c:pt>
                <c:pt idx="1">
                  <c:v>43</c:v>
                </c:pt>
                <c:pt idx="2">
                  <c:v>61</c:v>
                </c:pt>
                <c:pt idx="3">
                  <c:v>76</c:v>
                </c:pt>
                <c:pt idx="4">
                  <c:v>90</c:v>
                </c:pt>
                <c:pt idx="5">
                  <c:v>151</c:v>
                </c:pt>
                <c:pt idx="6">
                  <c:v>259</c:v>
                </c:pt>
                <c:pt idx="7">
                  <c:v>358</c:v>
                </c:pt>
                <c:pt idx="8">
                  <c:v>446</c:v>
                </c:pt>
                <c:pt idx="9">
                  <c:v>527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746560"/>
        <c:axId val="119748096"/>
      </c:scatterChart>
      <c:valAx>
        <c:axId val="119746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9748096"/>
        <c:crosses val="autoZero"/>
        <c:crossBetween val="midCat"/>
      </c:valAx>
      <c:valAx>
        <c:axId val="119748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97465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3.8273184601924762E-2"/>
                  <c:y val="-2.8489720034995624E-2"/>
                </c:manualLayout>
              </c:layout>
              <c:numFmt formatCode="General" sourceLinked="0"/>
            </c:trendlineLbl>
          </c:trendline>
          <c:xVal>
            <c:numRef>
              <c:f>shr_add_rcratio_aver!$U$60:$U$69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</c:numCache>
            </c:numRef>
          </c:xVal>
          <c:yVal>
            <c:numRef>
              <c:f>shr_add_rcratio_aver!$V$60:$V$69</c:f>
              <c:numCache>
                <c:formatCode>General</c:formatCode>
                <c:ptCount val="10"/>
                <c:pt idx="0">
                  <c:v>40</c:v>
                </c:pt>
                <c:pt idx="1">
                  <c:v>55</c:v>
                </c:pt>
                <c:pt idx="2">
                  <c:v>71</c:v>
                </c:pt>
                <c:pt idx="3">
                  <c:v>86</c:v>
                </c:pt>
                <c:pt idx="4">
                  <c:v>101</c:v>
                </c:pt>
                <c:pt idx="5">
                  <c:v>166</c:v>
                </c:pt>
                <c:pt idx="6">
                  <c:v>273</c:v>
                </c:pt>
                <c:pt idx="7">
                  <c:v>381</c:v>
                </c:pt>
                <c:pt idx="8">
                  <c:v>489</c:v>
                </c:pt>
                <c:pt idx="9">
                  <c:v>596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785728"/>
        <c:axId val="128909312"/>
      </c:scatterChart>
      <c:valAx>
        <c:axId val="11978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8909312"/>
        <c:crosses val="autoZero"/>
        <c:crossBetween val="midCat"/>
      </c:valAx>
      <c:valAx>
        <c:axId val="128909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97857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shr_add_rcratio_adjust!$U$22:$U$31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</c:numCache>
            </c:numRef>
          </c:xVal>
          <c:yVal>
            <c:numRef>
              <c:f>shr_add_rcratio_adjust!$V$22:$V$31</c:f>
              <c:numCache>
                <c:formatCode>General</c:formatCode>
                <c:ptCount val="10"/>
                <c:pt idx="0">
                  <c:v>52</c:v>
                </c:pt>
                <c:pt idx="1">
                  <c:v>68</c:v>
                </c:pt>
                <c:pt idx="2">
                  <c:v>84</c:v>
                </c:pt>
                <c:pt idx="3">
                  <c:v>100</c:v>
                </c:pt>
                <c:pt idx="4">
                  <c:v>116</c:v>
                </c:pt>
                <c:pt idx="5">
                  <c:v>181</c:v>
                </c:pt>
                <c:pt idx="6">
                  <c:v>285</c:v>
                </c:pt>
                <c:pt idx="7">
                  <c:v>389</c:v>
                </c:pt>
                <c:pt idx="8">
                  <c:v>492</c:v>
                </c:pt>
                <c:pt idx="9">
                  <c:v>596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shr_add_rcratio_adjust!$U$22:$U$31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</c:numCache>
            </c:numRef>
          </c:xVal>
          <c:yVal>
            <c:numRef>
              <c:f>shr_add_rcratio_adjust!$W$22:$W$31</c:f>
              <c:numCache>
                <c:formatCode>General</c:formatCode>
                <c:ptCount val="10"/>
                <c:pt idx="0">
                  <c:v>37</c:v>
                </c:pt>
                <c:pt idx="1">
                  <c:v>61</c:v>
                </c:pt>
                <c:pt idx="2">
                  <c:v>82</c:v>
                </c:pt>
                <c:pt idx="3">
                  <c:v>101</c:v>
                </c:pt>
                <c:pt idx="4">
                  <c:v>119</c:v>
                </c:pt>
                <c:pt idx="5">
                  <c:v>186</c:v>
                </c:pt>
                <c:pt idx="6">
                  <c:v>297</c:v>
                </c:pt>
                <c:pt idx="7">
                  <c:v>398</c:v>
                </c:pt>
                <c:pt idx="8">
                  <c:v>489</c:v>
                </c:pt>
                <c:pt idx="9">
                  <c:v>578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967040"/>
        <c:axId val="128968576"/>
      </c:scatterChart>
      <c:valAx>
        <c:axId val="128967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8968576"/>
        <c:crosses val="autoZero"/>
        <c:crossBetween val="midCat"/>
      </c:valAx>
      <c:valAx>
        <c:axId val="128968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89670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shr_add_rcratio_adjust!$U$35:$U$44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</c:numCache>
            </c:numRef>
          </c:xVal>
          <c:yVal>
            <c:numRef>
              <c:f>shr_add_rcratio_adjust!$V$35:$V$44</c:f>
              <c:numCache>
                <c:formatCode>General</c:formatCode>
                <c:ptCount val="10"/>
                <c:pt idx="0">
                  <c:v>40</c:v>
                </c:pt>
                <c:pt idx="1">
                  <c:v>55</c:v>
                </c:pt>
                <c:pt idx="2">
                  <c:v>71</c:v>
                </c:pt>
                <c:pt idx="3">
                  <c:v>86</c:v>
                </c:pt>
                <c:pt idx="4">
                  <c:v>101</c:v>
                </c:pt>
                <c:pt idx="5">
                  <c:v>166</c:v>
                </c:pt>
                <c:pt idx="6">
                  <c:v>273</c:v>
                </c:pt>
                <c:pt idx="7">
                  <c:v>381</c:v>
                </c:pt>
                <c:pt idx="8">
                  <c:v>489</c:v>
                </c:pt>
                <c:pt idx="9">
                  <c:v>596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shr_add_rcratio_adjust!$U$35:$U$44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</c:numCache>
            </c:numRef>
          </c:xVal>
          <c:yVal>
            <c:numRef>
              <c:f>shr_add_rcratio_adjust!$W$35:$W$44</c:f>
              <c:numCache>
                <c:formatCode>General</c:formatCode>
                <c:ptCount val="10"/>
                <c:pt idx="0">
                  <c:v>25</c:v>
                </c:pt>
                <c:pt idx="1">
                  <c:v>42</c:v>
                </c:pt>
                <c:pt idx="2">
                  <c:v>61</c:v>
                </c:pt>
                <c:pt idx="3">
                  <c:v>80</c:v>
                </c:pt>
                <c:pt idx="4">
                  <c:v>97</c:v>
                </c:pt>
                <c:pt idx="5">
                  <c:v>175</c:v>
                </c:pt>
                <c:pt idx="6">
                  <c:v>307</c:v>
                </c:pt>
                <c:pt idx="7">
                  <c:v>425</c:v>
                </c:pt>
                <c:pt idx="8">
                  <c:v>530</c:v>
                </c:pt>
                <c:pt idx="9">
                  <c:v>627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997632"/>
        <c:axId val="129015808"/>
      </c:scatterChart>
      <c:valAx>
        <c:axId val="12899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9015808"/>
        <c:crosses val="autoZero"/>
        <c:crossBetween val="midCat"/>
      </c:valAx>
      <c:valAx>
        <c:axId val="129015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899763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shr_add_rcratio_adjust!$U$48:$U$57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</c:numCache>
            </c:numRef>
          </c:xVal>
          <c:yVal>
            <c:numRef>
              <c:f>shr_add_rcratio_adjust!$V$48:$V$57</c:f>
              <c:numCache>
                <c:formatCode>General</c:formatCode>
                <c:ptCount val="10"/>
                <c:pt idx="0">
                  <c:v>30</c:v>
                </c:pt>
                <c:pt idx="1">
                  <c:v>44</c:v>
                </c:pt>
                <c:pt idx="2">
                  <c:v>59</c:v>
                </c:pt>
                <c:pt idx="3">
                  <c:v>74</c:v>
                </c:pt>
                <c:pt idx="4">
                  <c:v>89</c:v>
                </c:pt>
                <c:pt idx="5">
                  <c:v>153</c:v>
                </c:pt>
                <c:pt idx="6">
                  <c:v>264</c:v>
                </c:pt>
                <c:pt idx="7">
                  <c:v>375</c:v>
                </c:pt>
                <c:pt idx="8">
                  <c:v>485</c:v>
                </c:pt>
                <c:pt idx="9">
                  <c:v>596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shr_add_rcratio_adjust!$U$48:$U$57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</c:numCache>
            </c:numRef>
          </c:xVal>
          <c:yVal>
            <c:numRef>
              <c:f>shr_add_rcratio_adjust!$W$48:$W$57</c:f>
              <c:numCache>
                <c:formatCode>General</c:formatCode>
                <c:ptCount val="10"/>
                <c:pt idx="0">
                  <c:v>23</c:v>
                </c:pt>
                <c:pt idx="1">
                  <c:v>43</c:v>
                </c:pt>
                <c:pt idx="2">
                  <c:v>61</c:v>
                </c:pt>
                <c:pt idx="3">
                  <c:v>76</c:v>
                </c:pt>
                <c:pt idx="4">
                  <c:v>90</c:v>
                </c:pt>
                <c:pt idx="5">
                  <c:v>151</c:v>
                </c:pt>
                <c:pt idx="6">
                  <c:v>259</c:v>
                </c:pt>
                <c:pt idx="7">
                  <c:v>358</c:v>
                </c:pt>
                <c:pt idx="8">
                  <c:v>446</c:v>
                </c:pt>
                <c:pt idx="9">
                  <c:v>527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036672"/>
        <c:axId val="129038208"/>
      </c:scatterChart>
      <c:valAx>
        <c:axId val="129036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9038208"/>
        <c:crosses val="autoZero"/>
        <c:crossBetween val="midCat"/>
      </c:valAx>
      <c:valAx>
        <c:axId val="129038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903667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3.8273184601924762E-2"/>
                  <c:y val="-2.8489720034995624E-2"/>
                </c:manualLayout>
              </c:layout>
              <c:numFmt formatCode="General" sourceLinked="0"/>
            </c:trendlineLbl>
          </c:trendline>
          <c:xVal>
            <c:numRef>
              <c:f>shr_add_rcratio_adjust!$U$67:$U$76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</c:numCache>
            </c:numRef>
          </c:xVal>
          <c:yVal>
            <c:numRef>
              <c:f>shr_add_rcratio_adjust!$V$67:$V$76</c:f>
              <c:numCache>
                <c:formatCode>General</c:formatCode>
                <c:ptCount val="10"/>
                <c:pt idx="0">
                  <c:v>40</c:v>
                </c:pt>
                <c:pt idx="1">
                  <c:v>55</c:v>
                </c:pt>
                <c:pt idx="2">
                  <c:v>71</c:v>
                </c:pt>
                <c:pt idx="3">
                  <c:v>86</c:v>
                </c:pt>
                <c:pt idx="4">
                  <c:v>101</c:v>
                </c:pt>
                <c:pt idx="5">
                  <c:v>166</c:v>
                </c:pt>
                <c:pt idx="6">
                  <c:v>273</c:v>
                </c:pt>
                <c:pt idx="7">
                  <c:v>381</c:v>
                </c:pt>
                <c:pt idx="8">
                  <c:v>489</c:v>
                </c:pt>
                <c:pt idx="9">
                  <c:v>596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122688"/>
        <c:axId val="129124224"/>
      </c:scatterChart>
      <c:valAx>
        <c:axId val="129122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9124224"/>
        <c:crosses val="autoZero"/>
        <c:crossBetween val="midCat"/>
      </c:valAx>
      <c:valAx>
        <c:axId val="129124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91226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179917</xdr:colOff>
      <xdr:row>12</xdr:row>
      <xdr:rowOff>52917</xdr:rowOff>
    </xdr:from>
    <xdr:to>
      <xdr:col>1</xdr:col>
      <xdr:colOff>179917</xdr:colOff>
      <xdr:row>13</xdr:row>
      <xdr:rowOff>137583</xdr:rowOff>
    </xdr:to>
    <xdr:cxnSp macro="">
      <xdr:nvCxnSpPr>
        <xdr:cNvPr id="6" name="Straight Connector 5"/>
        <xdr:cNvCxnSpPr/>
      </xdr:nvCxnSpPr>
      <xdr:spPr>
        <a:xfrm flipV="1">
          <a:off x="2021417" y="2148417"/>
          <a:ext cx="0" cy="27516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412750</xdr:colOff>
      <xdr:row>14</xdr:row>
      <xdr:rowOff>63500</xdr:rowOff>
    </xdr:from>
    <xdr:to>
      <xdr:col>1</xdr:col>
      <xdr:colOff>116417</xdr:colOff>
      <xdr:row>14</xdr:row>
      <xdr:rowOff>74083</xdr:rowOff>
    </xdr:to>
    <xdr:cxnSp macro="">
      <xdr:nvCxnSpPr>
        <xdr:cNvPr id="4" name="Straight Arrow Connector 3"/>
        <xdr:cNvCxnSpPr/>
      </xdr:nvCxnSpPr>
      <xdr:spPr>
        <a:xfrm>
          <a:off x="412750" y="2286000"/>
          <a:ext cx="317500" cy="10583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412751</xdr:colOff>
      <xdr:row>10</xdr:row>
      <xdr:rowOff>42333</xdr:rowOff>
    </xdr:from>
    <xdr:to>
      <xdr:col>4</xdr:col>
      <xdr:colOff>10584</xdr:colOff>
      <xdr:row>12</xdr:row>
      <xdr:rowOff>74084</xdr:rowOff>
    </xdr:to>
    <xdr:cxnSp macro="">
      <xdr:nvCxnSpPr>
        <xdr:cNvPr id="6" name="Straight Arrow Connector 5"/>
        <xdr:cNvCxnSpPr/>
      </xdr:nvCxnSpPr>
      <xdr:spPr>
        <a:xfrm flipH="1">
          <a:off x="2254251" y="1629833"/>
          <a:ext cx="211666" cy="349251"/>
        </a:xfrm>
        <a:prstGeom prst="straightConnector1">
          <a:avLst/>
        </a:prstGeom>
        <a:ln>
          <a:solidFill>
            <a:srgbClr val="0070C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301625</xdr:colOff>
      <xdr:row>31</xdr:row>
      <xdr:rowOff>104774</xdr:rowOff>
    </xdr:from>
    <xdr:to>
      <xdr:col>18</xdr:col>
      <xdr:colOff>142875</xdr:colOff>
      <xdr:row>48</xdr:row>
      <xdr:rowOff>149224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576791</xdr:colOff>
      <xdr:row>12</xdr:row>
      <xdr:rowOff>94191</xdr:rowOff>
    </xdr:from>
    <xdr:to>
      <xdr:col>33</xdr:col>
      <xdr:colOff>238124</xdr:colOff>
      <xdr:row>22</xdr:row>
      <xdr:rowOff>49741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248707</xdr:colOff>
      <xdr:row>27</xdr:row>
      <xdr:rowOff>9524</xdr:rowOff>
    </xdr:from>
    <xdr:to>
      <xdr:col>33</xdr:col>
      <xdr:colOff>523873</xdr:colOff>
      <xdr:row>36</xdr:row>
      <xdr:rowOff>123824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280458</xdr:colOff>
      <xdr:row>40</xdr:row>
      <xdr:rowOff>83608</xdr:rowOff>
    </xdr:from>
    <xdr:to>
      <xdr:col>33</xdr:col>
      <xdr:colOff>555624</xdr:colOff>
      <xdr:row>50</xdr:row>
      <xdr:rowOff>7408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418041</xdr:colOff>
      <xdr:row>56</xdr:row>
      <xdr:rowOff>51858</xdr:rowOff>
    </xdr:from>
    <xdr:to>
      <xdr:col>30</xdr:col>
      <xdr:colOff>392641</xdr:colOff>
      <xdr:row>66</xdr:row>
      <xdr:rowOff>39158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153457</xdr:colOff>
      <xdr:row>21</xdr:row>
      <xdr:rowOff>178857</xdr:rowOff>
    </xdr:from>
    <xdr:to>
      <xdr:col>33</xdr:col>
      <xdr:colOff>428624</xdr:colOff>
      <xdr:row>30</xdr:row>
      <xdr:rowOff>123823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121706</xdr:colOff>
      <xdr:row>34</xdr:row>
      <xdr:rowOff>136524</xdr:rowOff>
    </xdr:from>
    <xdr:to>
      <xdr:col>33</xdr:col>
      <xdr:colOff>396872</xdr:colOff>
      <xdr:row>44</xdr:row>
      <xdr:rowOff>39157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100541</xdr:colOff>
      <xdr:row>47</xdr:row>
      <xdr:rowOff>125941</xdr:rowOff>
    </xdr:from>
    <xdr:to>
      <xdr:col>33</xdr:col>
      <xdr:colOff>375707</xdr:colOff>
      <xdr:row>57</xdr:row>
      <xdr:rowOff>49741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142874</xdr:colOff>
      <xdr:row>67</xdr:row>
      <xdr:rowOff>20108</xdr:rowOff>
    </xdr:from>
    <xdr:to>
      <xdr:col>32</xdr:col>
      <xdr:colOff>117474</xdr:colOff>
      <xdr:row>75</xdr:row>
      <xdr:rowOff>134408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481541</xdr:colOff>
      <xdr:row>118</xdr:row>
      <xdr:rowOff>147109</xdr:rowOff>
    </xdr:from>
    <xdr:to>
      <xdr:col>19</xdr:col>
      <xdr:colOff>375707</xdr:colOff>
      <xdr:row>133</xdr:row>
      <xdr:rowOff>32809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412750</xdr:colOff>
      <xdr:row>146</xdr:row>
      <xdr:rowOff>63500</xdr:rowOff>
    </xdr:from>
    <xdr:to>
      <xdr:col>1</xdr:col>
      <xdr:colOff>116417</xdr:colOff>
      <xdr:row>146</xdr:row>
      <xdr:rowOff>74083</xdr:rowOff>
    </xdr:to>
    <xdr:cxnSp macro="">
      <xdr:nvCxnSpPr>
        <xdr:cNvPr id="9" name="Straight Arrow Connector 8"/>
        <xdr:cNvCxnSpPr/>
      </xdr:nvCxnSpPr>
      <xdr:spPr>
        <a:xfrm>
          <a:off x="412750" y="2330450"/>
          <a:ext cx="313267" cy="10583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412751</xdr:colOff>
      <xdr:row>142</xdr:row>
      <xdr:rowOff>42333</xdr:rowOff>
    </xdr:from>
    <xdr:to>
      <xdr:col>4</xdr:col>
      <xdr:colOff>10584</xdr:colOff>
      <xdr:row>144</xdr:row>
      <xdr:rowOff>74084</xdr:rowOff>
    </xdr:to>
    <xdr:cxnSp macro="">
      <xdr:nvCxnSpPr>
        <xdr:cNvPr id="10" name="Straight Arrow Connector 9"/>
        <xdr:cNvCxnSpPr/>
      </xdr:nvCxnSpPr>
      <xdr:spPr>
        <a:xfrm flipH="1">
          <a:off x="2241551" y="1661583"/>
          <a:ext cx="207433" cy="355601"/>
        </a:xfrm>
        <a:prstGeom prst="straightConnector1">
          <a:avLst/>
        </a:prstGeom>
        <a:ln>
          <a:solidFill>
            <a:srgbClr val="0070C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AU99"/>
  <sheetViews>
    <sheetView showGridLines="0" tabSelected="1" zoomScale="90" zoomScaleNormal="90" workbookViewId="0"/>
  </sheetViews>
  <sheetFormatPr defaultRowHeight="15" x14ac:dyDescent="0.25"/>
  <cols>
    <col min="1" max="1" width="2.85546875" style="160" customWidth="1"/>
    <col min="2" max="2" width="10.7109375" style="160" customWidth="1"/>
    <col min="3" max="4" width="13.7109375" style="160" customWidth="1"/>
    <col min="5" max="5" width="11.85546875" style="160" customWidth="1"/>
    <col min="6" max="6" width="11.7109375" style="160" customWidth="1"/>
    <col min="7" max="7" width="13.28515625" style="160" customWidth="1"/>
    <col min="8" max="9" width="13.7109375" style="160" customWidth="1"/>
    <col min="10" max="10" width="4.7109375" style="160" customWidth="1"/>
    <col min="11" max="11" width="9.7109375" style="160" customWidth="1"/>
    <col min="12" max="13" width="13.7109375" style="160" customWidth="1"/>
    <col min="14" max="14" width="11.140625" style="160" customWidth="1"/>
    <col min="15" max="15" width="8.85546875" style="160" customWidth="1"/>
    <col min="16" max="16" width="12" style="160" customWidth="1"/>
    <col min="17" max="17" width="13" style="160" customWidth="1"/>
    <col min="18" max="26" width="9.28515625" style="160" customWidth="1"/>
    <col min="27" max="16384" width="9.140625" style="160"/>
  </cols>
  <sheetData>
    <row r="1" spans="1:47" x14ac:dyDescent="0.25">
      <c r="O1" s="178" t="s">
        <v>81</v>
      </c>
      <c r="T1" s="161"/>
    </row>
    <row r="2" spans="1:47" x14ac:dyDescent="0.25">
      <c r="A2" s="160" t="s">
        <v>82</v>
      </c>
      <c r="AU2" s="160" t="s">
        <v>32</v>
      </c>
    </row>
    <row r="3" spans="1:47" x14ac:dyDescent="0.25">
      <c r="A3" s="161" t="s">
        <v>83</v>
      </c>
    </row>
    <row r="4" spans="1:47" x14ac:dyDescent="0.25">
      <c r="A4" s="161" t="s">
        <v>84</v>
      </c>
    </row>
    <row r="5" spans="1:47" x14ac:dyDescent="0.25">
      <c r="A5" s="161" t="s">
        <v>108</v>
      </c>
    </row>
    <row r="6" spans="1:47" x14ac:dyDescent="0.25">
      <c r="D6" s="162"/>
    </row>
    <row r="7" spans="1:47" x14ac:dyDescent="0.25">
      <c r="B7" s="163">
        <v>2.52</v>
      </c>
      <c r="C7" s="173" t="s">
        <v>70</v>
      </c>
    </row>
    <row r="8" spans="1:47" x14ac:dyDescent="0.25">
      <c r="B8" s="163">
        <v>4.2</v>
      </c>
      <c r="C8" s="174" t="s">
        <v>1</v>
      </c>
      <c r="W8" s="161"/>
      <c r="X8" s="161"/>
    </row>
    <row r="9" spans="1:47" x14ac:dyDescent="0.25">
      <c r="B9" s="163">
        <v>85</v>
      </c>
      <c r="C9" s="173" t="s">
        <v>8</v>
      </c>
    </row>
    <row r="10" spans="1:47" x14ac:dyDescent="0.25">
      <c r="B10" s="165">
        <f>(B8*2.20462*25.4*12)</f>
        <v>2822.2663391999999</v>
      </c>
      <c r="C10" s="175" t="s">
        <v>87</v>
      </c>
      <c r="O10" s="164"/>
      <c r="P10" s="164"/>
      <c r="Q10" s="164"/>
      <c r="R10" s="164"/>
      <c r="S10" s="164"/>
      <c r="T10" s="164"/>
      <c r="U10" s="164"/>
    </row>
    <row r="12" spans="1:47" x14ac:dyDescent="0.25">
      <c r="B12" s="160" t="s">
        <v>86</v>
      </c>
    </row>
    <row r="14" spans="1:47" x14ac:dyDescent="0.25"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</row>
    <row r="15" spans="1:47" x14ac:dyDescent="0.25">
      <c r="B15" s="160" t="s">
        <v>90</v>
      </c>
      <c r="F15" s="160" t="s">
        <v>91</v>
      </c>
      <c r="K15" s="160" t="s">
        <v>96</v>
      </c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</row>
    <row r="16" spans="1:47" x14ac:dyDescent="0.25">
      <c r="B16" s="179"/>
      <c r="C16" s="194" t="s">
        <v>99</v>
      </c>
      <c r="D16" s="179"/>
      <c r="E16" s="179" t="s">
        <v>88</v>
      </c>
      <c r="F16" s="180"/>
      <c r="G16" s="180" t="s">
        <v>89</v>
      </c>
      <c r="H16" s="180"/>
      <c r="I16" s="180"/>
      <c r="J16" s="195"/>
      <c r="K16" s="179"/>
      <c r="L16" s="199" t="s">
        <v>103</v>
      </c>
      <c r="M16" s="179"/>
      <c r="N16" s="179" t="s">
        <v>89</v>
      </c>
      <c r="O16" s="179"/>
      <c r="P16" s="179" t="s">
        <v>98</v>
      </c>
      <c r="Q16" s="196" t="s">
        <v>100</v>
      </c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</row>
    <row r="17" spans="2:44" x14ac:dyDescent="0.25">
      <c r="B17" s="181" t="s">
        <v>9</v>
      </c>
      <c r="C17" s="179" t="s">
        <v>85</v>
      </c>
      <c r="D17" s="182" t="s">
        <v>94</v>
      </c>
      <c r="E17" s="179" t="s">
        <v>89</v>
      </c>
      <c r="F17" s="180" t="s">
        <v>92</v>
      </c>
      <c r="G17" s="180" t="s">
        <v>93</v>
      </c>
      <c r="H17" s="183" t="s">
        <v>95</v>
      </c>
      <c r="I17" s="184" t="s">
        <v>95</v>
      </c>
      <c r="J17" s="195"/>
      <c r="K17" s="181" t="s">
        <v>9</v>
      </c>
      <c r="L17" s="179" t="s">
        <v>85</v>
      </c>
      <c r="M17" s="182" t="s">
        <v>94</v>
      </c>
      <c r="N17" s="182" t="s">
        <v>93</v>
      </c>
      <c r="O17" s="182" t="s">
        <v>97</v>
      </c>
      <c r="P17" s="182" t="s">
        <v>89</v>
      </c>
      <c r="Q17" s="196" t="s">
        <v>101</v>
      </c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</row>
    <row r="18" spans="2:44" x14ac:dyDescent="0.25">
      <c r="B18" s="166">
        <v>1</v>
      </c>
      <c r="C18" s="167">
        <v>1</v>
      </c>
      <c r="D18" s="176">
        <f t="shared" ref="D18:D27" si="0">(C18*$B$7)*SQRT(4*$B$9*$B$10/32.2)/12</f>
        <v>36.251820039966084</v>
      </c>
      <c r="E18" s="176">
        <f>B18*D18</f>
        <v>36.251820039966084</v>
      </c>
      <c r="F18" s="177">
        <v>14.8</v>
      </c>
      <c r="G18" s="176">
        <f>E18-F18</f>
        <v>21.451820039966083</v>
      </c>
      <c r="H18" s="176">
        <f>G18/B18</f>
        <v>21.451820039966083</v>
      </c>
      <c r="I18" s="185">
        <f>SQRT(12*32.2*H18^2/(4*$B$9*($B$8*56)*$B$7^2))</f>
        <v>0.59173062378247343</v>
      </c>
      <c r="K18" s="166">
        <v>1</v>
      </c>
      <c r="L18" s="191">
        <v>0.5917</v>
      </c>
      <c r="M18" s="176">
        <f t="shared" ref="M18:M27" si="1">(L18*$B$7)*SQRT(4*$B$9*$B$10/32.2)/12</f>
        <v>21.450201917647934</v>
      </c>
      <c r="N18" s="176">
        <f>K18*M18</f>
        <v>21.450201917647934</v>
      </c>
      <c r="O18" s="172">
        <f>$F$18</f>
        <v>14.8</v>
      </c>
      <c r="P18" s="176">
        <f>N18+O18</f>
        <v>36.250201917647935</v>
      </c>
      <c r="Q18" s="197">
        <f>P18-E18</f>
        <v>-1.6181223181490623E-3</v>
      </c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</row>
    <row r="19" spans="2:44" x14ac:dyDescent="0.25">
      <c r="B19" s="166">
        <v>2</v>
      </c>
      <c r="C19" s="168">
        <v>0.83</v>
      </c>
      <c r="D19" s="171">
        <f t="shared" si="0"/>
        <v>30.089010633171853</v>
      </c>
      <c r="E19" s="171">
        <f t="shared" ref="E19:E27" si="2">B19*D19</f>
        <v>60.178021266343706</v>
      </c>
      <c r="F19" s="172">
        <f t="shared" ref="F19:F27" si="3">$F$18</f>
        <v>14.8</v>
      </c>
      <c r="G19" s="171">
        <f t="shared" ref="G19:G27" si="4">E19-F19</f>
        <v>45.378021266343708</v>
      </c>
      <c r="H19" s="171">
        <f t="shared" ref="H19:H27" si="5">G19/B19</f>
        <v>22.689010633171854</v>
      </c>
      <c r="I19" s="186">
        <f t="shared" ref="I19" si="6">SQRT(12*32.2*H19^2/(4*$B$9*($B$8*56)*$B$7^2))</f>
        <v>0.62585749787015188</v>
      </c>
      <c r="J19" s="172"/>
      <c r="K19" s="166">
        <v>2</v>
      </c>
      <c r="L19" s="192">
        <v>0.62590000000000001</v>
      </c>
      <c r="M19" s="171">
        <f t="shared" si="1"/>
        <v>22.690014163014776</v>
      </c>
      <c r="N19" s="171">
        <f t="shared" ref="N19:N27" si="7">K19*M19</f>
        <v>45.380028326029553</v>
      </c>
      <c r="O19" s="172">
        <f t="shared" ref="O19:O27" si="8">$F$18</f>
        <v>14.8</v>
      </c>
      <c r="P19" s="171">
        <f t="shared" ref="P19:P27" si="9">N19+O19</f>
        <v>60.180028326029557</v>
      </c>
      <c r="Q19" s="197">
        <f t="shared" ref="Q19:Q27" si="10">P19-E19</f>
        <v>2.0070596858516865E-3</v>
      </c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</row>
    <row r="20" spans="2:44" x14ac:dyDescent="0.25">
      <c r="B20" s="166">
        <v>3</v>
      </c>
      <c r="C20" s="169">
        <v>0.77</v>
      </c>
      <c r="D20" s="170">
        <f t="shared" si="0"/>
        <v>27.91390143077389</v>
      </c>
      <c r="E20" s="170">
        <f t="shared" si="2"/>
        <v>83.741704292321671</v>
      </c>
      <c r="F20" s="172">
        <f t="shared" si="3"/>
        <v>14.8</v>
      </c>
      <c r="G20" s="170">
        <f t="shared" si="4"/>
        <v>68.941704292321674</v>
      </c>
      <c r="H20" s="170">
        <f t="shared" si="5"/>
        <v>22.980568097440557</v>
      </c>
      <c r="I20" s="187">
        <f t="shared" ref="I20" si="11">SQRT(12*32.2*H20^2/(4*$B$9*($B$8*56)*$B$7^2))</f>
        <v>0.63389986816221722</v>
      </c>
      <c r="J20" s="172"/>
      <c r="K20" s="166">
        <v>3</v>
      </c>
      <c r="L20" s="193">
        <v>0.63390000000000002</v>
      </c>
      <c r="M20" s="170">
        <f t="shared" si="1"/>
        <v>22.980028723334502</v>
      </c>
      <c r="N20" s="170">
        <f t="shared" si="7"/>
        <v>68.940086170003511</v>
      </c>
      <c r="O20" s="172">
        <f t="shared" si="8"/>
        <v>14.8</v>
      </c>
      <c r="P20" s="170">
        <f t="shared" si="9"/>
        <v>83.740086170003508</v>
      </c>
      <c r="Q20" s="197">
        <f t="shared" si="10"/>
        <v>-1.6181223181632731E-3</v>
      </c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</row>
    <row r="21" spans="2:44" x14ac:dyDescent="0.25">
      <c r="B21" s="166">
        <v>4</v>
      </c>
      <c r="C21" s="169">
        <v>0.74199999999999999</v>
      </c>
      <c r="D21" s="170">
        <f t="shared" si="0"/>
        <v>26.898850469654835</v>
      </c>
      <c r="E21" s="170">
        <f t="shared" si="2"/>
        <v>107.59540187861934</v>
      </c>
      <c r="F21" s="172">
        <f t="shared" si="3"/>
        <v>14.8</v>
      </c>
      <c r="G21" s="170">
        <f t="shared" si="4"/>
        <v>92.795401878619344</v>
      </c>
      <c r="H21" s="170">
        <f t="shared" si="5"/>
        <v>23.198850469654836</v>
      </c>
      <c r="I21" s="187">
        <f t="shared" ref="I21" si="12">SQRT(12*32.2*H21^2/(4*$B$9*($B$8*56)*$B$7^2))</f>
        <v>0.63992100595054624</v>
      </c>
      <c r="J21" s="172"/>
      <c r="K21" s="166">
        <v>4</v>
      </c>
      <c r="L21" s="193">
        <v>0.63990000000000002</v>
      </c>
      <c r="M21" s="170">
        <f t="shared" si="1"/>
        <v>23.197539643574302</v>
      </c>
      <c r="N21" s="170">
        <f t="shared" si="7"/>
        <v>92.790158574297209</v>
      </c>
      <c r="O21" s="172">
        <f t="shared" si="8"/>
        <v>14.8</v>
      </c>
      <c r="P21" s="170">
        <f t="shared" si="9"/>
        <v>107.59015857429721</v>
      </c>
      <c r="Q21" s="197">
        <f t="shared" si="10"/>
        <v>-5.2433043221356002E-3</v>
      </c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</row>
    <row r="22" spans="2:44" x14ac:dyDescent="0.25">
      <c r="B22" s="166">
        <v>5</v>
      </c>
      <c r="C22" s="168">
        <v>0.73699999999999999</v>
      </c>
      <c r="D22" s="171">
        <f t="shared" si="0"/>
        <v>26.717591369455008</v>
      </c>
      <c r="E22" s="171">
        <f t="shared" si="2"/>
        <v>133.58795684727505</v>
      </c>
      <c r="F22" s="172">
        <f t="shared" si="3"/>
        <v>14.8</v>
      </c>
      <c r="G22" s="171">
        <f t="shared" si="4"/>
        <v>118.78795684727505</v>
      </c>
      <c r="H22" s="171">
        <f t="shared" si="5"/>
        <v>23.75759136945501</v>
      </c>
      <c r="I22" s="186">
        <f t="shared" ref="I22" si="13">SQRT(12*32.2*H22^2/(4*$B$9*($B$8*56)*$B$7^2))</f>
        <v>0.65533340921309291</v>
      </c>
      <c r="J22" s="172"/>
      <c r="K22" s="166">
        <v>5</v>
      </c>
      <c r="L22" s="192">
        <v>0.65529999999999999</v>
      </c>
      <c r="M22" s="171">
        <f t="shared" si="1"/>
        <v>23.755817672189778</v>
      </c>
      <c r="N22" s="171">
        <f t="shared" si="7"/>
        <v>118.77908836094889</v>
      </c>
      <c r="O22" s="172">
        <f t="shared" si="8"/>
        <v>14.8</v>
      </c>
      <c r="P22" s="171">
        <f t="shared" si="9"/>
        <v>133.5790883609489</v>
      </c>
      <c r="Q22" s="197">
        <f t="shared" si="10"/>
        <v>-8.8684863261505598E-3</v>
      </c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</row>
    <row r="23" spans="2:44" x14ac:dyDescent="0.25">
      <c r="B23" s="166">
        <v>10</v>
      </c>
      <c r="C23" s="170">
        <v>0.72</v>
      </c>
      <c r="D23" s="170">
        <f t="shared" si="0"/>
        <v>26.10131042877558</v>
      </c>
      <c r="E23" s="170">
        <f t="shared" si="2"/>
        <v>261.01310428775582</v>
      </c>
      <c r="F23" s="172">
        <f t="shared" si="3"/>
        <v>14.8</v>
      </c>
      <c r="G23" s="170">
        <f t="shared" si="4"/>
        <v>246.21310428775581</v>
      </c>
      <c r="H23" s="170">
        <f t="shared" si="5"/>
        <v>24.62131042877558</v>
      </c>
      <c r="I23" s="187">
        <f t="shared" ref="I23" si="14">SQRT(12*32.2*H23^2/(4*$B$9*($B$8*56)*$B$7^2))</f>
        <v>0.67915838149014818</v>
      </c>
      <c r="J23" s="172"/>
      <c r="K23" s="166">
        <v>10</v>
      </c>
      <c r="L23" s="193">
        <v>0.67920000000000003</v>
      </c>
      <c r="M23" s="170">
        <f t="shared" si="1"/>
        <v>24.622236171144966</v>
      </c>
      <c r="N23" s="170">
        <f t="shared" si="7"/>
        <v>246.22236171144965</v>
      </c>
      <c r="O23" s="172">
        <f t="shared" si="8"/>
        <v>14.8</v>
      </c>
      <c r="P23" s="170">
        <f t="shared" si="9"/>
        <v>261.02236171144966</v>
      </c>
      <c r="Q23" s="197">
        <f t="shared" si="10"/>
        <v>9.2574236938389731E-3</v>
      </c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</row>
    <row r="24" spans="2:44" x14ac:dyDescent="0.25">
      <c r="B24" s="166">
        <v>20</v>
      </c>
      <c r="C24" s="170">
        <v>0.7</v>
      </c>
      <c r="D24" s="170">
        <f t="shared" si="0"/>
        <v>25.376274027976255</v>
      </c>
      <c r="E24" s="170">
        <f t="shared" si="2"/>
        <v>507.52548055952508</v>
      </c>
      <c r="F24" s="172">
        <f t="shared" si="3"/>
        <v>14.8</v>
      </c>
      <c r="G24" s="170">
        <f t="shared" si="4"/>
        <v>492.72548055952507</v>
      </c>
      <c r="H24" s="170">
        <f t="shared" si="5"/>
        <v>24.636274027976253</v>
      </c>
      <c r="I24" s="187">
        <f t="shared" ref="I24" si="15">SQRT(12*32.2*H24^2/(4*$B$9*($B$8*56)*$B$7^2))</f>
        <v>0.67957113993547125</v>
      </c>
      <c r="J24" s="172"/>
      <c r="K24" s="166">
        <v>20</v>
      </c>
      <c r="L24" s="193">
        <v>0.67959999999999998</v>
      </c>
      <c r="M24" s="170">
        <f t="shared" si="1"/>
        <v>24.636736899160951</v>
      </c>
      <c r="N24" s="170">
        <f t="shared" si="7"/>
        <v>492.73473798321902</v>
      </c>
      <c r="O24" s="172">
        <f t="shared" si="8"/>
        <v>14.8</v>
      </c>
      <c r="P24" s="170">
        <f t="shared" si="9"/>
        <v>507.53473798321903</v>
      </c>
      <c r="Q24" s="197">
        <f t="shared" si="10"/>
        <v>9.25742369395266E-3</v>
      </c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</row>
    <row r="25" spans="2:44" x14ac:dyDescent="0.25">
      <c r="B25" s="166">
        <v>30</v>
      </c>
      <c r="C25" s="170">
        <v>0.7</v>
      </c>
      <c r="D25" s="170">
        <f t="shared" si="0"/>
        <v>25.376274027976255</v>
      </c>
      <c r="E25" s="170">
        <f t="shared" si="2"/>
        <v>761.28822083928765</v>
      </c>
      <c r="F25" s="172">
        <f t="shared" si="3"/>
        <v>14.8</v>
      </c>
      <c r="G25" s="170">
        <f t="shared" si="4"/>
        <v>746.48822083928769</v>
      </c>
      <c r="H25" s="170">
        <f t="shared" si="5"/>
        <v>24.882940694642922</v>
      </c>
      <c r="I25" s="187">
        <f t="shared" ref="I25" si="16">SQRT(12*32.2*H25^2/(4*$B$9*($B$8*56)*$B$7^2))</f>
        <v>0.68637523489156727</v>
      </c>
      <c r="J25" s="172"/>
      <c r="K25" s="166">
        <v>30</v>
      </c>
      <c r="L25" s="193">
        <v>0.68640000000000001</v>
      </c>
      <c r="M25" s="170">
        <f t="shared" si="1"/>
        <v>24.883249275432721</v>
      </c>
      <c r="N25" s="170">
        <f t="shared" si="7"/>
        <v>746.49747826298164</v>
      </c>
      <c r="O25" s="172">
        <f t="shared" si="8"/>
        <v>14.8</v>
      </c>
      <c r="P25" s="170">
        <f t="shared" si="9"/>
        <v>761.2974782629816</v>
      </c>
      <c r="Q25" s="197">
        <f t="shared" si="10"/>
        <v>9.25742369395266E-3</v>
      </c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</row>
    <row r="26" spans="2:44" x14ac:dyDescent="0.25">
      <c r="B26" s="166">
        <v>40</v>
      </c>
      <c r="C26" s="171">
        <v>0.7</v>
      </c>
      <c r="D26" s="171">
        <f t="shared" si="0"/>
        <v>25.376274027976255</v>
      </c>
      <c r="E26" s="171">
        <f t="shared" si="2"/>
        <v>1015.0509611190502</v>
      </c>
      <c r="F26" s="172">
        <f t="shared" si="3"/>
        <v>14.8</v>
      </c>
      <c r="G26" s="171">
        <f t="shared" si="4"/>
        <v>1000.2509611190502</v>
      </c>
      <c r="H26" s="171">
        <f t="shared" si="5"/>
        <v>25.006274027976254</v>
      </c>
      <c r="I26" s="186">
        <f t="shared" ref="I26" si="17">SQRT(12*32.2*H26^2/(4*$B$9*($B$8*56)*$B$7^2))</f>
        <v>0.68977728236961511</v>
      </c>
      <c r="J26" s="172"/>
      <c r="K26" s="166">
        <v>40</v>
      </c>
      <c r="L26" s="192">
        <v>0.68979999999999997</v>
      </c>
      <c r="M26" s="171">
        <f t="shared" si="1"/>
        <v>25.006505463568605</v>
      </c>
      <c r="N26" s="171">
        <f t="shared" si="7"/>
        <v>1000.2602185427442</v>
      </c>
      <c r="O26" s="172">
        <f t="shared" si="8"/>
        <v>14.8</v>
      </c>
      <c r="P26" s="171">
        <f t="shared" si="9"/>
        <v>1015.0602185427441</v>
      </c>
      <c r="Q26" s="197">
        <f t="shared" si="10"/>
        <v>9.25742369395266E-3</v>
      </c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</row>
    <row r="27" spans="2:44" x14ac:dyDescent="0.25">
      <c r="B27" s="166">
        <v>50</v>
      </c>
      <c r="C27" s="170">
        <v>0.7</v>
      </c>
      <c r="D27" s="170">
        <f t="shared" si="0"/>
        <v>25.376274027976255</v>
      </c>
      <c r="E27" s="170">
        <f t="shared" si="2"/>
        <v>1268.8137013988128</v>
      </c>
      <c r="F27" s="172">
        <f t="shared" si="3"/>
        <v>14.8</v>
      </c>
      <c r="G27" s="170">
        <f t="shared" si="4"/>
        <v>1254.0137013988128</v>
      </c>
      <c r="H27" s="170">
        <f t="shared" si="5"/>
        <v>25.080274027976255</v>
      </c>
      <c r="I27" s="187">
        <f t="shared" ref="I27" si="18">SQRT(12*32.2*H27^2/(4*$B$9*($B$8*56)*$B$7^2))</f>
        <v>0.69181851085644397</v>
      </c>
      <c r="J27" s="172"/>
      <c r="K27" s="166">
        <v>50</v>
      </c>
      <c r="L27" s="193">
        <v>0.69179999999999997</v>
      </c>
      <c r="M27" s="170">
        <f t="shared" si="1"/>
        <v>25.079009103648541</v>
      </c>
      <c r="N27" s="170">
        <f t="shared" si="7"/>
        <v>1253.950455182427</v>
      </c>
      <c r="O27" s="172">
        <f t="shared" si="8"/>
        <v>14.8</v>
      </c>
      <c r="P27" s="170">
        <f t="shared" si="9"/>
        <v>1268.750455182427</v>
      </c>
      <c r="Q27" s="197">
        <f t="shared" si="10"/>
        <v>-6.3246216385778098E-2</v>
      </c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</row>
    <row r="28" spans="2:44" x14ac:dyDescent="0.25"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</row>
    <row r="29" spans="2:44" x14ac:dyDescent="0.25"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</row>
    <row r="30" spans="2:44" x14ac:dyDescent="0.25">
      <c r="B30" s="179"/>
      <c r="C30" s="198" t="s">
        <v>102</v>
      </c>
      <c r="D30" s="179"/>
      <c r="E30" s="179" t="s">
        <v>88</v>
      </c>
      <c r="F30" s="180"/>
      <c r="G30" s="180" t="s">
        <v>89</v>
      </c>
      <c r="H30" s="180"/>
      <c r="I30" s="180"/>
      <c r="J30" s="195"/>
      <c r="K30" s="179"/>
      <c r="L30" s="199" t="s">
        <v>103</v>
      </c>
      <c r="M30" s="179"/>
      <c r="N30" s="179" t="s">
        <v>89</v>
      </c>
      <c r="O30" s="179"/>
      <c r="P30" s="179" t="s">
        <v>98</v>
      </c>
      <c r="Q30" s="196" t="s">
        <v>100</v>
      </c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</row>
    <row r="31" spans="2:44" x14ac:dyDescent="0.25">
      <c r="B31" s="181" t="s">
        <v>9</v>
      </c>
      <c r="C31" s="179" t="s">
        <v>85</v>
      </c>
      <c r="D31" s="182" t="s">
        <v>94</v>
      </c>
      <c r="E31" s="179" t="s">
        <v>89</v>
      </c>
      <c r="F31" s="180" t="s">
        <v>92</v>
      </c>
      <c r="G31" s="180" t="s">
        <v>93</v>
      </c>
      <c r="H31" s="183" t="s">
        <v>95</v>
      </c>
      <c r="I31" s="184" t="s">
        <v>95</v>
      </c>
      <c r="J31" s="195"/>
      <c r="K31" s="181" t="s">
        <v>9</v>
      </c>
      <c r="L31" s="179" t="s">
        <v>85</v>
      </c>
      <c r="M31" s="182" t="s">
        <v>94</v>
      </c>
      <c r="N31" s="182" t="s">
        <v>93</v>
      </c>
      <c r="O31" s="182" t="s">
        <v>97</v>
      </c>
      <c r="P31" s="182" t="s">
        <v>89</v>
      </c>
      <c r="Q31" s="196" t="s">
        <v>101</v>
      </c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</row>
    <row r="32" spans="2:44" x14ac:dyDescent="0.25">
      <c r="B32" s="166">
        <v>1</v>
      </c>
      <c r="C32" s="167">
        <v>0.93</v>
      </c>
      <c r="D32" s="176">
        <f t="shared" ref="D32:D41" si="19">(C32*$B$7)*SQRT(4*$B$9*$B$10/32.2)/12</f>
        <v>33.714192637168466</v>
      </c>
      <c r="E32" s="176">
        <f>B32*D32</f>
        <v>33.714192637168466</v>
      </c>
      <c r="F32" s="172">
        <f>$F$18</f>
        <v>14.8</v>
      </c>
      <c r="G32" s="176">
        <f>E32-F32</f>
        <v>18.914192637168465</v>
      </c>
      <c r="H32" s="176">
        <f>G32/B32</f>
        <v>18.914192637168465</v>
      </c>
      <c r="I32" s="185">
        <f>SQRT(12*32.2*H32^2/(4*$B$9*($B$8*56)*$B$7^2))</f>
        <v>0.5217322813020977</v>
      </c>
      <c r="K32" s="166">
        <v>1</v>
      </c>
      <c r="L32" s="191">
        <v>0.52170000000000005</v>
      </c>
      <c r="M32" s="176">
        <f t="shared" ref="M32:M41" si="20">(L32*$B$7)*SQRT(4*$B$9*$B$10/32.2)/12</f>
        <v>18.912574514850309</v>
      </c>
      <c r="N32" s="176">
        <f>K32*M32</f>
        <v>18.912574514850309</v>
      </c>
      <c r="O32" s="172">
        <f>$F$18</f>
        <v>14.8</v>
      </c>
      <c r="P32" s="176">
        <f>N32+O32</f>
        <v>33.71257451485031</v>
      </c>
      <c r="Q32" s="197">
        <f>P32-E32</f>
        <v>-1.6181223181561677E-3</v>
      </c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</row>
    <row r="33" spans="2:44" x14ac:dyDescent="0.25">
      <c r="B33" s="166">
        <v>2</v>
      </c>
      <c r="C33" s="188">
        <v>0.80689999999999995</v>
      </c>
      <c r="D33" s="171">
        <f t="shared" si="19"/>
        <v>29.251593590248635</v>
      </c>
      <c r="E33" s="171">
        <f t="shared" ref="E33:E41" si="21">B33*D33</f>
        <v>58.503187180497271</v>
      </c>
      <c r="F33" s="172">
        <f t="shared" ref="F33:F41" si="22">$F$18</f>
        <v>14.8</v>
      </c>
      <c r="G33" s="171">
        <f t="shared" ref="G33:G41" si="23">E33-F33</f>
        <v>43.703187180497267</v>
      </c>
      <c r="H33" s="171">
        <f t="shared" ref="H33:H41" si="24">G33/B33</f>
        <v>21.851593590248633</v>
      </c>
      <c r="I33" s="186">
        <f t="shared" ref="I33:I41" si="25">SQRT(12*32.2*H33^2/(4*$B$9*($B$8*56)*$B$7^2))</f>
        <v>0.60275804485162765</v>
      </c>
      <c r="J33" s="172"/>
      <c r="K33" s="166">
        <v>2</v>
      </c>
      <c r="L33" s="192">
        <v>0.6028</v>
      </c>
      <c r="M33" s="171">
        <f t="shared" si="20"/>
        <v>21.852597120091556</v>
      </c>
      <c r="N33" s="171">
        <f t="shared" ref="N33:N41" si="26">K33*M33</f>
        <v>43.705194240183111</v>
      </c>
      <c r="O33" s="172">
        <f t="shared" ref="O33:O41" si="27">$F$18</f>
        <v>14.8</v>
      </c>
      <c r="P33" s="171">
        <f t="shared" ref="P33:P41" si="28">N33+O33</f>
        <v>58.505194240183116</v>
      </c>
      <c r="Q33" s="197">
        <f t="shared" ref="Q33:Q41" si="29">P33-E33</f>
        <v>2.0070596858445811E-3</v>
      </c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</row>
    <row r="34" spans="2:44" x14ac:dyDescent="0.25">
      <c r="B34" s="166">
        <v>3</v>
      </c>
      <c r="C34" s="189">
        <v>0.75600000000000001</v>
      </c>
      <c r="D34" s="170">
        <f t="shared" si="19"/>
        <v>27.406375950214358</v>
      </c>
      <c r="E34" s="170">
        <f t="shared" si="21"/>
        <v>82.219127850643076</v>
      </c>
      <c r="F34" s="172">
        <f t="shared" si="22"/>
        <v>14.8</v>
      </c>
      <c r="G34" s="170">
        <f t="shared" si="23"/>
        <v>67.419127850643079</v>
      </c>
      <c r="H34" s="170">
        <f t="shared" si="24"/>
        <v>22.473042616881028</v>
      </c>
      <c r="I34" s="187">
        <f t="shared" si="25"/>
        <v>0.61990019966614196</v>
      </c>
      <c r="J34" s="172"/>
      <c r="K34" s="166">
        <v>3</v>
      </c>
      <c r="L34" s="193">
        <v>0.61990000000000001</v>
      </c>
      <c r="M34" s="170">
        <f t="shared" si="20"/>
        <v>22.472503242774977</v>
      </c>
      <c r="N34" s="170">
        <f t="shared" si="26"/>
        <v>67.41750972832493</v>
      </c>
      <c r="O34" s="172">
        <f t="shared" si="27"/>
        <v>14.8</v>
      </c>
      <c r="P34" s="170">
        <f t="shared" si="28"/>
        <v>82.217509728324927</v>
      </c>
      <c r="Q34" s="197">
        <f t="shared" si="29"/>
        <v>-1.6181223181490623E-3</v>
      </c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</row>
    <row r="35" spans="2:44" x14ac:dyDescent="0.25">
      <c r="B35" s="166">
        <v>4</v>
      </c>
      <c r="C35" s="189">
        <v>0.73680000000000001</v>
      </c>
      <c r="D35" s="170">
        <f t="shared" si="19"/>
        <v>26.71034100544701</v>
      </c>
      <c r="E35" s="170">
        <f t="shared" si="21"/>
        <v>106.84136402178804</v>
      </c>
      <c r="F35" s="172">
        <f t="shared" si="22"/>
        <v>14.8</v>
      </c>
      <c r="G35" s="170">
        <f t="shared" si="23"/>
        <v>92.041364021788041</v>
      </c>
      <c r="H35" s="170">
        <f t="shared" si="24"/>
        <v>23.01034100544701</v>
      </c>
      <c r="I35" s="187">
        <f t="shared" si="25"/>
        <v>0.63472112908057543</v>
      </c>
      <c r="J35" s="172"/>
      <c r="K35" s="166">
        <v>4</v>
      </c>
      <c r="L35" s="193">
        <v>0.63470000000000004</v>
      </c>
      <c r="M35" s="170">
        <f t="shared" si="20"/>
        <v>23.009030179366476</v>
      </c>
      <c r="N35" s="170">
        <f t="shared" si="26"/>
        <v>92.036120717465906</v>
      </c>
      <c r="O35" s="172">
        <f t="shared" si="27"/>
        <v>14.8</v>
      </c>
      <c r="P35" s="170">
        <f t="shared" si="28"/>
        <v>106.8361207174659</v>
      </c>
      <c r="Q35" s="197">
        <f t="shared" si="29"/>
        <v>-5.2433043221356002E-3</v>
      </c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</row>
    <row r="36" spans="2:44" x14ac:dyDescent="0.25">
      <c r="B36" s="166">
        <v>5</v>
      </c>
      <c r="C36" s="188">
        <v>0.72850000000000004</v>
      </c>
      <c r="D36" s="171">
        <f t="shared" si="19"/>
        <v>26.409450899115296</v>
      </c>
      <c r="E36" s="171">
        <f t="shared" si="21"/>
        <v>132.04725449557648</v>
      </c>
      <c r="F36" s="172">
        <f t="shared" si="22"/>
        <v>14.8</v>
      </c>
      <c r="G36" s="171">
        <f t="shared" si="23"/>
        <v>117.24725449557648</v>
      </c>
      <c r="H36" s="171">
        <f t="shared" si="24"/>
        <v>23.449450899115298</v>
      </c>
      <c r="I36" s="186">
        <f t="shared" si="25"/>
        <v>0.64683361048333299</v>
      </c>
      <c r="J36" s="172"/>
      <c r="K36" s="166">
        <v>5</v>
      </c>
      <c r="L36" s="192">
        <v>0.64680000000000004</v>
      </c>
      <c r="M36" s="171">
        <f t="shared" si="20"/>
        <v>23.447677201850066</v>
      </c>
      <c r="N36" s="171">
        <f t="shared" si="26"/>
        <v>117.23838600925033</v>
      </c>
      <c r="O36" s="172">
        <f t="shared" si="27"/>
        <v>14.8</v>
      </c>
      <c r="P36" s="171">
        <f t="shared" si="28"/>
        <v>132.03838600925033</v>
      </c>
      <c r="Q36" s="197">
        <f t="shared" si="29"/>
        <v>-8.8684863261505598E-3</v>
      </c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</row>
    <row r="37" spans="2:44" x14ac:dyDescent="0.25">
      <c r="B37" s="166">
        <v>10</v>
      </c>
      <c r="C37" s="170">
        <v>0.71</v>
      </c>
      <c r="D37" s="170">
        <f t="shared" si="19"/>
        <v>25.738792228375917</v>
      </c>
      <c r="E37" s="170">
        <f t="shared" si="21"/>
        <v>257.38792228375917</v>
      </c>
      <c r="F37" s="172">
        <f t="shared" si="22"/>
        <v>14.8</v>
      </c>
      <c r="G37" s="170">
        <f t="shared" si="23"/>
        <v>242.58792228375916</v>
      </c>
      <c r="H37" s="170">
        <f t="shared" si="24"/>
        <v>24.258792228375917</v>
      </c>
      <c r="I37" s="187">
        <f t="shared" si="25"/>
        <v>0.66915861827866596</v>
      </c>
      <c r="J37" s="172"/>
      <c r="K37" s="166">
        <v>10</v>
      </c>
      <c r="L37" s="193">
        <v>0.66920000000000002</v>
      </c>
      <c r="M37" s="170">
        <f t="shared" si="20"/>
        <v>24.25971797074531</v>
      </c>
      <c r="N37" s="170">
        <f t="shared" si="26"/>
        <v>242.59717970745311</v>
      </c>
      <c r="O37" s="172">
        <f t="shared" si="27"/>
        <v>14.8</v>
      </c>
      <c r="P37" s="170">
        <f t="shared" si="28"/>
        <v>257.39717970745312</v>
      </c>
      <c r="Q37" s="197">
        <f t="shared" si="29"/>
        <v>9.25742369395266E-3</v>
      </c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</row>
    <row r="38" spans="2:44" x14ac:dyDescent="0.25">
      <c r="B38" s="166">
        <v>20</v>
      </c>
      <c r="C38" s="170">
        <v>0.7</v>
      </c>
      <c r="D38" s="170">
        <f t="shared" si="19"/>
        <v>25.376274027976255</v>
      </c>
      <c r="E38" s="170">
        <f t="shared" si="21"/>
        <v>507.52548055952508</v>
      </c>
      <c r="F38" s="172">
        <f t="shared" si="22"/>
        <v>14.8</v>
      </c>
      <c r="G38" s="170">
        <f t="shared" si="23"/>
        <v>492.72548055952507</v>
      </c>
      <c r="H38" s="170">
        <f t="shared" si="24"/>
        <v>24.636274027976253</v>
      </c>
      <c r="I38" s="187">
        <f t="shared" si="25"/>
        <v>0.67957113993547125</v>
      </c>
      <c r="J38" s="172"/>
      <c r="K38" s="166">
        <v>20</v>
      </c>
      <c r="L38" s="193">
        <v>0.67959999999999998</v>
      </c>
      <c r="M38" s="170">
        <f t="shared" si="20"/>
        <v>24.636736899160951</v>
      </c>
      <c r="N38" s="170">
        <f t="shared" si="26"/>
        <v>492.73473798321902</v>
      </c>
      <c r="O38" s="172">
        <f t="shared" si="27"/>
        <v>14.8</v>
      </c>
      <c r="P38" s="170">
        <f t="shared" si="28"/>
        <v>507.53473798321903</v>
      </c>
      <c r="Q38" s="197">
        <f t="shared" si="29"/>
        <v>9.25742369395266E-3</v>
      </c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</row>
    <row r="39" spans="2:44" x14ac:dyDescent="0.25">
      <c r="B39" s="166">
        <v>30</v>
      </c>
      <c r="C39" s="170">
        <v>0.7</v>
      </c>
      <c r="D39" s="170">
        <f t="shared" si="19"/>
        <v>25.376274027976255</v>
      </c>
      <c r="E39" s="170">
        <f t="shared" si="21"/>
        <v>761.28822083928765</v>
      </c>
      <c r="F39" s="172">
        <f t="shared" si="22"/>
        <v>14.8</v>
      </c>
      <c r="G39" s="170">
        <f t="shared" si="23"/>
        <v>746.48822083928769</v>
      </c>
      <c r="H39" s="170">
        <f t="shared" si="24"/>
        <v>24.882940694642922</v>
      </c>
      <c r="I39" s="187">
        <f t="shared" si="25"/>
        <v>0.68637523489156727</v>
      </c>
      <c r="J39" s="172"/>
      <c r="K39" s="166">
        <v>30</v>
      </c>
      <c r="L39" s="193">
        <v>0.68640000000000001</v>
      </c>
      <c r="M39" s="170">
        <f t="shared" si="20"/>
        <v>24.883249275432721</v>
      </c>
      <c r="N39" s="170">
        <f t="shared" si="26"/>
        <v>746.49747826298164</v>
      </c>
      <c r="O39" s="172">
        <f t="shared" si="27"/>
        <v>14.8</v>
      </c>
      <c r="P39" s="170">
        <f t="shared" si="28"/>
        <v>761.2974782629816</v>
      </c>
      <c r="Q39" s="197">
        <f t="shared" si="29"/>
        <v>9.25742369395266E-3</v>
      </c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</row>
    <row r="40" spans="2:44" x14ac:dyDescent="0.25">
      <c r="B40" s="166">
        <v>40</v>
      </c>
      <c r="C40" s="171">
        <v>0.7</v>
      </c>
      <c r="D40" s="171">
        <f t="shared" si="19"/>
        <v>25.376274027976255</v>
      </c>
      <c r="E40" s="171">
        <f t="shared" si="21"/>
        <v>1015.0509611190502</v>
      </c>
      <c r="F40" s="172">
        <f t="shared" si="22"/>
        <v>14.8</v>
      </c>
      <c r="G40" s="171">
        <f t="shared" si="23"/>
        <v>1000.2509611190502</v>
      </c>
      <c r="H40" s="171">
        <f t="shared" si="24"/>
        <v>25.006274027976254</v>
      </c>
      <c r="I40" s="186">
        <f t="shared" si="25"/>
        <v>0.68977728236961511</v>
      </c>
      <c r="J40" s="172"/>
      <c r="K40" s="166">
        <v>40</v>
      </c>
      <c r="L40" s="192">
        <v>0.68979999999999997</v>
      </c>
      <c r="M40" s="171">
        <f t="shared" si="20"/>
        <v>25.006505463568605</v>
      </c>
      <c r="N40" s="171">
        <f t="shared" si="26"/>
        <v>1000.2602185427442</v>
      </c>
      <c r="O40" s="172">
        <f t="shared" si="27"/>
        <v>14.8</v>
      </c>
      <c r="P40" s="171">
        <f t="shared" si="28"/>
        <v>1015.0602185427441</v>
      </c>
      <c r="Q40" s="197">
        <f t="shared" si="29"/>
        <v>9.25742369395266E-3</v>
      </c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</row>
    <row r="41" spans="2:44" x14ac:dyDescent="0.25">
      <c r="B41" s="166">
        <v>50</v>
      </c>
      <c r="C41" s="170">
        <v>0.7</v>
      </c>
      <c r="D41" s="170">
        <f t="shared" si="19"/>
        <v>25.376274027976255</v>
      </c>
      <c r="E41" s="170">
        <f t="shared" si="21"/>
        <v>1268.8137013988128</v>
      </c>
      <c r="F41" s="172">
        <f t="shared" si="22"/>
        <v>14.8</v>
      </c>
      <c r="G41" s="170">
        <f t="shared" si="23"/>
        <v>1254.0137013988128</v>
      </c>
      <c r="H41" s="170">
        <f t="shared" si="24"/>
        <v>25.080274027976255</v>
      </c>
      <c r="I41" s="187">
        <f t="shared" si="25"/>
        <v>0.69181851085644397</v>
      </c>
      <c r="J41" s="172"/>
      <c r="K41" s="166">
        <v>50</v>
      </c>
      <c r="L41" s="193">
        <v>0.69179999999999997</v>
      </c>
      <c r="M41" s="170">
        <f t="shared" si="20"/>
        <v>25.079009103648541</v>
      </c>
      <c r="N41" s="170">
        <f t="shared" si="26"/>
        <v>1253.950455182427</v>
      </c>
      <c r="O41" s="172">
        <f t="shared" si="27"/>
        <v>14.8</v>
      </c>
      <c r="P41" s="170">
        <f t="shared" si="28"/>
        <v>1268.750455182427</v>
      </c>
      <c r="Q41" s="197">
        <f t="shared" si="29"/>
        <v>-6.3246216385778098E-2</v>
      </c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</row>
    <row r="42" spans="2:44" x14ac:dyDescent="0.25">
      <c r="J42" s="190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</row>
    <row r="43" spans="2:44" x14ac:dyDescent="0.25"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</row>
    <row r="44" spans="2:44" x14ac:dyDescent="0.25">
      <c r="B44" s="179"/>
      <c r="C44" s="198" t="s">
        <v>104</v>
      </c>
      <c r="D44" s="179"/>
      <c r="E44" s="179" t="s">
        <v>88</v>
      </c>
      <c r="F44" s="180"/>
      <c r="G44" s="180" t="s">
        <v>89</v>
      </c>
      <c r="H44" s="180"/>
      <c r="I44" s="180"/>
      <c r="J44" s="195"/>
      <c r="K44" s="179"/>
      <c r="L44" s="199" t="s">
        <v>103</v>
      </c>
      <c r="M44" s="179"/>
      <c r="N44" s="179" t="s">
        <v>89</v>
      </c>
      <c r="O44" s="179"/>
      <c r="P44" s="179" t="s">
        <v>98</v>
      </c>
      <c r="Q44" s="196" t="s">
        <v>100</v>
      </c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</row>
    <row r="45" spans="2:44" x14ac:dyDescent="0.25">
      <c r="B45" s="181" t="s">
        <v>9</v>
      </c>
      <c r="C45" s="179" t="s">
        <v>85</v>
      </c>
      <c r="D45" s="182" t="s">
        <v>94</v>
      </c>
      <c r="E45" s="179" t="s">
        <v>89</v>
      </c>
      <c r="F45" s="180" t="s">
        <v>92</v>
      </c>
      <c r="G45" s="180" t="s">
        <v>93</v>
      </c>
      <c r="H45" s="183" t="s">
        <v>95</v>
      </c>
      <c r="I45" s="184" t="s">
        <v>95</v>
      </c>
      <c r="J45" s="195"/>
      <c r="K45" s="181" t="s">
        <v>9</v>
      </c>
      <c r="L45" s="179" t="s">
        <v>85</v>
      </c>
      <c r="M45" s="182" t="s">
        <v>94</v>
      </c>
      <c r="N45" s="182" t="s">
        <v>93</v>
      </c>
      <c r="O45" s="182" t="s">
        <v>97</v>
      </c>
      <c r="P45" s="182" t="s">
        <v>89</v>
      </c>
      <c r="Q45" s="196" t="s">
        <v>101</v>
      </c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</row>
    <row r="46" spans="2:44" x14ac:dyDescent="0.25">
      <c r="B46" s="166">
        <v>1</v>
      </c>
      <c r="C46" s="167">
        <v>0.86</v>
      </c>
      <c r="D46" s="176">
        <f t="shared" ref="D46:D55" si="30">(C46*$B$7)*SQRT(4*$B$9*$B$10/32.2)/12</f>
        <v>31.17656523437083</v>
      </c>
      <c r="E46" s="176">
        <f>B46*D46</f>
        <v>31.17656523437083</v>
      </c>
      <c r="F46" s="172">
        <f>$F$18</f>
        <v>14.8</v>
      </c>
      <c r="G46" s="176">
        <f>E46-F46</f>
        <v>16.37656523437083</v>
      </c>
      <c r="H46" s="176">
        <f>G46/B46</f>
        <v>16.37656523437083</v>
      </c>
      <c r="I46" s="185">
        <f>SQRT(12*32.2*H46^2/(4*$B$9*($B$8*56)*$B$7^2))</f>
        <v>0.45173393882172153</v>
      </c>
      <c r="K46" s="166">
        <v>1</v>
      </c>
      <c r="L46" s="191">
        <v>0.45169999999999999</v>
      </c>
      <c r="M46" s="176">
        <f t="shared" ref="M46:M55" si="31">(L46*$B$7)*SQRT(4*$B$9*$B$10/32.2)/12</f>
        <v>16.374947112052684</v>
      </c>
      <c r="N46" s="176">
        <f>K46*M46</f>
        <v>16.374947112052684</v>
      </c>
      <c r="O46" s="172">
        <f>$F$18</f>
        <v>14.8</v>
      </c>
      <c r="P46" s="176">
        <f>N46+O46</f>
        <v>31.174947112052685</v>
      </c>
      <c r="Q46" s="197">
        <f>P46-E46</f>
        <v>-1.6181223181455096E-3</v>
      </c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</row>
    <row r="47" spans="2:44" x14ac:dyDescent="0.25">
      <c r="B47" s="166">
        <v>2</v>
      </c>
      <c r="C47" s="188">
        <v>0.78369999999999995</v>
      </c>
      <c r="D47" s="171">
        <f t="shared" si="30"/>
        <v>28.410551365321421</v>
      </c>
      <c r="E47" s="171">
        <f t="shared" ref="E47:E55" si="32">B47*D47</f>
        <v>56.821102730642842</v>
      </c>
      <c r="F47" s="172">
        <f t="shared" ref="F47:F55" si="33">$F$18</f>
        <v>14.8</v>
      </c>
      <c r="G47" s="171">
        <f t="shared" ref="G47:G55" si="34">E47-F47</f>
        <v>42.021102730642838</v>
      </c>
      <c r="H47" s="171">
        <f t="shared" ref="H47:H55" si="35">G47/B47</f>
        <v>21.010551365321419</v>
      </c>
      <c r="I47" s="186">
        <f t="shared" ref="I47:I55" si="36">SQRT(12*32.2*H47^2/(4*$B$9*($B$8*56)*$B$7^2))</f>
        <v>0.57955859420098887</v>
      </c>
      <c r="J47" s="172"/>
      <c r="K47" s="166">
        <v>2</v>
      </c>
      <c r="L47" s="192">
        <v>0.5796</v>
      </c>
      <c r="M47" s="171">
        <f t="shared" si="31"/>
        <v>21.011554895164345</v>
      </c>
      <c r="N47" s="171">
        <f t="shared" ref="N47:N55" si="37">K47*M47</f>
        <v>42.023109790328689</v>
      </c>
      <c r="O47" s="172">
        <f t="shared" ref="O47:O55" si="38">$F$18</f>
        <v>14.8</v>
      </c>
      <c r="P47" s="171">
        <f t="shared" ref="P47:P55" si="39">N47+O47</f>
        <v>56.823109790328687</v>
      </c>
      <c r="Q47" s="197">
        <f t="shared" ref="Q47:Q55" si="40">P47-E47</f>
        <v>2.0070596858445811E-3</v>
      </c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</row>
    <row r="48" spans="2:44" x14ac:dyDescent="0.25">
      <c r="B48" s="166">
        <v>3</v>
      </c>
      <c r="C48" s="189">
        <v>0.7419</v>
      </c>
      <c r="D48" s="170">
        <f t="shared" si="30"/>
        <v>26.895225287650842</v>
      </c>
      <c r="E48" s="170">
        <f t="shared" si="32"/>
        <v>80.685675862952522</v>
      </c>
      <c r="F48" s="172">
        <f t="shared" si="33"/>
        <v>14.8</v>
      </c>
      <c r="G48" s="170">
        <f t="shared" si="34"/>
        <v>65.885675862952525</v>
      </c>
      <c r="H48" s="170">
        <f t="shared" si="35"/>
        <v>21.961891954317508</v>
      </c>
      <c r="I48" s="187">
        <f t="shared" si="36"/>
        <v>0.60580053353795205</v>
      </c>
      <c r="J48" s="172"/>
      <c r="K48" s="166">
        <v>3</v>
      </c>
      <c r="L48" s="193">
        <v>0.60580000000000001</v>
      </c>
      <c r="M48" s="170">
        <f t="shared" si="31"/>
        <v>21.961352580211454</v>
      </c>
      <c r="N48" s="170">
        <f t="shared" si="37"/>
        <v>65.884057740634361</v>
      </c>
      <c r="O48" s="172">
        <f t="shared" si="38"/>
        <v>14.8</v>
      </c>
      <c r="P48" s="170">
        <f t="shared" si="39"/>
        <v>80.684057740634358</v>
      </c>
      <c r="Q48" s="197">
        <f t="shared" si="40"/>
        <v>-1.6181223181632731E-3</v>
      </c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</row>
    <row r="49" spans="2:44" x14ac:dyDescent="0.25">
      <c r="B49" s="166">
        <v>4</v>
      </c>
      <c r="C49" s="189">
        <v>0.73150000000000004</v>
      </c>
      <c r="D49" s="170">
        <f t="shared" si="30"/>
        <v>26.518206359235194</v>
      </c>
      <c r="E49" s="170">
        <f t="shared" si="32"/>
        <v>106.07282543694078</v>
      </c>
      <c r="F49" s="172">
        <f t="shared" si="33"/>
        <v>14.8</v>
      </c>
      <c r="G49" s="170">
        <f t="shared" si="34"/>
        <v>91.272825436940778</v>
      </c>
      <c r="H49" s="170">
        <f t="shared" si="35"/>
        <v>22.818206359235194</v>
      </c>
      <c r="I49" s="187">
        <f t="shared" si="36"/>
        <v>0.62942125457848996</v>
      </c>
      <c r="J49" s="172"/>
      <c r="K49" s="166">
        <v>4</v>
      </c>
      <c r="L49" s="193">
        <v>0.62939999999999996</v>
      </c>
      <c r="M49" s="170">
        <f t="shared" si="31"/>
        <v>22.816895533154653</v>
      </c>
      <c r="N49" s="170">
        <f t="shared" si="37"/>
        <v>91.267582132618614</v>
      </c>
      <c r="O49" s="172">
        <f t="shared" si="38"/>
        <v>14.8</v>
      </c>
      <c r="P49" s="170">
        <f t="shared" si="39"/>
        <v>106.06758213261861</v>
      </c>
      <c r="Q49" s="197">
        <f t="shared" si="40"/>
        <v>-5.2433043221640219E-3</v>
      </c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</row>
    <row r="50" spans="2:44" x14ac:dyDescent="0.25">
      <c r="B50" s="166">
        <v>5</v>
      </c>
      <c r="C50" s="188">
        <v>0.72</v>
      </c>
      <c r="D50" s="171">
        <f t="shared" si="30"/>
        <v>26.10131042877558</v>
      </c>
      <c r="E50" s="171">
        <f t="shared" si="32"/>
        <v>130.50655214387791</v>
      </c>
      <c r="F50" s="172">
        <f t="shared" si="33"/>
        <v>14.8</v>
      </c>
      <c r="G50" s="171">
        <f t="shared" si="34"/>
        <v>115.70655214387791</v>
      </c>
      <c r="H50" s="171">
        <f t="shared" si="35"/>
        <v>23.141310428775583</v>
      </c>
      <c r="I50" s="186">
        <f t="shared" si="36"/>
        <v>0.63833381175357296</v>
      </c>
      <c r="J50" s="172"/>
      <c r="K50" s="166">
        <v>5</v>
      </c>
      <c r="L50" s="192">
        <v>0.63829999999999998</v>
      </c>
      <c r="M50" s="171">
        <f t="shared" si="31"/>
        <v>23.139536731510351</v>
      </c>
      <c r="N50" s="171">
        <f t="shared" si="37"/>
        <v>115.69768365755175</v>
      </c>
      <c r="O50" s="172">
        <f t="shared" si="38"/>
        <v>14.8</v>
      </c>
      <c r="P50" s="171">
        <f t="shared" si="39"/>
        <v>130.49768365755176</v>
      </c>
      <c r="Q50" s="197">
        <f t="shared" si="40"/>
        <v>-8.8684863261505598E-3</v>
      </c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</row>
    <row r="51" spans="2:44" x14ac:dyDescent="0.25">
      <c r="B51" s="166">
        <v>10</v>
      </c>
      <c r="C51" s="170">
        <v>0.7</v>
      </c>
      <c r="D51" s="170">
        <f t="shared" si="30"/>
        <v>25.376274027976255</v>
      </c>
      <c r="E51" s="170">
        <f t="shared" si="32"/>
        <v>253.76274027976254</v>
      </c>
      <c r="F51" s="172">
        <f t="shared" si="33"/>
        <v>14.8</v>
      </c>
      <c r="G51" s="170">
        <f t="shared" si="34"/>
        <v>238.96274027976253</v>
      </c>
      <c r="H51" s="170">
        <f t="shared" si="35"/>
        <v>23.896274027976254</v>
      </c>
      <c r="I51" s="187">
        <f t="shared" si="36"/>
        <v>0.65915885506718364</v>
      </c>
      <c r="J51" s="172"/>
      <c r="K51" s="166">
        <v>10</v>
      </c>
      <c r="L51" s="193">
        <v>0.65920000000000001</v>
      </c>
      <c r="M51" s="170">
        <f t="shared" si="31"/>
        <v>23.897199770345647</v>
      </c>
      <c r="N51" s="170">
        <f t="shared" si="37"/>
        <v>238.97199770345648</v>
      </c>
      <c r="O51" s="172">
        <f t="shared" si="38"/>
        <v>14.8</v>
      </c>
      <c r="P51" s="170">
        <f t="shared" si="39"/>
        <v>253.77199770345649</v>
      </c>
      <c r="Q51" s="197">
        <f t="shared" si="40"/>
        <v>9.25742369395266E-3</v>
      </c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</row>
    <row r="52" spans="2:44" x14ac:dyDescent="0.25">
      <c r="B52" s="166">
        <v>20</v>
      </c>
      <c r="C52" s="170">
        <v>0.7</v>
      </c>
      <c r="D52" s="170">
        <f t="shared" si="30"/>
        <v>25.376274027976255</v>
      </c>
      <c r="E52" s="170">
        <f t="shared" si="32"/>
        <v>507.52548055952508</v>
      </c>
      <c r="F52" s="172">
        <f t="shared" si="33"/>
        <v>14.8</v>
      </c>
      <c r="G52" s="170">
        <f t="shared" si="34"/>
        <v>492.72548055952507</v>
      </c>
      <c r="H52" s="170">
        <f t="shared" si="35"/>
        <v>24.636274027976253</v>
      </c>
      <c r="I52" s="187">
        <f t="shared" si="36"/>
        <v>0.67957113993547125</v>
      </c>
      <c r="J52" s="172"/>
      <c r="K52" s="166">
        <v>20</v>
      </c>
      <c r="L52" s="193">
        <v>0.67959999999999998</v>
      </c>
      <c r="M52" s="170">
        <f t="shared" si="31"/>
        <v>24.636736899160951</v>
      </c>
      <c r="N52" s="170">
        <f t="shared" si="37"/>
        <v>492.73473798321902</v>
      </c>
      <c r="O52" s="172">
        <f t="shared" si="38"/>
        <v>14.8</v>
      </c>
      <c r="P52" s="170">
        <f t="shared" si="39"/>
        <v>507.53473798321903</v>
      </c>
      <c r="Q52" s="197">
        <f t="shared" si="40"/>
        <v>9.25742369395266E-3</v>
      </c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</row>
    <row r="53" spans="2:44" x14ac:dyDescent="0.25">
      <c r="B53" s="166">
        <v>30</v>
      </c>
      <c r="C53" s="170">
        <v>0.7</v>
      </c>
      <c r="D53" s="170">
        <f t="shared" si="30"/>
        <v>25.376274027976255</v>
      </c>
      <c r="E53" s="170">
        <f t="shared" si="32"/>
        <v>761.28822083928765</v>
      </c>
      <c r="F53" s="172">
        <f t="shared" si="33"/>
        <v>14.8</v>
      </c>
      <c r="G53" s="170">
        <f t="shared" si="34"/>
        <v>746.48822083928769</v>
      </c>
      <c r="H53" s="170">
        <f t="shared" si="35"/>
        <v>24.882940694642922</v>
      </c>
      <c r="I53" s="187">
        <f t="shared" si="36"/>
        <v>0.68637523489156727</v>
      </c>
      <c r="J53" s="172"/>
      <c r="K53" s="166">
        <v>30</v>
      </c>
      <c r="L53" s="193">
        <v>0.68640000000000001</v>
      </c>
      <c r="M53" s="170">
        <f t="shared" si="31"/>
        <v>24.883249275432721</v>
      </c>
      <c r="N53" s="170">
        <f t="shared" si="37"/>
        <v>746.49747826298164</v>
      </c>
      <c r="O53" s="172">
        <f t="shared" si="38"/>
        <v>14.8</v>
      </c>
      <c r="P53" s="170">
        <f t="shared" si="39"/>
        <v>761.2974782629816</v>
      </c>
      <c r="Q53" s="197">
        <f t="shared" si="40"/>
        <v>9.25742369395266E-3</v>
      </c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</row>
    <row r="54" spans="2:44" x14ac:dyDescent="0.25">
      <c r="B54" s="166">
        <v>40</v>
      </c>
      <c r="C54" s="171">
        <v>0.7</v>
      </c>
      <c r="D54" s="171">
        <f t="shared" si="30"/>
        <v>25.376274027976255</v>
      </c>
      <c r="E54" s="171">
        <f t="shared" si="32"/>
        <v>1015.0509611190502</v>
      </c>
      <c r="F54" s="172">
        <f t="shared" si="33"/>
        <v>14.8</v>
      </c>
      <c r="G54" s="171">
        <f t="shared" si="34"/>
        <v>1000.2509611190502</v>
      </c>
      <c r="H54" s="171">
        <f t="shared" si="35"/>
        <v>25.006274027976254</v>
      </c>
      <c r="I54" s="186">
        <f t="shared" si="36"/>
        <v>0.68977728236961511</v>
      </c>
      <c r="J54" s="172"/>
      <c r="K54" s="166">
        <v>40</v>
      </c>
      <c r="L54" s="192">
        <v>0.68979999999999997</v>
      </c>
      <c r="M54" s="171">
        <f t="shared" si="31"/>
        <v>25.006505463568605</v>
      </c>
      <c r="N54" s="171">
        <f t="shared" si="37"/>
        <v>1000.2602185427442</v>
      </c>
      <c r="O54" s="172">
        <f t="shared" si="38"/>
        <v>14.8</v>
      </c>
      <c r="P54" s="171">
        <f t="shared" si="39"/>
        <v>1015.0602185427441</v>
      </c>
      <c r="Q54" s="197">
        <f t="shared" si="40"/>
        <v>9.25742369395266E-3</v>
      </c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</row>
    <row r="55" spans="2:44" x14ac:dyDescent="0.25">
      <c r="B55" s="166">
        <v>50</v>
      </c>
      <c r="C55" s="170">
        <v>0.7</v>
      </c>
      <c r="D55" s="170">
        <f t="shared" si="30"/>
        <v>25.376274027976255</v>
      </c>
      <c r="E55" s="170">
        <f t="shared" si="32"/>
        <v>1268.8137013988128</v>
      </c>
      <c r="F55" s="172">
        <f t="shared" si="33"/>
        <v>14.8</v>
      </c>
      <c r="G55" s="170">
        <f t="shared" si="34"/>
        <v>1254.0137013988128</v>
      </c>
      <c r="H55" s="170">
        <f t="shared" si="35"/>
        <v>25.080274027976255</v>
      </c>
      <c r="I55" s="187">
        <f t="shared" si="36"/>
        <v>0.69181851085644397</v>
      </c>
      <c r="J55" s="172"/>
      <c r="K55" s="166">
        <v>50</v>
      </c>
      <c r="L55" s="193">
        <v>0.69179999999999997</v>
      </c>
      <c r="M55" s="170">
        <f t="shared" si="31"/>
        <v>25.079009103648541</v>
      </c>
      <c r="N55" s="170">
        <f t="shared" si="37"/>
        <v>1253.950455182427</v>
      </c>
      <c r="O55" s="172">
        <f t="shared" si="38"/>
        <v>14.8</v>
      </c>
      <c r="P55" s="170">
        <f t="shared" si="39"/>
        <v>1268.750455182427</v>
      </c>
      <c r="Q55" s="197">
        <f t="shared" si="40"/>
        <v>-6.3246216385778098E-2</v>
      </c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</row>
    <row r="56" spans="2:44" x14ac:dyDescent="0.25"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</row>
    <row r="57" spans="2:44" x14ac:dyDescent="0.25"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</row>
    <row r="58" spans="2:44" x14ac:dyDescent="0.25">
      <c r="B58" s="179"/>
      <c r="C58" s="198" t="s">
        <v>105</v>
      </c>
      <c r="D58" s="179"/>
      <c r="E58" s="179" t="s">
        <v>88</v>
      </c>
      <c r="F58" s="180"/>
      <c r="G58" s="180" t="s">
        <v>89</v>
      </c>
      <c r="H58" s="180"/>
      <c r="I58" s="180"/>
      <c r="J58" s="195"/>
      <c r="K58" s="179"/>
      <c r="L58" s="199" t="s">
        <v>103</v>
      </c>
      <c r="M58" s="179"/>
      <c r="N58" s="179" t="s">
        <v>89</v>
      </c>
      <c r="O58" s="179"/>
      <c r="P58" s="179" t="s">
        <v>98</v>
      </c>
      <c r="Q58" s="196" t="s">
        <v>100</v>
      </c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</row>
    <row r="59" spans="2:44" x14ac:dyDescent="0.25">
      <c r="B59" s="181" t="s">
        <v>9</v>
      </c>
      <c r="C59" s="179" t="s">
        <v>85</v>
      </c>
      <c r="D59" s="182" t="s">
        <v>94</v>
      </c>
      <c r="E59" s="179" t="s">
        <v>89</v>
      </c>
      <c r="F59" s="180" t="s">
        <v>92</v>
      </c>
      <c r="G59" s="180" t="s">
        <v>93</v>
      </c>
      <c r="H59" s="183" t="s">
        <v>95</v>
      </c>
      <c r="I59" s="184" t="s">
        <v>95</v>
      </c>
      <c r="J59" s="195"/>
      <c r="K59" s="181" t="s">
        <v>9</v>
      </c>
      <c r="L59" s="179" t="s">
        <v>85</v>
      </c>
      <c r="M59" s="182" t="s">
        <v>94</v>
      </c>
      <c r="N59" s="182" t="s">
        <v>93</v>
      </c>
      <c r="O59" s="182" t="s">
        <v>97</v>
      </c>
      <c r="P59" s="182" t="s">
        <v>89</v>
      </c>
      <c r="Q59" s="196" t="s">
        <v>101</v>
      </c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</row>
    <row r="60" spans="2:44" x14ac:dyDescent="0.25">
      <c r="B60" s="166">
        <v>1</v>
      </c>
      <c r="C60" s="167">
        <v>0.78</v>
      </c>
      <c r="D60" s="176">
        <f t="shared" ref="D60:D69" si="41">(C60*$B$7)*SQRT(4*$B$9*$B$10/32.2)/12</f>
        <v>28.27641963117355</v>
      </c>
      <c r="E60" s="176">
        <f>B60*D60</f>
        <v>28.27641963117355</v>
      </c>
      <c r="F60" s="172">
        <f>$F$18</f>
        <v>14.8</v>
      </c>
      <c r="G60" s="176">
        <f>E60-F60</f>
        <v>13.476419631173549</v>
      </c>
      <c r="H60" s="176">
        <f>G60/B60</f>
        <v>13.476419631173549</v>
      </c>
      <c r="I60" s="185">
        <f>SQRT(12*32.2*H60^2/(4*$B$9*($B$8*56)*$B$7^2))</f>
        <v>0.37173583312986358</v>
      </c>
      <c r="K60" s="166">
        <v>1</v>
      </c>
      <c r="L60" s="191">
        <v>0.37169999999999997</v>
      </c>
      <c r="M60" s="176">
        <f t="shared" ref="M60:M69" si="42">(L60*$B$7)*SQRT(4*$B$9*$B$10/32.2)/12</f>
        <v>13.474801508855393</v>
      </c>
      <c r="N60" s="176">
        <f>K60*M60</f>
        <v>13.474801508855393</v>
      </c>
      <c r="O60" s="172">
        <f>$F$18</f>
        <v>14.8</v>
      </c>
      <c r="P60" s="176">
        <f>N60+O60</f>
        <v>28.274801508855393</v>
      </c>
      <c r="Q60" s="197">
        <f>P60-E60</f>
        <v>-1.6181223181561677E-3</v>
      </c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</row>
    <row r="61" spans="2:44" x14ac:dyDescent="0.25">
      <c r="B61" s="166">
        <v>2</v>
      </c>
      <c r="C61" s="188">
        <v>0.7419</v>
      </c>
      <c r="D61" s="171">
        <f t="shared" si="41"/>
        <v>26.895225287650842</v>
      </c>
      <c r="E61" s="171">
        <f t="shared" ref="E61:E69" si="43">B61*D61</f>
        <v>53.790450575301684</v>
      </c>
      <c r="F61" s="172">
        <f t="shared" ref="F61:F69" si="44">$F$18</f>
        <v>14.8</v>
      </c>
      <c r="G61" s="171">
        <f t="shared" ref="G61:G69" si="45">E61-F61</f>
        <v>38.990450575301679</v>
      </c>
      <c r="H61" s="171">
        <f t="shared" ref="H61:H69" si="46">G61/B61</f>
        <v>19.49522528765084</v>
      </c>
      <c r="I61" s="186">
        <f t="shared" ref="I61:I69" si="47">SQRT(12*32.2*H61^2/(4*$B$9*($B$8*56)*$B$7^2))</f>
        <v>0.53775958397699297</v>
      </c>
      <c r="J61" s="172"/>
      <c r="K61" s="166">
        <v>2</v>
      </c>
      <c r="L61" s="192">
        <v>0.53779999999999994</v>
      </c>
      <c r="M61" s="171">
        <f t="shared" si="42"/>
        <v>19.496228817493758</v>
      </c>
      <c r="N61" s="171">
        <f t="shared" ref="N61:N69" si="48">K61*M61</f>
        <v>38.992457634987517</v>
      </c>
      <c r="O61" s="172">
        <f t="shared" ref="O61:O69" si="49">$F$18</f>
        <v>14.8</v>
      </c>
      <c r="P61" s="171">
        <f t="shared" ref="P61:P69" si="50">N61+O61</f>
        <v>53.792457634987514</v>
      </c>
      <c r="Q61" s="197">
        <f t="shared" ref="Q61:Q69" si="51">P61-E61</f>
        <v>2.0070596858303702E-3</v>
      </c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</row>
    <row r="62" spans="2:44" x14ac:dyDescent="0.25">
      <c r="B62" s="166">
        <v>3</v>
      </c>
      <c r="C62" s="189">
        <v>0.72099999999999997</v>
      </c>
      <c r="D62" s="170">
        <f t="shared" si="41"/>
        <v>26.137562248815545</v>
      </c>
      <c r="E62" s="170">
        <f t="shared" si="43"/>
        <v>78.412686746446639</v>
      </c>
      <c r="F62" s="172">
        <f t="shared" si="44"/>
        <v>14.8</v>
      </c>
      <c r="G62" s="170">
        <f t="shared" si="45"/>
        <v>63.612686746446641</v>
      </c>
      <c r="H62" s="170">
        <f t="shared" si="46"/>
        <v>21.204228915482215</v>
      </c>
      <c r="I62" s="187">
        <f t="shared" si="47"/>
        <v>0.58490102842595393</v>
      </c>
      <c r="J62" s="172"/>
      <c r="K62" s="166">
        <v>3</v>
      </c>
      <c r="L62" s="193">
        <v>0.58489999999999998</v>
      </c>
      <c r="M62" s="170">
        <f t="shared" si="42"/>
        <v>21.203689541376164</v>
      </c>
      <c r="N62" s="170">
        <f t="shared" si="48"/>
        <v>63.611068624128492</v>
      </c>
      <c r="O62" s="172">
        <f t="shared" si="49"/>
        <v>14.8</v>
      </c>
      <c r="P62" s="170">
        <f t="shared" si="50"/>
        <v>78.41106862412849</v>
      </c>
      <c r="Q62" s="197">
        <f t="shared" si="51"/>
        <v>-1.6181223181490623E-3</v>
      </c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</row>
    <row r="63" spans="2:44" x14ac:dyDescent="0.25">
      <c r="B63" s="166">
        <v>4</v>
      </c>
      <c r="C63" s="189">
        <v>0.71579999999999999</v>
      </c>
      <c r="D63" s="170">
        <f t="shared" si="41"/>
        <v>25.949052784607726</v>
      </c>
      <c r="E63" s="170">
        <f t="shared" si="43"/>
        <v>103.79621113843091</v>
      </c>
      <c r="F63" s="172">
        <f t="shared" si="44"/>
        <v>14.8</v>
      </c>
      <c r="G63" s="170">
        <f t="shared" si="45"/>
        <v>88.996211138430908</v>
      </c>
      <c r="H63" s="170">
        <f t="shared" si="46"/>
        <v>22.249052784607727</v>
      </c>
      <c r="I63" s="187">
        <f t="shared" si="47"/>
        <v>0.61372162633646277</v>
      </c>
      <c r="J63" s="172"/>
      <c r="K63" s="166">
        <v>4</v>
      </c>
      <c r="L63" s="193">
        <v>0.61370000000000002</v>
      </c>
      <c r="M63" s="170">
        <f t="shared" si="42"/>
        <v>22.247741958527186</v>
      </c>
      <c r="N63" s="170">
        <f t="shared" si="48"/>
        <v>88.990967834108744</v>
      </c>
      <c r="O63" s="172">
        <f t="shared" si="49"/>
        <v>14.8</v>
      </c>
      <c r="P63" s="170">
        <f t="shared" si="50"/>
        <v>103.79096783410874</v>
      </c>
      <c r="Q63" s="197">
        <f t="shared" si="51"/>
        <v>-5.2433043221640219E-3</v>
      </c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</row>
    <row r="64" spans="2:44" x14ac:dyDescent="0.25">
      <c r="B64" s="166">
        <v>5</v>
      </c>
      <c r="C64" s="188">
        <v>0.71</v>
      </c>
      <c r="D64" s="171">
        <f t="shared" si="41"/>
        <v>25.738792228375917</v>
      </c>
      <c r="E64" s="171">
        <f t="shared" si="43"/>
        <v>128.69396114187958</v>
      </c>
      <c r="F64" s="172">
        <f t="shared" si="44"/>
        <v>14.8</v>
      </c>
      <c r="G64" s="171">
        <f t="shared" si="45"/>
        <v>113.89396114187959</v>
      </c>
      <c r="H64" s="171">
        <f t="shared" si="46"/>
        <v>22.778792228375917</v>
      </c>
      <c r="I64" s="186">
        <f t="shared" si="47"/>
        <v>0.62833404854209052</v>
      </c>
      <c r="J64" s="172"/>
      <c r="K64" s="166">
        <v>5</v>
      </c>
      <c r="L64" s="192">
        <v>0.62829999999999997</v>
      </c>
      <c r="M64" s="171">
        <f t="shared" si="42"/>
        <v>22.777018531110695</v>
      </c>
      <c r="N64" s="171">
        <f t="shared" si="48"/>
        <v>113.88509265555348</v>
      </c>
      <c r="O64" s="172">
        <f t="shared" si="49"/>
        <v>14.8</v>
      </c>
      <c r="P64" s="171">
        <f t="shared" si="50"/>
        <v>128.68509265555349</v>
      </c>
      <c r="Q64" s="197">
        <f t="shared" si="51"/>
        <v>-8.8684863260937163E-3</v>
      </c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</row>
    <row r="65" spans="2:44" x14ac:dyDescent="0.25">
      <c r="B65" s="166">
        <v>10</v>
      </c>
      <c r="C65" s="170">
        <v>0.7</v>
      </c>
      <c r="D65" s="170">
        <f t="shared" si="41"/>
        <v>25.376274027976255</v>
      </c>
      <c r="E65" s="170">
        <f t="shared" si="43"/>
        <v>253.76274027976254</v>
      </c>
      <c r="F65" s="172">
        <f t="shared" si="44"/>
        <v>14.8</v>
      </c>
      <c r="G65" s="170">
        <f t="shared" si="45"/>
        <v>238.96274027976253</v>
      </c>
      <c r="H65" s="170">
        <f t="shared" si="46"/>
        <v>23.896274027976254</v>
      </c>
      <c r="I65" s="187">
        <f t="shared" si="47"/>
        <v>0.65915885506718364</v>
      </c>
      <c r="J65" s="172"/>
      <c r="K65" s="166">
        <v>10</v>
      </c>
      <c r="L65" s="193">
        <v>0.65920000000000001</v>
      </c>
      <c r="M65" s="170">
        <f t="shared" si="42"/>
        <v>23.897199770345647</v>
      </c>
      <c r="N65" s="170">
        <f t="shared" si="48"/>
        <v>238.97199770345648</v>
      </c>
      <c r="O65" s="172">
        <f t="shared" si="49"/>
        <v>14.8</v>
      </c>
      <c r="P65" s="170">
        <f t="shared" si="50"/>
        <v>253.77199770345649</v>
      </c>
      <c r="Q65" s="197">
        <f t="shared" si="51"/>
        <v>9.25742369395266E-3</v>
      </c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</row>
    <row r="66" spans="2:44" x14ac:dyDescent="0.25">
      <c r="B66" s="166">
        <v>20</v>
      </c>
      <c r="C66" s="170">
        <v>0.7</v>
      </c>
      <c r="D66" s="170">
        <f t="shared" si="41"/>
        <v>25.376274027976255</v>
      </c>
      <c r="E66" s="170">
        <f t="shared" si="43"/>
        <v>507.52548055952508</v>
      </c>
      <c r="F66" s="172">
        <f t="shared" si="44"/>
        <v>14.8</v>
      </c>
      <c r="G66" s="170">
        <f t="shared" si="45"/>
        <v>492.72548055952507</v>
      </c>
      <c r="H66" s="170">
        <f t="shared" si="46"/>
        <v>24.636274027976253</v>
      </c>
      <c r="I66" s="187">
        <f t="shared" si="47"/>
        <v>0.67957113993547125</v>
      </c>
      <c r="J66" s="172"/>
      <c r="K66" s="166">
        <v>20</v>
      </c>
      <c r="L66" s="193">
        <v>0.67959999999999998</v>
      </c>
      <c r="M66" s="170">
        <f t="shared" si="42"/>
        <v>24.636736899160951</v>
      </c>
      <c r="N66" s="170">
        <f t="shared" si="48"/>
        <v>492.73473798321902</v>
      </c>
      <c r="O66" s="172">
        <f t="shared" si="49"/>
        <v>14.8</v>
      </c>
      <c r="P66" s="170">
        <f t="shared" si="50"/>
        <v>507.53473798321903</v>
      </c>
      <c r="Q66" s="197">
        <f t="shared" si="51"/>
        <v>9.25742369395266E-3</v>
      </c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</row>
    <row r="67" spans="2:44" x14ac:dyDescent="0.25">
      <c r="B67" s="166">
        <v>30</v>
      </c>
      <c r="C67" s="170">
        <v>0.7</v>
      </c>
      <c r="D67" s="170">
        <f t="shared" si="41"/>
        <v>25.376274027976255</v>
      </c>
      <c r="E67" s="170">
        <f t="shared" si="43"/>
        <v>761.28822083928765</v>
      </c>
      <c r="F67" s="172">
        <f t="shared" si="44"/>
        <v>14.8</v>
      </c>
      <c r="G67" s="170">
        <f t="shared" si="45"/>
        <v>746.48822083928769</v>
      </c>
      <c r="H67" s="170">
        <f t="shared" si="46"/>
        <v>24.882940694642922</v>
      </c>
      <c r="I67" s="187">
        <f t="shared" si="47"/>
        <v>0.68637523489156727</v>
      </c>
      <c r="J67" s="172"/>
      <c r="K67" s="166">
        <v>30</v>
      </c>
      <c r="L67" s="193">
        <v>0.68640000000000001</v>
      </c>
      <c r="M67" s="170">
        <f t="shared" si="42"/>
        <v>24.883249275432721</v>
      </c>
      <c r="N67" s="170">
        <f t="shared" si="48"/>
        <v>746.49747826298164</v>
      </c>
      <c r="O67" s="172">
        <f t="shared" si="49"/>
        <v>14.8</v>
      </c>
      <c r="P67" s="170">
        <f t="shared" si="50"/>
        <v>761.2974782629816</v>
      </c>
      <c r="Q67" s="197">
        <f t="shared" si="51"/>
        <v>9.25742369395266E-3</v>
      </c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</row>
    <row r="68" spans="2:44" x14ac:dyDescent="0.25">
      <c r="B68" s="166">
        <v>40</v>
      </c>
      <c r="C68" s="171">
        <v>0.7</v>
      </c>
      <c r="D68" s="171">
        <f t="shared" si="41"/>
        <v>25.376274027976255</v>
      </c>
      <c r="E68" s="171">
        <f t="shared" si="43"/>
        <v>1015.0509611190502</v>
      </c>
      <c r="F68" s="172">
        <f t="shared" si="44"/>
        <v>14.8</v>
      </c>
      <c r="G68" s="171">
        <f t="shared" si="45"/>
        <v>1000.2509611190502</v>
      </c>
      <c r="H68" s="171">
        <f t="shared" si="46"/>
        <v>25.006274027976254</v>
      </c>
      <c r="I68" s="186">
        <f t="shared" si="47"/>
        <v>0.68977728236961511</v>
      </c>
      <c r="J68" s="172"/>
      <c r="K68" s="166">
        <v>40</v>
      </c>
      <c r="L68" s="192">
        <v>0.68979999999999997</v>
      </c>
      <c r="M68" s="171">
        <f t="shared" si="42"/>
        <v>25.006505463568605</v>
      </c>
      <c r="N68" s="171">
        <f t="shared" si="48"/>
        <v>1000.2602185427442</v>
      </c>
      <c r="O68" s="172">
        <f t="shared" si="49"/>
        <v>14.8</v>
      </c>
      <c r="P68" s="171">
        <f t="shared" si="50"/>
        <v>1015.0602185427441</v>
      </c>
      <c r="Q68" s="197">
        <f t="shared" si="51"/>
        <v>9.25742369395266E-3</v>
      </c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</row>
    <row r="69" spans="2:44" x14ac:dyDescent="0.25">
      <c r="B69" s="166">
        <v>50</v>
      </c>
      <c r="C69" s="170">
        <v>0.7</v>
      </c>
      <c r="D69" s="170">
        <f t="shared" si="41"/>
        <v>25.376274027976255</v>
      </c>
      <c r="E69" s="170">
        <f t="shared" si="43"/>
        <v>1268.8137013988128</v>
      </c>
      <c r="F69" s="172">
        <f t="shared" si="44"/>
        <v>14.8</v>
      </c>
      <c r="G69" s="170">
        <f t="shared" si="45"/>
        <v>1254.0137013988128</v>
      </c>
      <c r="H69" s="170">
        <f t="shared" si="46"/>
        <v>25.080274027976255</v>
      </c>
      <c r="I69" s="187">
        <f t="shared" si="47"/>
        <v>0.69181851085644397</v>
      </c>
      <c r="J69" s="172"/>
      <c r="K69" s="166">
        <v>50</v>
      </c>
      <c r="L69" s="193">
        <v>0.69179999999999997</v>
      </c>
      <c r="M69" s="170">
        <f t="shared" si="42"/>
        <v>25.079009103648541</v>
      </c>
      <c r="N69" s="170">
        <f t="shared" si="48"/>
        <v>1253.950455182427</v>
      </c>
      <c r="O69" s="172">
        <f t="shared" si="49"/>
        <v>14.8</v>
      </c>
      <c r="P69" s="170">
        <f t="shared" si="50"/>
        <v>1268.750455182427</v>
      </c>
      <c r="Q69" s="197">
        <f t="shared" si="51"/>
        <v>-6.3246216385778098E-2</v>
      </c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</row>
    <row r="70" spans="2:44" x14ac:dyDescent="0.25"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</row>
    <row r="71" spans="2:44" x14ac:dyDescent="0.25"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</row>
    <row r="72" spans="2:44" x14ac:dyDescent="0.25">
      <c r="B72" s="179"/>
      <c r="C72" s="198" t="s">
        <v>106</v>
      </c>
      <c r="D72" s="179"/>
      <c r="E72" s="179" t="s">
        <v>88</v>
      </c>
      <c r="F72" s="180"/>
      <c r="G72" s="180" t="s">
        <v>89</v>
      </c>
      <c r="H72" s="180"/>
      <c r="I72" s="180"/>
      <c r="J72" s="195"/>
      <c r="K72" s="179"/>
      <c r="L72" s="199" t="s">
        <v>103</v>
      </c>
      <c r="M72" s="179"/>
      <c r="N72" s="179" t="s">
        <v>89</v>
      </c>
      <c r="O72" s="179"/>
      <c r="P72" s="179" t="s">
        <v>98</v>
      </c>
      <c r="Q72" s="196" t="s">
        <v>100</v>
      </c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</row>
    <row r="73" spans="2:44" x14ac:dyDescent="0.25">
      <c r="B73" s="181" t="s">
        <v>9</v>
      </c>
      <c r="C73" s="179" t="s">
        <v>85</v>
      </c>
      <c r="D73" s="182" t="s">
        <v>94</v>
      </c>
      <c r="E73" s="179" t="s">
        <v>89</v>
      </c>
      <c r="F73" s="180" t="s">
        <v>92</v>
      </c>
      <c r="G73" s="180" t="s">
        <v>93</v>
      </c>
      <c r="H73" s="183" t="s">
        <v>95</v>
      </c>
      <c r="I73" s="184" t="s">
        <v>95</v>
      </c>
      <c r="J73" s="195"/>
      <c r="K73" s="181" t="s">
        <v>9</v>
      </c>
      <c r="L73" s="179" t="s">
        <v>85</v>
      </c>
      <c r="M73" s="182" t="s">
        <v>94</v>
      </c>
      <c r="N73" s="182" t="s">
        <v>93</v>
      </c>
      <c r="O73" s="182" t="s">
        <v>97</v>
      </c>
      <c r="P73" s="182" t="s">
        <v>89</v>
      </c>
      <c r="Q73" s="196" t="s">
        <v>101</v>
      </c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</row>
    <row r="74" spans="2:44" x14ac:dyDescent="0.25">
      <c r="B74" s="166">
        <v>1</v>
      </c>
      <c r="C74" s="176">
        <v>0.7</v>
      </c>
      <c r="D74" s="176">
        <f t="shared" ref="D74:D83" si="52">(C74*$B$7)*SQRT(4*$B$9*$B$10/32.2)/12</f>
        <v>25.376274027976255</v>
      </c>
      <c r="E74" s="176">
        <f>B74*D74</f>
        <v>25.376274027976255</v>
      </c>
      <c r="F74" s="172">
        <f>$F$18</f>
        <v>14.8</v>
      </c>
      <c r="G74" s="176">
        <f>E74-F74</f>
        <v>10.576274027976254</v>
      </c>
      <c r="H74" s="176">
        <f>G74/B74</f>
        <v>10.576274027976254</v>
      </c>
      <c r="I74" s="185">
        <f>SQRT(12*32.2*H74^2/(4*$B$9*($B$8*56)*$B$7^2))</f>
        <v>0.29173772743800513</v>
      </c>
      <c r="K74" s="166">
        <v>1</v>
      </c>
      <c r="L74" s="191">
        <v>0.29170000000000001</v>
      </c>
      <c r="M74" s="176">
        <f t="shared" ref="M74:M83" si="53">(L74*$B$7)*SQRT(4*$B$9*$B$10/32.2)/12</f>
        <v>10.574655905658108</v>
      </c>
      <c r="N74" s="176">
        <f>K74*M74</f>
        <v>10.574655905658108</v>
      </c>
      <c r="O74" s="172">
        <f>$F$18</f>
        <v>14.8</v>
      </c>
      <c r="P74" s="176">
        <f>N74+O74</f>
        <v>25.374655905658109</v>
      </c>
      <c r="Q74" s="197">
        <f>P74-E74</f>
        <v>-1.6181223181455096E-3</v>
      </c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</row>
    <row r="75" spans="2:44" x14ac:dyDescent="0.25">
      <c r="B75" s="166">
        <v>2</v>
      </c>
      <c r="C75" s="171">
        <v>0.7</v>
      </c>
      <c r="D75" s="171">
        <f t="shared" si="52"/>
        <v>25.376274027976255</v>
      </c>
      <c r="E75" s="171">
        <f t="shared" ref="E75:E83" si="54">B75*D75</f>
        <v>50.752548055952509</v>
      </c>
      <c r="F75" s="172">
        <f t="shared" ref="F75:F83" si="55">$F$18</f>
        <v>14.8</v>
      </c>
      <c r="G75" s="171">
        <f t="shared" ref="G75:G83" si="56">E75-F75</f>
        <v>35.952548055952505</v>
      </c>
      <c r="H75" s="171">
        <f t="shared" ref="H75:H83" si="57">G75/B75</f>
        <v>17.976274027976253</v>
      </c>
      <c r="I75" s="186">
        <f t="shared" ref="I75:I83" si="58">SQRT(12*32.2*H75^2/(4*$B$9*($B$8*56)*$B$7^2))</f>
        <v>0.49586057612088202</v>
      </c>
      <c r="J75" s="172"/>
      <c r="K75" s="166">
        <v>2</v>
      </c>
      <c r="L75" s="192">
        <v>0.49590000000000001</v>
      </c>
      <c r="M75" s="171">
        <f t="shared" si="53"/>
        <v>17.977277557819182</v>
      </c>
      <c r="N75" s="171">
        <f t="shared" ref="N75:N83" si="59">K75*M75</f>
        <v>35.954555115638364</v>
      </c>
      <c r="O75" s="172">
        <f t="shared" ref="O75:O83" si="60">$F$18</f>
        <v>14.8</v>
      </c>
      <c r="P75" s="171">
        <f t="shared" ref="P75:P83" si="61">N75+O75</f>
        <v>50.754555115638368</v>
      </c>
      <c r="Q75" s="197">
        <f t="shared" ref="Q75:Q83" si="62">P75-E75</f>
        <v>2.0070596858587919E-3</v>
      </c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</row>
    <row r="76" spans="2:44" x14ac:dyDescent="0.25">
      <c r="B76" s="166">
        <v>3</v>
      </c>
      <c r="C76" s="170">
        <v>0.7</v>
      </c>
      <c r="D76" s="170">
        <f t="shared" si="52"/>
        <v>25.376274027976255</v>
      </c>
      <c r="E76" s="170">
        <f t="shared" si="54"/>
        <v>76.128822083928767</v>
      </c>
      <c r="F76" s="172">
        <f t="shared" si="55"/>
        <v>14.8</v>
      </c>
      <c r="G76" s="170">
        <f t="shared" si="56"/>
        <v>61.32882208392877</v>
      </c>
      <c r="H76" s="170">
        <f t="shared" si="57"/>
        <v>20.442940694642925</v>
      </c>
      <c r="I76" s="187">
        <f t="shared" si="58"/>
        <v>0.56390152568184115</v>
      </c>
      <c r="J76" s="172"/>
      <c r="K76" s="166">
        <v>3</v>
      </c>
      <c r="L76" s="193">
        <v>0.56389999999999996</v>
      </c>
      <c r="M76" s="170">
        <f t="shared" si="53"/>
        <v>20.442401320536877</v>
      </c>
      <c r="N76" s="170">
        <f t="shared" si="59"/>
        <v>61.327203961610635</v>
      </c>
      <c r="O76" s="172">
        <f t="shared" si="60"/>
        <v>14.8</v>
      </c>
      <c r="P76" s="170">
        <f t="shared" si="61"/>
        <v>76.127203961610633</v>
      </c>
      <c r="Q76" s="197">
        <f t="shared" si="62"/>
        <v>-1.6181223181348514E-3</v>
      </c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</row>
    <row r="77" spans="2:44" x14ac:dyDescent="0.25">
      <c r="B77" s="166">
        <v>4</v>
      </c>
      <c r="C77" s="170">
        <v>0.7</v>
      </c>
      <c r="D77" s="170">
        <f t="shared" si="52"/>
        <v>25.376274027976255</v>
      </c>
      <c r="E77" s="170">
        <f t="shared" si="54"/>
        <v>101.50509611190502</v>
      </c>
      <c r="F77" s="172">
        <f t="shared" si="55"/>
        <v>14.8</v>
      </c>
      <c r="G77" s="170">
        <f t="shared" si="56"/>
        <v>86.705096111905021</v>
      </c>
      <c r="H77" s="170">
        <f t="shared" si="57"/>
        <v>21.676274027976255</v>
      </c>
      <c r="I77" s="187">
        <f t="shared" si="58"/>
        <v>0.59792200046232058</v>
      </c>
      <c r="J77" s="172"/>
      <c r="K77" s="166">
        <v>4</v>
      </c>
      <c r="L77" s="193">
        <v>0.59789999999999999</v>
      </c>
      <c r="M77" s="170">
        <f t="shared" si="53"/>
        <v>21.674963201895721</v>
      </c>
      <c r="N77" s="170">
        <f t="shared" si="59"/>
        <v>86.699852807582886</v>
      </c>
      <c r="O77" s="172">
        <f t="shared" si="60"/>
        <v>14.8</v>
      </c>
      <c r="P77" s="170">
        <f t="shared" si="61"/>
        <v>101.49985280758288</v>
      </c>
      <c r="Q77" s="197">
        <f t="shared" si="62"/>
        <v>-5.2433043221356002E-3</v>
      </c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</row>
    <row r="78" spans="2:44" x14ac:dyDescent="0.25">
      <c r="B78" s="166">
        <v>5</v>
      </c>
      <c r="C78" s="171">
        <v>0.7</v>
      </c>
      <c r="D78" s="171">
        <f t="shared" si="52"/>
        <v>25.376274027976255</v>
      </c>
      <c r="E78" s="171">
        <f t="shared" si="54"/>
        <v>126.88137013988127</v>
      </c>
      <c r="F78" s="172">
        <f t="shared" si="55"/>
        <v>14.8</v>
      </c>
      <c r="G78" s="171">
        <f t="shared" si="56"/>
        <v>112.08137013988127</v>
      </c>
      <c r="H78" s="171">
        <f t="shared" si="57"/>
        <v>22.416274027976254</v>
      </c>
      <c r="I78" s="186">
        <f t="shared" si="58"/>
        <v>0.61833428533060819</v>
      </c>
      <c r="J78" s="172"/>
      <c r="K78" s="166">
        <v>5</v>
      </c>
      <c r="L78" s="192">
        <v>0.61829999999999996</v>
      </c>
      <c r="M78" s="171">
        <f t="shared" si="53"/>
        <v>22.414500330711032</v>
      </c>
      <c r="N78" s="171">
        <f t="shared" si="59"/>
        <v>112.07250165355516</v>
      </c>
      <c r="O78" s="172">
        <f t="shared" si="60"/>
        <v>14.8</v>
      </c>
      <c r="P78" s="171">
        <f t="shared" si="61"/>
        <v>126.87250165355516</v>
      </c>
      <c r="Q78" s="197">
        <f t="shared" si="62"/>
        <v>-8.8684863261079272E-3</v>
      </c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</row>
    <row r="79" spans="2:44" x14ac:dyDescent="0.25">
      <c r="B79" s="166">
        <v>10</v>
      </c>
      <c r="C79" s="170">
        <v>0.7</v>
      </c>
      <c r="D79" s="170">
        <f t="shared" si="52"/>
        <v>25.376274027976255</v>
      </c>
      <c r="E79" s="170">
        <f t="shared" si="54"/>
        <v>253.76274027976254</v>
      </c>
      <c r="F79" s="172">
        <f t="shared" si="55"/>
        <v>14.8</v>
      </c>
      <c r="G79" s="170">
        <f t="shared" si="56"/>
        <v>238.96274027976253</v>
      </c>
      <c r="H79" s="170">
        <f t="shared" si="57"/>
        <v>23.896274027976254</v>
      </c>
      <c r="I79" s="187">
        <f t="shared" si="58"/>
        <v>0.65915885506718364</v>
      </c>
      <c r="J79" s="172"/>
      <c r="K79" s="166">
        <v>10</v>
      </c>
      <c r="L79" s="193">
        <v>0.65920000000000001</v>
      </c>
      <c r="M79" s="170">
        <f t="shared" si="53"/>
        <v>23.897199770345647</v>
      </c>
      <c r="N79" s="170">
        <f t="shared" si="59"/>
        <v>238.97199770345648</v>
      </c>
      <c r="O79" s="172">
        <f t="shared" si="60"/>
        <v>14.8</v>
      </c>
      <c r="P79" s="170">
        <f t="shared" si="61"/>
        <v>253.77199770345649</v>
      </c>
      <c r="Q79" s="197">
        <f t="shared" si="62"/>
        <v>9.25742369395266E-3</v>
      </c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</row>
    <row r="80" spans="2:44" x14ac:dyDescent="0.25">
      <c r="B80" s="166">
        <v>20</v>
      </c>
      <c r="C80" s="170">
        <v>0.7</v>
      </c>
      <c r="D80" s="170">
        <f t="shared" si="52"/>
        <v>25.376274027976255</v>
      </c>
      <c r="E80" s="170">
        <f t="shared" si="54"/>
        <v>507.52548055952508</v>
      </c>
      <c r="F80" s="172">
        <f t="shared" si="55"/>
        <v>14.8</v>
      </c>
      <c r="G80" s="170">
        <f t="shared" si="56"/>
        <v>492.72548055952507</v>
      </c>
      <c r="H80" s="170">
        <f t="shared" si="57"/>
        <v>24.636274027976253</v>
      </c>
      <c r="I80" s="187">
        <f t="shared" si="58"/>
        <v>0.67957113993547125</v>
      </c>
      <c r="J80" s="172"/>
      <c r="K80" s="166">
        <v>20</v>
      </c>
      <c r="L80" s="193">
        <v>0.67959999999999998</v>
      </c>
      <c r="M80" s="170">
        <f t="shared" si="53"/>
        <v>24.636736899160951</v>
      </c>
      <c r="N80" s="170">
        <f t="shared" si="59"/>
        <v>492.73473798321902</v>
      </c>
      <c r="O80" s="172">
        <f t="shared" si="60"/>
        <v>14.8</v>
      </c>
      <c r="P80" s="170">
        <f t="shared" si="61"/>
        <v>507.53473798321903</v>
      </c>
      <c r="Q80" s="197">
        <f t="shared" si="62"/>
        <v>9.25742369395266E-3</v>
      </c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</row>
    <row r="81" spans="2:44" x14ac:dyDescent="0.25">
      <c r="B81" s="166">
        <v>30</v>
      </c>
      <c r="C81" s="170">
        <v>0.7</v>
      </c>
      <c r="D81" s="170">
        <f t="shared" si="52"/>
        <v>25.376274027976255</v>
      </c>
      <c r="E81" s="170">
        <f t="shared" si="54"/>
        <v>761.28822083928765</v>
      </c>
      <c r="F81" s="172">
        <f t="shared" si="55"/>
        <v>14.8</v>
      </c>
      <c r="G81" s="170">
        <f t="shared" si="56"/>
        <v>746.48822083928769</v>
      </c>
      <c r="H81" s="170">
        <f t="shared" si="57"/>
        <v>24.882940694642922</v>
      </c>
      <c r="I81" s="187">
        <f t="shared" si="58"/>
        <v>0.68637523489156727</v>
      </c>
      <c r="J81" s="172"/>
      <c r="K81" s="166">
        <v>30</v>
      </c>
      <c r="L81" s="193">
        <v>0.68640000000000001</v>
      </c>
      <c r="M81" s="170">
        <f t="shared" si="53"/>
        <v>24.883249275432721</v>
      </c>
      <c r="N81" s="170">
        <f t="shared" si="59"/>
        <v>746.49747826298164</v>
      </c>
      <c r="O81" s="172">
        <f t="shared" si="60"/>
        <v>14.8</v>
      </c>
      <c r="P81" s="170">
        <f t="shared" si="61"/>
        <v>761.2974782629816</v>
      </c>
      <c r="Q81" s="197">
        <f t="shared" si="62"/>
        <v>9.25742369395266E-3</v>
      </c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</row>
    <row r="82" spans="2:44" x14ac:dyDescent="0.25">
      <c r="B82" s="166">
        <v>40</v>
      </c>
      <c r="C82" s="171">
        <v>0.7</v>
      </c>
      <c r="D82" s="171">
        <f t="shared" si="52"/>
        <v>25.376274027976255</v>
      </c>
      <c r="E82" s="171">
        <f t="shared" si="54"/>
        <v>1015.0509611190502</v>
      </c>
      <c r="F82" s="172">
        <f t="shared" si="55"/>
        <v>14.8</v>
      </c>
      <c r="G82" s="171">
        <f t="shared" si="56"/>
        <v>1000.2509611190502</v>
      </c>
      <c r="H82" s="171">
        <f t="shared" si="57"/>
        <v>25.006274027976254</v>
      </c>
      <c r="I82" s="186">
        <f t="shared" si="58"/>
        <v>0.68977728236961511</v>
      </c>
      <c r="J82" s="172"/>
      <c r="K82" s="166">
        <v>40</v>
      </c>
      <c r="L82" s="192">
        <v>0.68979999999999997</v>
      </c>
      <c r="M82" s="171">
        <f t="shared" si="53"/>
        <v>25.006505463568605</v>
      </c>
      <c r="N82" s="171">
        <f t="shared" si="59"/>
        <v>1000.2602185427442</v>
      </c>
      <c r="O82" s="172">
        <f t="shared" si="60"/>
        <v>14.8</v>
      </c>
      <c r="P82" s="171">
        <f t="shared" si="61"/>
        <v>1015.0602185427441</v>
      </c>
      <c r="Q82" s="197">
        <f t="shared" si="62"/>
        <v>9.25742369395266E-3</v>
      </c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</row>
    <row r="83" spans="2:44" x14ac:dyDescent="0.25">
      <c r="B83" s="166">
        <v>50</v>
      </c>
      <c r="C83" s="170">
        <v>0.7</v>
      </c>
      <c r="D83" s="170">
        <f t="shared" si="52"/>
        <v>25.376274027976255</v>
      </c>
      <c r="E83" s="170">
        <f t="shared" si="54"/>
        <v>1268.8137013988128</v>
      </c>
      <c r="F83" s="172">
        <f t="shared" si="55"/>
        <v>14.8</v>
      </c>
      <c r="G83" s="170">
        <f t="shared" si="56"/>
        <v>1254.0137013988128</v>
      </c>
      <c r="H83" s="170">
        <f t="shared" si="57"/>
        <v>25.080274027976255</v>
      </c>
      <c r="I83" s="187">
        <f t="shared" si="58"/>
        <v>0.69181851085644397</v>
      </c>
      <c r="J83" s="172"/>
      <c r="K83" s="166">
        <v>50</v>
      </c>
      <c r="L83" s="193">
        <v>0.69179999999999997</v>
      </c>
      <c r="M83" s="170">
        <f t="shared" si="53"/>
        <v>25.079009103648541</v>
      </c>
      <c r="N83" s="170">
        <f t="shared" si="59"/>
        <v>1253.950455182427</v>
      </c>
      <c r="O83" s="172">
        <f t="shared" si="60"/>
        <v>14.8</v>
      </c>
      <c r="P83" s="170">
        <f t="shared" si="61"/>
        <v>1268.750455182427</v>
      </c>
      <c r="Q83" s="197">
        <f t="shared" si="62"/>
        <v>-6.3246216385778098E-2</v>
      </c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</row>
    <row r="84" spans="2:44" x14ac:dyDescent="0.25"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</row>
    <row r="85" spans="2:44" x14ac:dyDescent="0.25"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</row>
    <row r="86" spans="2:44" x14ac:dyDescent="0.25">
      <c r="B86" s="160" t="s">
        <v>107</v>
      </c>
      <c r="F86" s="178" t="s">
        <v>81</v>
      </c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</row>
    <row r="87" spans="2:44" x14ac:dyDescent="0.25">
      <c r="B87" s="179"/>
      <c r="C87" s="198" t="s">
        <v>99</v>
      </c>
      <c r="D87" s="198" t="s">
        <v>102</v>
      </c>
      <c r="E87" s="198" t="s">
        <v>104</v>
      </c>
      <c r="F87" s="198" t="s">
        <v>105</v>
      </c>
      <c r="G87" s="198" t="s">
        <v>106</v>
      </c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</row>
    <row r="88" spans="2:44" x14ac:dyDescent="0.25">
      <c r="B88" s="181" t="s">
        <v>9</v>
      </c>
      <c r="C88" s="179" t="s">
        <v>85</v>
      </c>
      <c r="D88" s="179" t="s">
        <v>85</v>
      </c>
      <c r="E88" s="179" t="s">
        <v>85</v>
      </c>
      <c r="F88" s="179" t="s">
        <v>85</v>
      </c>
      <c r="G88" s="179" t="s">
        <v>85</v>
      </c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</row>
    <row r="89" spans="2:44" x14ac:dyDescent="0.25">
      <c r="B89" s="166">
        <v>1</v>
      </c>
      <c r="C89" s="200">
        <f>L18</f>
        <v>0.5917</v>
      </c>
      <c r="D89" s="200">
        <f>L32</f>
        <v>0.52170000000000005</v>
      </c>
      <c r="E89" s="200">
        <f>L46</f>
        <v>0.45169999999999999</v>
      </c>
      <c r="F89" s="200">
        <f>L60</f>
        <v>0.37169999999999997</v>
      </c>
      <c r="G89" s="200">
        <f>L74</f>
        <v>0.29170000000000001</v>
      </c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</row>
    <row r="90" spans="2:44" x14ac:dyDescent="0.25">
      <c r="B90" s="166">
        <v>2</v>
      </c>
      <c r="C90" s="201">
        <f t="shared" ref="C90:C98" si="63">L19</f>
        <v>0.62590000000000001</v>
      </c>
      <c r="D90" s="201">
        <f t="shared" ref="D90:D98" si="64">L33</f>
        <v>0.6028</v>
      </c>
      <c r="E90" s="201">
        <f t="shared" ref="E90:E98" si="65">L47</f>
        <v>0.5796</v>
      </c>
      <c r="F90" s="201">
        <f t="shared" ref="F90:F98" si="66">L61</f>
        <v>0.53779999999999994</v>
      </c>
      <c r="G90" s="201">
        <f t="shared" ref="G90:G98" si="67">L75</f>
        <v>0.49590000000000001</v>
      </c>
    </row>
    <row r="91" spans="2:44" x14ac:dyDescent="0.25">
      <c r="B91" s="166">
        <v>3</v>
      </c>
      <c r="C91" s="202">
        <f t="shared" si="63"/>
        <v>0.63390000000000002</v>
      </c>
      <c r="D91" s="202">
        <f t="shared" si="64"/>
        <v>0.61990000000000001</v>
      </c>
      <c r="E91" s="202">
        <f t="shared" si="65"/>
        <v>0.60580000000000001</v>
      </c>
      <c r="F91" s="202">
        <f t="shared" si="66"/>
        <v>0.58489999999999998</v>
      </c>
      <c r="G91" s="202">
        <f t="shared" si="67"/>
        <v>0.56389999999999996</v>
      </c>
    </row>
    <row r="92" spans="2:44" x14ac:dyDescent="0.25">
      <c r="B92" s="166">
        <v>4</v>
      </c>
      <c r="C92" s="202">
        <f t="shared" si="63"/>
        <v>0.63990000000000002</v>
      </c>
      <c r="D92" s="202">
        <f t="shared" si="64"/>
        <v>0.63470000000000004</v>
      </c>
      <c r="E92" s="202">
        <f t="shared" si="65"/>
        <v>0.62939999999999996</v>
      </c>
      <c r="F92" s="202">
        <f t="shared" si="66"/>
        <v>0.61370000000000002</v>
      </c>
      <c r="G92" s="202">
        <f t="shared" si="67"/>
        <v>0.59789999999999999</v>
      </c>
    </row>
    <row r="93" spans="2:44" x14ac:dyDescent="0.25">
      <c r="B93" s="166">
        <v>5</v>
      </c>
      <c r="C93" s="201">
        <f t="shared" si="63"/>
        <v>0.65529999999999999</v>
      </c>
      <c r="D93" s="201">
        <f t="shared" si="64"/>
        <v>0.64680000000000004</v>
      </c>
      <c r="E93" s="201">
        <f t="shared" si="65"/>
        <v>0.63829999999999998</v>
      </c>
      <c r="F93" s="201">
        <f t="shared" si="66"/>
        <v>0.62829999999999997</v>
      </c>
      <c r="G93" s="201">
        <f t="shared" si="67"/>
        <v>0.61829999999999996</v>
      </c>
    </row>
    <row r="94" spans="2:44" x14ac:dyDescent="0.25">
      <c r="B94" s="166">
        <v>10</v>
      </c>
      <c r="C94" s="202">
        <f t="shared" si="63"/>
        <v>0.67920000000000003</v>
      </c>
      <c r="D94" s="202">
        <f t="shared" si="64"/>
        <v>0.66920000000000002</v>
      </c>
      <c r="E94" s="202">
        <f t="shared" si="65"/>
        <v>0.65920000000000001</v>
      </c>
      <c r="F94" s="202">
        <f t="shared" si="66"/>
        <v>0.65920000000000001</v>
      </c>
      <c r="G94" s="202">
        <f t="shared" si="67"/>
        <v>0.65920000000000001</v>
      </c>
    </row>
    <row r="95" spans="2:44" x14ac:dyDescent="0.25">
      <c r="B95" s="166">
        <v>20</v>
      </c>
      <c r="C95" s="202">
        <f t="shared" si="63"/>
        <v>0.67959999999999998</v>
      </c>
      <c r="D95" s="202">
        <f t="shared" si="64"/>
        <v>0.67959999999999998</v>
      </c>
      <c r="E95" s="202">
        <f t="shared" si="65"/>
        <v>0.67959999999999998</v>
      </c>
      <c r="F95" s="202">
        <f t="shared" si="66"/>
        <v>0.67959999999999998</v>
      </c>
      <c r="G95" s="202">
        <f t="shared" si="67"/>
        <v>0.67959999999999998</v>
      </c>
    </row>
    <row r="96" spans="2:44" x14ac:dyDescent="0.25">
      <c r="B96" s="166">
        <v>30</v>
      </c>
      <c r="C96" s="202">
        <f t="shared" si="63"/>
        <v>0.68640000000000001</v>
      </c>
      <c r="D96" s="202">
        <f t="shared" si="64"/>
        <v>0.68640000000000001</v>
      </c>
      <c r="E96" s="202">
        <f t="shared" si="65"/>
        <v>0.68640000000000001</v>
      </c>
      <c r="F96" s="202">
        <f t="shared" si="66"/>
        <v>0.68640000000000001</v>
      </c>
      <c r="G96" s="202">
        <f t="shared" si="67"/>
        <v>0.68640000000000001</v>
      </c>
    </row>
    <row r="97" spans="2:7" x14ac:dyDescent="0.25">
      <c r="B97" s="166">
        <v>40</v>
      </c>
      <c r="C97" s="201">
        <f t="shared" si="63"/>
        <v>0.68979999999999997</v>
      </c>
      <c r="D97" s="201">
        <f t="shared" si="64"/>
        <v>0.68979999999999997</v>
      </c>
      <c r="E97" s="201">
        <f t="shared" si="65"/>
        <v>0.68979999999999997</v>
      </c>
      <c r="F97" s="201">
        <f t="shared" si="66"/>
        <v>0.68979999999999997</v>
      </c>
      <c r="G97" s="201">
        <f t="shared" si="67"/>
        <v>0.68979999999999997</v>
      </c>
    </row>
    <row r="98" spans="2:7" x14ac:dyDescent="0.25">
      <c r="B98" s="166">
        <v>50</v>
      </c>
      <c r="C98" s="202">
        <f t="shared" si="63"/>
        <v>0.69179999999999997</v>
      </c>
      <c r="D98" s="202">
        <f t="shared" si="64"/>
        <v>0.69179999999999997</v>
      </c>
      <c r="E98" s="202">
        <f t="shared" si="65"/>
        <v>0.69179999999999997</v>
      </c>
      <c r="F98" s="202">
        <f t="shared" si="66"/>
        <v>0.69179999999999997</v>
      </c>
      <c r="G98" s="202">
        <f t="shared" si="67"/>
        <v>0.69179999999999997</v>
      </c>
    </row>
    <row r="99" spans="2:7" x14ac:dyDescent="0.25">
      <c r="C99" s="203"/>
      <c r="D99" s="203"/>
      <c r="E99" s="203"/>
      <c r="F99" s="203"/>
      <c r="G99" s="203"/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AR108"/>
  <sheetViews>
    <sheetView showGridLines="0" zoomScale="90" zoomScaleNormal="90" workbookViewId="0">
      <selection activeCell="F16" sqref="F16"/>
    </sheetView>
  </sheetViews>
  <sheetFormatPr defaultRowHeight="12.75" x14ac:dyDescent="0.2"/>
  <cols>
    <col min="3" max="8" width="9.140625" customWidth="1"/>
    <col min="11" max="11" width="5.7109375" customWidth="1"/>
    <col min="14" max="14" width="4.28515625" customWidth="1"/>
    <col min="16" max="16" width="5.7109375" customWidth="1"/>
    <col min="18" max="18" width="9.140625" customWidth="1"/>
    <col min="19" max="19" width="4.28515625" customWidth="1"/>
    <col min="21" max="21" width="5.7109375" customWidth="1"/>
  </cols>
  <sheetData>
    <row r="1" spans="1:44" x14ac:dyDescent="0.2">
      <c r="T1" s="159" t="s">
        <v>81</v>
      </c>
    </row>
    <row r="2" spans="1:44" x14ac:dyDescent="0.2">
      <c r="A2" t="s">
        <v>6</v>
      </c>
      <c r="AR2" t="s">
        <v>32</v>
      </c>
    </row>
    <row r="3" spans="1:44" x14ac:dyDescent="0.2">
      <c r="A3" s="1" t="s">
        <v>7</v>
      </c>
    </row>
    <row r="4" spans="1:44" x14ac:dyDescent="0.2">
      <c r="A4" s="1" t="s">
        <v>59</v>
      </c>
    </row>
    <row r="5" spans="1:44" x14ac:dyDescent="0.2">
      <c r="A5" s="97" t="s">
        <v>31</v>
      </c>
    </row>
    <row r="7" spans="1:44" x14ac:dyDescent="0.2">
      <c r="A7" s="21" t="s">
        <v>5</v>
      </c>
      <c r="G7" s="10">
        <v>2.4500000000000002</v>
      </c>
      <c r="H7" s="15" t="s">
        <v>72</v>
      </c>
      <c r="T7" s="1"/>
      <c r="U7" s="1"/>
    </row>
    <row r="8" spans="1:44" x14ac:dyDescent="0.2">
      <c r="G8">
        <v>4.47</v>
      </c>
      <c r="H8" t="s">
        <v>74</v>
      </c>
    </row>
    <row r="9" spans="1:44" x14ac:dyDescent="0.2">
      <c r="B9" s="41"/>
      <c r="C9" s="10"/>
      <c r="E9" s="10"/>
      <c r="F9" s="10"/>
      <c r="G9" s="18">
        <v>2.9</v>
      </c>
      <c r="H9" s="10" t="s">
        <v>73</v>
      </c>
      <c r="I9" s="10"/>
      <c r="K9" s="10"/>
      <c r="L9" s="10"/>
      <c r="M9" s="10"/>
      <c r="N9" s="10"/>
      <c r="O9" s="10"/>
      <c r="P9" s="10"/>
      <c r="Q9" s="10"/>
      <c r="R9" s="10"/>
    </row>
    <row r="10" spans="1:44" x14ac:dyDescent="0.2">
      <c r="B10" s="18">
        <v>2.4500000000000002</v>
      </c>
      <c r="C10" s="15" t="s">
        <v>70</v>
      </c>
      <c r="E10" s="101" t="s">
        <v>57</v>
      </c>
      <c r="F10" s="10"/>
      <c r="G10" s="15">
        <f>G9/G7</f>
        <v>1.1836734693877551</v>
      </c>
      <c r="H10" s="10" t="s">
        <v>71</v>
      </c>
      <c r="I10" s="10"/>
    </row>
    <row r="11" spans="1:44" x14ac:dyDescent="0.2">
      <c r="B11" s="18">
        <v>4.47</v>
      </c>
      <c r="C11" s="10" t="s">
        <v>1</v>
      </c>
      <c r="F11" s="10"/>
      <c r="G11" s="10">
        <f>G8*G10</f>
        <v>5.2910204081632646</v>
      </c>
      <c r="H11" s="151" t="s">
        <v>75</v>
      </c>
      <c r="I11" s="10"/>
    </row>
    <row r="12" spans="1:44" x14ac:dyDescent="0.2">
      <c r="A12" t="s">
        <v>53</v>
      </c>
      <c r="B12" s="18">
        <v>85</v>
      </c>
      <c r="C12" s="15" t="s">
        <v>8</v>
      </c>
      <c r="F12" s="10"/>
      <c r="G12" s="10"/>
      <c r="H12" s="10"/>
      <c r="I12" s="10"/>
      <c r="J12" s="109" t="s">
        <v>40</v>
      </c>
    </row>
    <row r="13" spans="1:44" x14ac:dyDescent="0.2">
      <c r="A13" t="s">
        <v>54</v>
      </c>
      <c r="C13" s="10"/>
      <c r="D13" s="129"/>
      <c r="E13" s="10"/>
      <c r="F13" s="10"/>
      <c r="G13" s="10"/>
      <c r="H13" s="10"/>
      <c r="I13" s="10"/>
    </row>
    <row r="14" spans="1:44" x14ac:dyDescent="0.2">
      <c r="A14" t="s">
        <v>55</v>
      </c>
      <c r="C14" s="131"/>
      <c r="D14" s="130">
        <v>1</v>
      </c>
      <c r="E14" s="10"/>
      <c r="F14" s="10"/>
      <c r="G14" s="27" t="s">
        <v>14</v>
      </c>
      <c r="H14" s="10"/>
      <c r="I14" s="10"/>
    </row>
    <row r="15" spans="1:44" x14ac:dyDescent="0.2">
      <c r="A15" t="s">
        <v>56</v>
      </c>
      <c r="B15" s="2" t="s">
        <v>10</v>
      </c>
      <c r="C15" s="19" t="s">
        <v>9</v>
      </c>
      <c r="D15" s="19" t="s">
        <v>10</v>
      </c>
      <c r="E15" s="28" t="s">
        <v>13</v>
      </c>
      <c r="F15" s="19" t="s">
        <v>11</v>
      </c>
      <c r="G15" s="29" t="s">
        <v>11</v>
      </c>
      <c r="H15" s="19" t="s">
        <v>11</v>
      </c>
      <c r="I15" s="17"/>
      <c r="J15" s="11"/>
      <c r="K15" s="12"/>
      <c r="L15" s="12"/>
      <c r="M15" s="12"/>
      <c r="N15" s="12"/>
      <c r="O15" s="12"/>
      <c r="P15" s="12"/>
      <c r="Q15" s="12"/>
      <c r="R15" s="12"/>
      <c r="S15" s="44" t="s">
        <v>5</v>
      </c>
      <c r="T15" s="12"/>
      <c r="U15" s="12"/>
      <c r="V15" s="12"/>
      <c r="W15" s="13"/>
      <c r="AA15" s="11"/>
      <c r="AB15" s="12"/>
      <c r="AC15" s="12"/>
      <c r="AD15" s="12"/>
      <c r="AE15" s="12"/>
      <c r="AF15" s="12"/>
      <c r="AG15" s="12"/>
      <c r="AH15" s="12"/>
      <c r="AI15" s="12"/>
      <c r="AJ15" s="44" t="s">
        <v>5</v>
      </c>
      <c r="AK15" s="12"/>
      <c r="AL15" s="12"/>
      <c r="AM15" s="12"/>
      <c r="AN15" s="13"/>
    </row>
    <row r="16" spans="1:44" ht="15" x14ac:dyDescent="0.2">
      <c r="B16" s="138">
        <v>-25.45</v>
      </c>
      <c r="C16" s="17">
        <v>1</v>
      </c>
      <c r="D16" s="35">
        <f>B16*$D$14</f>
        <v>-25.45</v>
      </c>
      <c r="E16" s="39">
        <f>D16/C16</f>
        <v>-25.45</v>
      </c>
      <c r="F16" s="145">
        <f>SQRT(12*32.2*E16^2/(4*$B$12*($B$11*56)*$B$10^2))</f>
        <v>0.69992745230334086</v>
      </c>
      <c r="G16" s="147">
        <v>0.69992745230334086</v>
      </c>
      <c r="H16" s="5">
        <f t="shared" ref="H16:H25" si="0">(F16)</f>
        <v>0.69992745230334086</v>
      </c>
      <c r="I16" s="10"/>
      <c r="J16" s="56" t="s">
        <v>22</v>
      </c>
      <c r="K16" s="10"/>
      <c r="L16" s="10"/>
      <c r="M16" s="10"/>
      <c r="N16" s="10"/>
      <c r="O16" s="10"/>
      <c r="P16" s="10"/>
      <c r="Q16" s="10"/>
      <c r="R16" s="10"/>
      <c r="S16" s="52"/>
      <c r="T16" s="10"/>
      <c r="U16" s="10"/>
      <c r="V16" s="10"/>
      <c r="W16" s="16"/>
      <c r="AA16" s="56" t="s">
        <v>22</v>
      </c>
      <c r="AB16" s="10"/>
      <c r="AC16" s="10"/>
      <c r="AD16" s="10"/>
      <c r="AE16" s="10"/>
      <c r="AF16" s="10"/>
      <c r="AG16" s="10"/>
      <c r="AH16" s="10"/>
      <c r="AI16" s="10"/>
      <c r="AJ16" s="52"/>
      <c r="AK16" s="10"/>
      <c r="AL16" s="10"/>
      <c r="AM16" s="10"/>
      <c r="AN16" s="16"/>
    </row>
    <row r="17" spans="1:40" ht="15" x14ac:dyDescent="0.2">
      <c r="B17" s="139">
        <f>-50.9</f>
        <v>-50.9</v>
      </c>
      <c r="C17" s="36">
        <v>2</v>
      </c>
      <c r="D17" s="120">
        <f t="shared" ref="D17:D25" si="1">B17*$D$14</f>
        <v>-50.9</v>
      </c>
      <c r="E17" s="40">
        <f t="shared" ref="E17:E25" si="2">D17/C17</f>
        <v>-25.45</v>
      </c>
      <c r="F17" s="146">
        <f t="shared" ref="F17:F25" si="3">SQRT(12*32.2*E17^2/(4*$B$12*($B$11*56)*$B$10^2))</f>
        <v>0.69992745230334086</v>
      </c>
      <c r="G17" s="148">
        <v>0.69992745230334086</v>
      </c>
      <c r="H17" s="25">
        <f>(F17)</f>
        <v>0.69992745230334086</v>
      </c>
      <c r="I17" s="4"/>
      <c r="J17" s="14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6"/>
      <c r="AA17" s="14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6"/>
    </row>
    <row r="18" spans="1:40" ht="15" x14ac:dyDescent="0.2">
      <c r="B18" s="138">
        <v>-76.36</v>
      </c>
      <c r="C18" s="17">
        <v>3</v>
      </c>
      <c r="D18" s="35">
        <f t="shared" si="1"/>
        <v>-76.36</v>
      </c>
      <c r="E18" s="39">
        <f t="shared" si="2"/>
        <v>-25.453333333333333</v>
      </c>
      <c r="F18" s="145">
        <f t="shared" si="3"/>
        <v>0.70001912583998827</v>
      </c>
      <c r="G18" s="147">
        <v>0.70001912583998827</v>
      </c>
      <c r="H18" s="5">
        <f t="shared" si="0"/>
        <v>0.70001912583998827</v>
      </c>
      <c r="I18" s="4"/>
      <c r="J18" s="14"/>
      <c r="K18" s="10"/>
      <c r="L18" s="26">
        <v>2.4500000000000002</v>
      </c>
      <c r="M18" s="10" t="s">
        <v>0</v>
      </c>
      <c r="N18" s="10"/>
      <c r="O18" s="10"/>
      <c r="P18" s="10"/>
      <c r="Q18" s="26">
        <v>2.5</v>
      </c>
      <c r="R18" s="10" t="s">
        <v>0</v>
      </c>
      <c r="S18" s="10"/>
      <c r="T18" s="10"/>
      <c r="U18" s="10"/>
      <c r="V18" s="26">
        <v>2.5499999999999998</v>
      </c>
      <c r="W18" s="16" t="s">
        <v>0</v>
      </c>
      <c r="AA18" s="14"/>
      <c r="AB18" s="10"/>
      <c r="AC18" s="26">
        <v>2.4500000000000002</v>
      </c>
      <c r="AD18" s="10" t="s">
        <v>0</v>
      </c>
      <c r="AE18" s="10"/>
      <c r="AF18" s="10"/>
      <c r="AG18" s="10"/>
      <c r="AH18" s="26">
        <v>2.5</v>
      </c>
      <c r="AI18" s="10" t="s">
        <v>0</v>
      </c>
      <c r="AJ18" s="10"/>
      <c r="AK18" s="10"/>
      <c r="AL18" s="10"/>
      <c r="AM18" s="26">
        <v>2.5499999999999998</v>
      </c>
      <c r="AN18" s="16" t="s">
        <v>0</v>
      </c>
    </row>
    <row r="19" spans="1:40" ht="15" x14ac:dyDescent="0.2">
      <c r="B19" s="138">
        <v>-101.81</v>
      </c>
      <c r="C19" s="17">
        <v>4</v>
      </c>
      <c r="D19" s="35">
        <f t="shared" si="1"/>
        <v>-101.81</v>
      </c>
      <c r="E19" s="39">
        <f t="shared" si="2"/>
        <v>-25.452500000000001</v>
      </c>
      <c r="F19" s="145">
        <f t="shared" si="3"/>
        <v>0.69999620745582647</v>
      </c>
      <c r="G19" s="147">
        <v>0.69999620745582647</v>
      </c>
      <c r="H19" s="5">
        <f t="shared" si="0"/>
        <v>0.69999620745582647</v>
      </c>
      <c r="I19" s="4"/>
      <c r="J19" s="14"/>
      <c r="K19" s="10"/>
      <c r="L19" s="26">
        <v>4.47</v>
      </c>
      <c r="M19" s="10" t="s">
        <v>1</v>
      </c>
      <c r="N19" s="10"/>
      <c r="O19" s="10"/>
      <c r="P19" s="10"/>
      <c r="Q19" s="26">
        <v>4.6500000000000004</v>
      </c>
      <c r="R19" s="10" t="s">
        <v>1</v>
      </c>
      <c r="S19" s="10"/>
      <c r="T19" s="10"/>
      <c r="U19" s="10"/>
      <c r="V19" s="26">
        <v>4.82</v>
      </c>
      <c r="W19" s="16" t="s">
        <v>1</v>
      </c>
      <c r="AA19" s="14"/>
      <c r="AB19" s="10"/>
      <c r="AC19" s="26">
        <v>4.47</v>
      </c>
      <c r="AD19" s="10" t="s">
        <v>1</v>
      </c>
      <c r="AE19" s="10"/>
      <c r="AF19" s="10"/>
      <c r="AG19" s="10"/>
      <c r="AH19" s="26">
        <v>4.6500000000000004</v>
      </c>
      <c r="AI19" s="10" t="s">
        <v>1</v>
      </c>
      <c r="AJ19" s="10"/>
      <c r="AK19" s="10"/>
      <c r="AL19" s="10"/>
      <c r="AM19" s="26">
        <v>4.82</v>
      </c>
      <c r="AN19" s="16" t="s">
        <v>1</v>
      </c>
    </row>
    <row r="20" spans="1:40" ht="15" x14ac:dyDescent="0.2">
      <c r="B20" s="139">
        <v>-127.27</v>
      </c>
      <c r="C20" s="36">
        <v>5</v>
      </c>
      <c r="D20" s="120">
        <f t="shared" si="1"/>
        <v>-127.27</v>
      </c>
      <c r="E20" s="40">
        <f t="shared" si="2"/>
        <v>-25.454000000000001</v>
      </c>
      <c r="F20" s="146">
        <f t="shared" si="3"/>
        <v>0.70003746054731775</v>
      </c>
      <c r="G20" s="148">
        <v>0.70003746054731775</v>
      </c>
      <c r="H20" s="25">
        <f t="shared" si="0"/>
        <v>0.70003746054731775</v>
      </c>
      <c r="I20" s="4"/>
      <c r="J20" s="14"/>
      <c r="K20" s="10"/>
      <c r="L20" s="26">
        <v>85</v>
      </c>
      <c r="M20" s="10" t="s">
        <v>8</v>
      </c>
      <c r="N20" s="10"/>
      <c r="O20" s="15" t="s">
        <v>52</v>
      </c>
      <c r="P20" s="10"/>
      <c r="Q20" s="26">
        <v>85</v>
      </c>
      <c r="R20" s="10" t="s">
        <v>8</v>
      </c>
      <c r="S20" s="10"/>
      <c r="T20" s="10"/>
      <c r="U20" s="10"/>
      <c r="V20" s="26">
        <v>85</v>
      </c>
      <c r="W20" s="16" t="s">
        <v>8</v>
      </c>
      <c r="AA20" s="14"/>
      <c r="AB20" s="10"/>
      <c r="AC20" s="26">
        <v>85</v>
      </c>
      <c r="AD20" s="10" t="s">
        <v>8</v>
      </c>
      <c r="AE20" s="10"/>
      <c r="AF20" s="10"/>
      <c r="AG20" s="10"/>
      <c r="AH20" s="26">
        <v>85</v>
      </c>
      <c r="AI20" s="10" t="s">
        <v>8</v>
      </c>
      <c r="AJ20" s="10"/>
      <c r="AK20" s="10"/>
      <c r="AL20" s="10"/>
      <c r="AM20" s="26">
        <v>85</v>
      </c>
      <c r="AN20" s="16" t="s">
        <v>8</v>
      </c>
    </row>
    <row r="21" spans="1:40" ht="15" x14ac:dyDescent="0.2">
      <c r="B21" s="138">
        <v>-254.53</v>
      </c>
      <c r="C21" s="17">
        <v>10</v>
      </c>
      <c r="D21" s="35">
        <f t="shared" si="1"/>
        <v>-254.53</v>
      </c>
      <c r="E21" s="39">
        <f t="shared" si="2"/>
        <v>-25.452999999999999</v>
      </c>
      <c r="F21" s="145">
        <f t="shared" si="3"/>
        <v>0.70000995848632352</v>
      </c>
      <c r="G21" s="147">
        <v>0.70000995848632352</v>
      </c>
      <c r="H21" s="5">
        <f t="shared" si="0"/>
        <v>0.70000995848632352</v>
      </c>
      <c r="I21" s="20"/>
      <c r="J21" s="45" t="s">
        <v>9</v>
      </c>
      <c r="K21" s="65" t="s">
        <v>16</v>
      </c>
      <c r="L21" s="31" t="s">
        <v>10</v>
      </c>
      <c r="M21" s="30" t="s">
        <v>11</v>
      </c>
      <c r="N21" s="10"/>
      <c r="O21" s="30" t="s">
        <v>9</v>
      </c>
      <c r="P21" s="65" t="s">
        <v>16</v>
      </c>
      <c r="Q21" s="31" t="s">
        <v>10</v>
      </c>
      <c r="R21" s="30" t="s">
        <v>11</v>
      </c>
      <c r="S21" s="10"/>
      <c r="T21" s="30" t="s">
        <v>9</v>
      </c>
      <c r="U21" s="65" t="s">
        <v>16</v>
      </c>
      <c r="V21" s="31" t="s">
        <v>10</v>
      </c>
      <c r="W21" s="46" t="s">
        <v>11</v>
      </c>
      <c r="AA21" s="45" t="s">
        <v>9</v>
      </c>
      <c r="AB21" s="65" t="s">
        <v>16</v>
      </c>
      <c r="AC21" s="31" t="s">
        <v>10</v>
      </c>
      <c r="AD21" s="30" t="s">
        <v>11</v>
      </c>
      <c r="AE21" s="10"/>
      <c r="AF21" s="30" t="s">
        <v>9</v>
      </c>
      <c r="AG21" s="65" t="s">
        <v>16</v>
      </c>
      <c r="AH21" s="31" t="s">
        <v>10</v>
      </c>
      <c r="AI21" s="30" t="s">
        <v>11</v>
      </c>
      <c r="AJ21" s="10"/>
      <c r="AK21" s="30" t="s">
        <v>9</v>
      </c>
      <c r="AL21" s="65" t="s">
        <v>16</v>
      </c>
      <c r="AM21" s="31" t="s">
        <v>10</v>
      </c>
      <c r="AN21" s="46" t="s">
        <v>11</v>
      </c>
    </row>
    <row r="22" spans="1:40" ht="15" x14ac:dyDescent="0.2">
      <c r="B22" s="138">
        <v>-509.05</v>
      </c>
      <c r="C22" s="17">
        <v>20</v>
      </c>
      <c r="D22" s="35">
        <f t="shared" si="1"/>
        <v>-509.05</v>
      </c>
      <c r="E22" s="39">
        <f t="shared" si="2"/>
        <v>-25.452500000000001</v>
      </c>
      <c r="F22" s="145">
        <f t="shared" si="3"/>
        <v>0.69999620745582647</v>
      </c>
      <c r="G22" s="147">
        <v>0.69999620745582647</v>
      </c>
      <c r="H22" s="5">
        <f t="shared" si="0"/>
        <v>0.69999620745582647</v>
      </c>
      <c r="I22" s="9"/>
      <c r="J22" s="47">
        <v>1</v>
      </c>
      <c r="K22" s="66"/>
      <c r="L22" s="63">
        <v>-26</v>
      </c>
      <c r="M22" s="5">
        <v>0.7</v>
      </c>
      <c r="N22" s="10"/>
      <c r="O22" s="34">
        <v>1</v>
      </c>
      <c r="P22" s="66"/>
      <c r="Q22" s="63">
        <v>-27.04</v>
      </c>
      <c r="R22" s="5">
        <v>0.7</v>
      </c>
      <c r="S22" s="10"/>
      <c r="T22" s="34">
        <v>1</v>
      </c>
      <c r="U22" s="66"/>
      <c r="V22" s="63">
        <v>-28.080000000000002</v>
      </c>
      <c r="W22" s="48">
        <v>0.7</v>
      </c>
      <c r="AA22" s="47">
        <v>1</v>
      </c>
      <c r="AB22" s="66"/>
      <c r="AC22" s="63">
        <v>26</v>
      </c>
      <c r="AD22" s="5">
        <v>0.7</v>
      </c>
      <c r="AE22" s="10"/>
      <c r="AF22" s="34">
        <v>1</v>
      </c>
      <c r="AG22" s="66"/>
      <c r="AH22" s="63">
        <v>27.04</v>
      </c>
      <c r="AI22" s="5">
        <v>0.7</v>
      </c>
      <c r="AJ22" s="10"/>
      <c r="AK22" s="34">
        <v>1</v>
      </c>
      <c r="AL22" s="66"/>
      <c r="AM22" s="63">
        <v>28.080000000000002</v>
      </c>
      <c r="AN22" s="48">
        <v>0.7</v>
      </c>
    </row>
    <row r="23" spans="1:40" ht="15" x14ac:dyDescent="0.2">
      <c r="B23" s="138">
        <v>-763.6</v>
      </c>
      <c r="C23" s="17">
        <v>30</v>
      </c>
      <c r="D23" s="35">
        <f t="shared" si="1"/>
        <v>-763.6</v>
      </c>
      <c r="E23" s="39">
        <f t="shared" si="2"/>
        <v>-25.453333333333333</v>
      </c>
      <c r="F23" s="145">
        <f t="shared" si="3"/>
        <v>0.70001912583998827</v>
      </c>
      <c r="G23" s="147">
        <v>0.70001912583998827</v>
      </c>
      <c r="H23" s="5">
        <f t="shared" si="0"/>
        <v>0.70001912583998827</v>
      </c>
      <c r="I23" s="9"/>
      <c r="J23" s="47">
        <v>2</v>
      </c>
      <c r="K23" s="67">
        <f>L23-L22</f>
        <v>-25</v>
      </c>
      <c r="L23" s="64">
        <v>-51</v>
      </c>
      <c r="M23" s="25">
        <v>0.7</v>
      </c>
      <c r="N23" s="10"/>
      <c r="O23" s="34">
        <v>2</v>
      </c>
      <c r="P23" s="67">
        <f>Q23-Q22</f>
        <v>-26</v>
      </c>
      <c r="Q23" s="64">
        <v>-53.04</v>
      </c>
      <c r="R23" s="25">
        <v>0.7</v>
      </c>
      <c r="S23" s="10"/>
      <c r="T23" s="34">
        <v>2</v>
      </c>
      <c r="U23" s="67">
        <f>V23-V22</f>
        <v>-27.000000000000004</v>
      </c>
      <c r="V23" s="64">
        <v>-55.080000000000005</v>
      </c>
      <c r="W23" s="49">
        <v>0.7</v>
      </c>
      <c r="AA23" s="47">
        <v>2</v>
      </c>
      <c r="AB23" s="67">
        <f>AC23-AC22</f>
        <v>25</v>
      </c>
      <c r="AC23" s="64">
        <v>51</v>
      </c>
      <c r="AD23" s="25">
        <v>0.7</v>
      </c>
      <c r="AE23" s="10"/>
      <c r="AF23" s="34">
        <v>2</v>
      </c>
      <c r="AG23" s="67">
        <f>AH23-AH22</f>
        <v>26</v>
      </c>
      <c r="AH23" s="64">
        <v>53.04</v>
      </c>
      <c r="AI23" s="25">
        <v>0.7</v>
      </c>
      <c r="AJ23" s="10"/>
      <c r="AK23" s="34">
        <v>2</v>
      </c>
      <c r="AL23" s="67">
        <f>AM23-AM22</f>
        <v>27.000000000000004</v>
      </c>
      <c r="AM23" s="64">
        <v>55.080000000000005</v>
      </c>
      <c r="AN23" s="49">
        <v>0.7</v>
      </c>
    </row>
    <row r="24" spans="1:40" ht="15" x14ac:dyDescent="0.2">
      <c r="B24" s="139">
        <v>-1018.1</v>
      </c>
      <c r="C24" s="36">
        <v>40</v>
      </c>
      <c r="D24" s="120">
        <f t="shared" si="1"/>
        <v>-1018.1</v>
      </c>
      <c r="E24" s="40">
        <f t="shared" si="2"/>
        <v>-25.452500000000001</v>
      </c>
      <c r="F24" s="146">
        <f t="shared" si="3"/>
        <v>0.69999620745582647</v>
      </c>
      <c r="G24" s="148">
        <v>0.69999620745582647</v>
      </c>
      <c r="H24" s="25">
        <f t="shared" si="0"/>
        <v>0.69999620745582647</v>
      </c>
      <c r="I24" s="9"/>
      <c r="J24" s="47">
        <v>3</v>
      </c>
      <c r="K24" s="67">
        <f t="shared" ref="K24:K31" si="4">L24-L23</f>
        <v>-25</v>
      </c>
      <c r="L24" s="63">
        <v>-76</v>
      </c>
      <c r="M24" s="5">
        <v>0.7</v>
      </c>
      <c r="N24" s="10"/>
      <c r="O24" s="34">
        <v>3</v>
      </c>
      <c r="P24" s="67">
        <f t="shared" ref="P24:P31" si="5">Q24-Q23</f>
        <v>-26.000000000000007</v>
      </c>
      <c r="Q24" s="63">
        <v>-79.040000000000006</v>
      </c>
      <c r="R24" s="5">
        <v>0.7</v>
      </c>
      <c r="S24" s="10"/>
      <c r="T24" s="34">
        <v>3</v>
      </c>
      <c r="U24" s="67">
        <f t="shared" ref="U24:U31" si="6">V24-V23</f>
        <v>-27.000000000000007</v>
      </c>
      <c r="V24" s="63">
        <v>-82.080000000000013</v>
      </c>
      <c r="W24" s="48">
        <v>0.7</v>
      </c>
      <c r="AA24" s="47">
        <v>3</v>
      </c>
      <c r="AB24" s="67">
        <f t="shared" ref="AB24:AB31" si="7">AC24-AC23</f>
        <v>25</v>
      </c>
      <c r="AC24" s="63">
        <v>76</v>
      </c>
      <c r="AD24" s="5">
        <v>0.7</v>
      </c>
      <c r="AE24" s="10"/>
      <c r="AF24" s="34">
        <v>3</v>
      </c>
      <c r="AG24" s="67">
        <f t="shared" ref="AG24:AG31" si="8">AH24-AH23</f>
        <v>26.000000000000007</v>
      </c>
      <c r="AH24" s="63">
        <v>79.040000000000006</v>
      </c>
      <c r="AI24" s="5">
        <v>0.7</v>
      </c>
      <c r="AJ24" s="10"/>
      <c r="AK24" s="34">
        <v>3</v>
      </c>
      <c r="AL24" s="67">
        <f t="shared" ref="AL24:AL31" si="9">AM24-AM23</f>
        <v>27.000000000000007</v>
      </c>
      <c r="AM24" s="63">
        <v>82.080000000000013</v>
      </c>
      <c r="AN24" s="48">
        <v>0.7</v>
      </c>
    </row>
    <row r="25" spans="1:40" ht="15" x14ac:dyDescent="0.2">
      <c r="B25" s="138">
        <v>-1272.6099999999999</v>
      </c>
      <c r="C25" s="17">
        <v>50</v>
      </c>
      <c r="D25" s="35">
        <f t="shared" si="1"/>
        <v>-1272.6099999999999</v>
      </c>
      <c r="E25" s="39">
        <f t="shared" si="2"/>
        <v>-25.452199999999998</v>
      </c>
      <c r="F25" s="145">
        <f t="shared" si="3"/>
        <v>0.69998795683752812</v>
      </c>
      <c r="G25" s="147">
        <v>0.69998795683752812</v>
      </c>
      <c r="H25" s="5">
        <f t="shared" si="0"/>
        <v>0.69998795683752812</v>
      </c>
      <c r="I25" s="9"/>
      <c r="J25" s="47">
        <v>4</v>
      </c>
      <c r="K25" s="67">
        <f t="shared" si="4"/>
        <v>-26</v>
      </c>
      <c r="L25" s="63">
        <v>-102</v>
      </c>
      <c r="M25" s="5">
        <v>0.7</v>
      </c>
      <c r="N25" s="10"/>
      <c r="O25" s="34">
        <v>4</v>
      </c>
      <c r="P25" s="67">
        <f t="shared" si="5"/>
        <v>-27.039999999999992</v>
      </c>
      <c r="Q25" s="63">
        <v>-106.08</v>
      </c>
      <c r="R25" s="5">
        <v>0.7</v>
      </c>
      <c r="S25" s="10"/>
      <c r="T25" s="34">
        <v>4</v>
      </c>
      <c r="U25" s="67">
        <f>V25-V24</f>
        <v>-28.08</v>
      </c>
      <c r="V25" s="63">
        <v>-110.16000000000001</v>
      </c>
      <c r="W25" s="48">
        <v>0.7</v>
      </c>
      <c r="AA25" s="47">
        <v>4</v>
      </c>
      <c r="AB25" s="67">
        <f t="shared" si="7"/>
        <v>26</v>
      </c>
      <c r="AC25" s="63">
        <v>102</v>
      </c>
      <c r="AD25" s="5">
        <v>0.7</v>
      </c>
      <c r="AE25" s="10"/>
      <c r="AF25" s="34">
        <v>4</v>
      </c>
      <c r="AG25" s="67">
        <f t="shared" si="8"/>
        <v>27.039999999999992</v>
      </c>
      <c r="AH25" s="63">
        <v>106.08</v>
      </c>
      <c r="AI25" s="5">
        <v>0.7</v>
      </c>
      <c r="AJ25" s="10"/>
      <c r="AK25" s="34">
        <v>4</v>
      </c>
      <c r="AL25" s="67">
        <f t="shared" si="9"/>
        <v>28.08</v>
      </c>
      <c r="AM25" s="63">
        <v>110.16000000000001</v>
      </c>
      <c r="AN25" s="48">
        <v>0.7</v>
      </c>
    </row>
    <row r="26" spans="1:40" x14ac:dyDescent="0.2">
      <c r="A26" s="132" t="s">
        <v>18</v>
      </c>
      <c r="B26" s="133">
        <f>B24/B21</f>
        <v>3.999921423800731</v>
      </c>
      <c r="C26" s="10"/>
      <c r="D26" s="43" t="s">
        <v>15</v>
      </c>
      <c r="E26" s="10"/>
      <c r="F26" s="10"/>
      <c r="G26" s="10"/>
      <c r="H26" s="43"/>
      <c r="I26" s="9"/>
      <c r="J26" s="47">
        <v>5</v>
      </c>
      <c r="K26" s="67">
        <f t="shared" si="4"/>
        <v>-25</v>
      </c>
      <c r="L26" s="64">
        <v>-127</v>
      </c>
      <c r="M26" s="25">
        <v>0.7</v>
      </c>
      <c r="N26" s="10"/>
      <c r="O26" s="34">
        <v>5</v>
      </c>
      <c r="P26" s="67">
        <f t="shared" si="5"/>
        <v>-26.000000000000014</v>
      </c>
      <c r="Q26" s="64">
        <v>-132.08000000000001</v>
      </c>
      <c r="R26" s="25">
        <v>0.7</v>
      </c>
      <c r="S26" s="10"/>
      <c r="T26" s="34">
        <v>5</v>
      </c>
      <c r="U26" s="67">
        <f t="shared" si="6"/>
        <v>-26.999999999999986</v>
      </c>
      <c r="V26" s="64">
        <v>-137.16</v>
      </c>
      <c r="W26" s="49">
        <v>0.7</v>
      </c>
      <c r="AA26" s="47">
        <v>5</v>
      </c>
      <c r="AB26" s="67">
        <f t="shared" si="7"/>
        <v>25</v>
      </c>
      <c r="AC26" s="64">
        <v>127</v>
      </c>
      <c r="AD26" s="25">
        <v>0.7</v>
      </c>
      <c r="AE26" s="10"/>
      <c r="AF26" s="34">
        <v>5</v>
      </c>
      <c r="AG26" s="67">
        <f t="shared" si="8"/>
        <v>26.000000000000014</v>
      </c>
      <c r="AH26" s="64">
        <v>132.08000000000001</v>
      </c>
      <c r="AI26" s="25">
        <v>0.7</v>
      </c>
      <c r="AJ26" s="10"/>
      <c r="AK26" s="34">
        <v>5</v>
      </c>
      <c r="AL26" s="67">
        <f t="shared" si="9"/>
        <v>26.999999999999986</v>
      </c>
      <c r="AM26" s="64">
        <v>137.16</v>
      </c>
      <c r="AN26" s="49">
        <v>0.7</v>
      </c>
    </row>
    <row r="27" spans="1:40" x14ac:dyDescent="0.2">
      <c r="C27" s="10"/>
      <c r="D27" s="43"/>
      <c r="E27" s="10"/>
      <c r="F27" s="10"/>
      <c r="G27" s="10"/>
      <c r="H27" s="43"/>
      <c r="I27" s="9"/>
      <c r="J27" s="47">
        <v>10</v>
      </c>
      <c r="K27" s="67">
        <f t="shared" si="4"/>
        <v>-128</v>
      </c>
      <c r="L27" s="63">
        <v>-255</v>
      </c>
      <c r="M27" s="5">
        <v>0.7</v>
      </c>
      <c r="N27" s="54"/>
      <c r="O27" s="34">
        <v>10</v>
      </c>
      <c r="P27" s="67">
        <f t="shared" si="5"/>
        <v>-133.11999999999998</v>
      </c>
      <c r="Q27" s="63">
        <v>-265.2</v>
      </c>
      <c r="R27" s="5">
        <v>0.7</v>
      </c>
      <c r="S27" s="10"/>
      <c r="T27" s="34">
        <v>10</v>
      </c>
      <c r="U27" s="67">
        <f t="shared" si="6"/>
        <v>-138.24000000000004</v>
      </c>
      <c r="V27" s="63">
        <v>-275.40000000000003</v>
      </c>
      <c r="W27" s="48">
        <v>0.7</v>
      </c>
      <c r="AA27" s="47">
        <v>10</v>
      </c>
      <c r="AB27" s="67">
        <f t="shared" si="7"/>
        <v>128</v>
      </c>
      <c r="AC27" s="63">
        <v>255</v>
      </c>
      <c r="AD27" s="5">
        <v>0.7</v>
      </c>
      <c r="AE27" s="54"/>
      <c r="AF27" s="34">
        <v>10</v>
      </c>
      <c r="AG27" s="67">
        <f t="shared" si="8"/>
        <v>133.11999999999998</v>
      </c>
      <c r="AH27" s="63">
        <v>265.2</v>
      </c>
      <c r="AI27" s="5">
        <v>0.7</v>
      </c>
      <c r="AJ27" s="10"/>
      <c r="AK27" s="34">
        <v>10</v>
      </c>
      <c r="AL27" s="67">
        <f t="shared" si="9"/>
        <v>138.24000000000004</v>
      </c>
      <c r="AM27" s="63">
        <v>275.40000000000003</v>
      </c>
      <c r="AN27" s="48">
        <v>0.7</v>
      </c>
    </row>
    <row r="28" spans="1:40" x14ac:dyDescent="0.2">
      <c r="F28" s="10"/>
      <c r="H28" s="43"/>
      <c r="I28" s="9"/>
      <c r="J28" s="47">
        <v>20</v>
      </c>
      <c r="K28" s="67">
        <f t="shared" si="4"/>
        <v>-254</v>
      </c>
      <c r="L28" s="63">
        <v>-509</v>
      </c>
      <c r="M28" s="5">
        <v>0.7</v>
      </c>
      <c r="N28" s="10"/>
      <c r="O28" s="34">
        <v>20</v>
      </c>
      <c r="P28" s="67">
        <f t="shared" si="5"/>
        <v>-264.16000000000003</v>
      </c>
      <c r="Q28" s="63">
        <v>-529.36</v>
      </c>
      <c r="R28" s="5">
        <v>0.7</v>
      </c>
      <c r="S28" s="10"/>
      <c r="T28" s="34">
        <v>20</v>
      </c>
      <c r="U28" s="67">
        <f t="shared" si="6"/>
        <v>-274.32</v>
      </c>
      <c r="V28" s="63">
        <v>-549.72</v>
      </c>
      <c r="W28" s="48">
        <v>0.7</v>
      </c>
      <c r="AA28" s="47">
        <v>20</v>
      </c>
      <c r="AB28" s="67">
        <f t="shared" si="7"/>
        <v>254</v>
      </c>
      <c r="AC28" s="63">
        <v>509</v>
      </c>
      <c r="AD28" s="5">
        <v>0.7</v>
      </c>
      <c r="AE28" s="10"/>
      <c r="AF28" s="34">
        <v>20</v>
      </c>
      <c r="AG28" s="67">
        <f t="shared" si="8"/>
        <v>264.16000000000003</v>
      </c>
      <c r="AH28" s="63">
        <v>529.36</v>
      </c>
      <c r="AI28" s="5">
        <v>0.7</v>
      </c>
      <c r="AJ28" s="10"/>
      <c r="AK28" s="34">
        <v>20</v>
      </c>
      <c r="AL28" s="67">
        <f t="shared" si="9"/>
        <v>274.32</v>
      </c>
      <c r="AM28" s="63">
        <v>549.72</v>
      </c>
      <c r="AN28" s="48">
        <v>0.7</v>
      </c>
    </row>
    <row r="29" spans="1:40" x14ac:dyDescent="0.2">
      <c r="F29" s="10"/>
      <c r="H29" s="43"/>
      <c r="I29" s="9"/>
      <c r="J29" s="47">
        <v>30</v>
      </c>
      <c r="K29" s="67">
        <f t="shared" si="4"/>
        <v>-255</v>
      </c>
      <c r="L29" s="63">
        <v>-764</v>
      </c>
      <c r="M29" s="5">
        <v>0.7</v>
      </c>
      <c r="N29" s="10"/>
      <c r="O29" s="34">
        <v>30</v>
      </c>
      <c r="P29" s="67">
        <f t="shared" si="5"/>
        <v>-265.20000000000005</v>
      </c>
      <c r="Q29" s="63">
        <v>-794.56000000000006</v>
      </c>
      <c r="R29" s="5">
        <v>0.7</v>
      </c>
      <c r="S29" s="10"/>
      <c r="T29" s="34">
        <v>30</v>
      </c>
      <c r="U29" s="67">
        <f t="shared" si="6"/>
        <v>-275.39999999999998</v>
      </c>
      <c r="V29" s="63">
        <v>-825.12</v>
      </c>
      <c r="W29" s="48">
        <v>0.7</v>
      </c>
      <c r="AA29" s="47">
        <v>30</v>
      </c>
      <c r="AB29" s="67">
        <f t="shared" si="7"/>
        <v>255</v>
      </c>
      <c r="AC29" s="63">
        <v>764</v>
      </c>
      <c r="AD29" s="5">
        <v>0.7</v>
      </c>
      <c r="AE29" s="10"/>
      <c r="AF29" s="34">
        <v>30</v>
      </c>
      <c r="AG29" s="67">
        <f t="shared" si="8"/>
        <v>265.20000000000005</v>
      </c>
      <c r="AH29" s="63">
        <v>794.56000000000006</v>
      </c>
      <c r="AI29" s="5">
        <v>0.7</v>
      </c>
      <c r="AJ29" s="10"/>
      <c r="AK29" s="34">
        <v>30</v>
      </c>
      <c r="AL29" s="67">
        <f t="shared" si="9"/>
        <v>275.39999999999998</v>
      </c>
      <c r="AM29" s="63">
        <v>825.12</v>
      </c>
      <c r="AN29" s="48">
        <v>0.7</v>
      </c>
    </row>
    <row r="30" spans="1:40" x14ac:dyDescent="0.2">
      <c r="J30" s="47">
        <v>40</v>
      </c>
      <c r="K30" s="67">
        <f t="shared" si="4"/>
        <v>-254</v>
      </c>
      <c r="L30" s="64">
        <v>-1018</v>
      </c>
      <c r="M30" s="25">
        <v>0.7</v>
      </c>
      <c r="N30" s="10"/>
      <c r="O30" s="34">
        <v>40</v>
      </c>
      <c r="P30" s="67">
        <f t="shared" si="5"/>
        <v>-264.15999999999997</v>
      </c>
      <c r="Q30" s="64">
        <v>-1058.72</v>
      </c>
      <c r="R30" s="25">
        <v>0.7</v>
      </c>
      <c r="S30" s="10"/>
      <c r="T30" s="34">
        <v>40</v>
      </c>
      <c r="U30" s="67">
        <f t="shared" si="6"/>
        <v>-274.32000000000005</v>
      </c>
      <c r="V30" s="64">
        <v>-1099.44</v>
      </c>
      <c r="W30" s="49">
        <v>0.7</v>
      </c>
      <c r="AA30" s="47">
        <v>40</v>
      </c>
      <c r="AB30" s="67">
        <f t="shared" si="7"/>
        <v>254</v>
      </c>
      <c r="AC30" s="64">
        <v>1018</v>
      </c>
      <c r="AD30" s="25">
        <v>0.7</v>
      </c>
      <c r="AE30" s="10"/>
      <c r="AF30" s="34">
        <v>40</v>
      </c>
      <c r="AG30" s="67">
        <f t="shared" si="8"/>
        <v>264.15999999999997</v>
      </c>
      <c r="AH30" s="64">
        <v>1058.72</v>
      </c>
      <c r="AI30" s="25">
        <v>0.7</v>
      </c>
      <c r="AJ30" s="10"/>
      <c r="AK30" s="34">
        <v>40</v>
      </c>
      <c r="AL30" s="67">
        <f t="shared" si="9"/>
        <v>274.32000000000005</v>
      </c>
      <c r="AM30" s="64">
        <v>1099.44</v>
      </c>
      <c r="AN30" s="49">
        <v>0.7</v>
      </c>
    </row>
    <row r="31" spans="1:40" x14ac:dyDescent="0.2">
      <c r="A31" s="134" t="s">
        <v>65</v>
      </c>
      <c r="B31" s="12"/>
      <c r="C31" s="12"/>
      <c r="D31" s="12"/>
      <c r="E31" s="12"/>
      <c r="F31" s="13"/>
      <c r="G31" s="102">
        <v>3.8660999999999999</v>
      </c>
      <c r="J31" s="47">
        <v>50</v>
      </c>
      <c r="K31" s="67">
        <f t="shared" si="4"/>
        <v>-254</v>
      </c>
      <c r="L31" s="63">
        <v>-1272</v>
      </c>
      <c r="M31" s="5">
        <v>0.7</v>
      </c>
      <c r="N31" s="10"/>
      <c r="O31" s="34">
        <v>50</v>
      </c>
      <c r="P31" s="67">
        <f t="shared" si="5"/>
        <v>-264.16000000000008</v>
      </c>
      <c r="Q31" s="63">
        <v>-1322.88</v>
      </c>
      <c r="R31" s="5">
        <v>0.7</v>
      </c>
      <c r="S31" s="10"/>
      <c r="T31" s="34">
        <v>50</v>
      </c>
      <c r="U31" s="67">
        <f t="shared" si="6"/>
        <v>-274.31999999999994</v>
      </c>
      <c r="V31" s="63">
        <v>-1373.76</v>
      </c>
      <c r="W31" s="48">
        <v>0.7</v>
      </c>
      <c r="AA31" s="47">
        <v>50</v>
      </c>
      <c r="AB31" s="67">
        <f t="shared" si="7"/>
        <v>254</v>
      </c>
      <c r="AC31" s="63">
        <v>1272</v>
      </c>
      <c r="AD31" s="5">
        <v>0.7</v>
      </c>
      <c r="AE31" s="10"/>
      <c r="AF31" s="34">
        <v>50</v>
      </c>
      <c r="AG31" s="67">
        <f t="shared" si="8"/>
        <v>264.16000000000008</v>
      </c>
      <c r="AH31" s="63">
        <v>1322.88</v>
      </c>
      <c r="AI31" s="5">
        <v>0.7</v>
      </c>
      <c r="AJ31" s="10"/>
      <c r="AK31" s="34">
        <v>50</v>
      </c>
      <c r="AL31" s="67">
        <f t="shared" si="9"/>
        <v>274.31999999999994</v>
      </c>
      <c r="AM31" s="63">
        <v>1373.76</v>
      </c>
      <c r="AN31" s="48">
        <v>0.7</v>
      </c>
    </row>
    <row r="32" spans="1:40" x14ac:dyDescent="0.2">
      <c r="A32" s="14"/>
      <c r="B32" s="10"/>
      <c r="C32" s="10"/>
      <c r="D32" s="10"/>
      <c r="E32" s="10"/>
      <c r="F32" s="16"/>
      <c r="G32" s="102">
        <v>-5.0544000000000002</v>
      </c>
      <c r="J32" s="58" t="s">
        <v>18</v>
      </c>
      <c r="K32" s="59">
        <f>L30/L27</f>
        <v>3.9921568627450981</v>
      </c>
      <c r="L32" s="35"/>
      <c r="M32" s="5"/>
      <c r="N32" s="10"/>
      <c r="O32" s="60" t="s">
        <v>18</v>
      </c>
      <c r="P32" s="59">
        <f>Q30/Q27</f>
        <v>3.9921568627450985</v>
      </c>
      <c r="Q32" s="35"/>
      <c r="R32" s="5"/>
      <c r="S32" s="10"/>
      <c r="T32" s="60" t="s">
        <v>18</v>
      </c>
      <c r="U32" s="59">
        <f>V30/V27</f>
        <v>3.9921568627450976</v>
      </c>
      <c r="V32" s="35"/>
      <c r="W32" s="48"/>
      <c r="AA32" s="58" t="s">
        <v>18</v>
      </c>
      <c r="AB32" s="59">
        <f>AC30/AC27</f>
        <v>3.9921568627450981</v>
      </c>
      <c r="AC32" s="35"/>
      <c r="AD32" s="5"/>
      <c r="AE32" s="10"/>
      <c r="AF32" s="60" t="s">
        <v>18</v>
      </c>
      <c r="AG32" s="59">
        <f>AH30/AH27</f>
        <v>3.9921568627450985</v>
      </c>
      <c r="AH32" s="35"/>
      <c r="AI32" s="5"/>
      <c r="AJ32" s="10"/>
      <c r="AK32" s="58" t="s">
        <v>18</v>
      </c>
      <c r="AL32" s="59">
        <f>AM30/AM27</f>
        <v>3.9921568627450976</v>
      </c>
      <c r="AM32" s="35"/>
      <c r="AN32" s="48"/>
    </row>
    <row r="33" spans="1:40" x14ac:dyDescent="0.2">
      <c r="A33" s="14"/>
      <c r="B33" s="19" t="s">
        <v>2</v>
      </c>
      <c r="C33" s="19" t="s">
        <v>3</v>
      </c>
      <c r="D33" s="19" t="s">
        <v>4</v>
      </c>
      <c r="E33" s="121" t="s">
        <v>58</v>
      </c>
      <c r="F33" s="16"/>
      <c r="G33" s="149" t="s">
        <v>69</v>
      </c>
      <c r="J33" s="14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6"/>
      <c r="AA33" s="14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6"/>
    </row>
    <row r="34" spans="1:40" x14ac:dyDescent="0.2">
      <c r="A34" s="14"/>
      <c r="B34" s="5">
        <v>2.4500000000000002</v>
      </c>
      <c r="C34" s="6">
        <v>4.47</v>
      </c>
      <c r="D34" s="6">
        <v>6</v>
      </c>
      <c r="E34" s="122">
        <v>1</v>
      </c>
      <c r="F34" s="16"/>
      <c r="G34" s="150">
        <f>(G$31*B34)+G$32</f>
        <v>4.4175449999999996</v>
      </c>
      <c r="J34" s="14"/>
      <c r="K34" s="10"/>
      <c r="L34" s="26">
        <v>2.6</v>
      </c>
      <c r="M34" s="10" t="s">
        <v>0</v>
      </c>
      <c r="N34" s="10"/>
      <c r="O34" s="10"/>
      <c r="P34" s="10"/>
      <c r="Q34" s="26">
        <v>2.65</v>
      </c>
      <c r="R34" s="10" t="s">
        <v>0</v>
      </c>
      <c r="S34" s="10"/>
      <c r="T34" s="10"/>
      <c r="U34" s="10"/>
      <c r="V34" s="26">
        <v>2.7</v>
      </c>
      <c r="W34" s="16" t="s">
        <v>0</v>
      </c>
      <c r="AA34" s="14"/>
      <c r="AB34" s="10"/>
      <c r="AC34" s="26">
        <v>2.6</v>
      </c>
      <c r="AD34" s="10" t="s">
        <v>0</v>
      </c>
      <c r="AE34" s="10"/>
      <c r="AF34" s="10"/>
      <c r="AG34" s="10"/>
      <c r="AH34" s="26">
        <v>2.65</v>
      </c>
      <c r="AI34" s="10" t="s">
        <v>0</v>
      </c>
      <c r="AJ34" s="10"/>
      <c r="AK34" s="10"/>
      <c r="AL34" s="10"/>
      <c r="AM34" s="26">
        <v>2.7</v>
      </c>
      <c r="AN34" s="16" t="s">
        <v>0</v>
      </c>
    </row>
    <row r="35" spans="1:40" x14ac:dyDescent="0.2">
      <c r="A35" s="14"/>
      <c r="B35" s="5">
        <v>2.5000680331013507</v>
      </c>
      <c r="C35" s="6">
        <v>4.6500000000000004</v>
      </c>
      <c r="D35" s="6">
        <v>6</v>
      </c>
      <c r="E35" s="122">
        <v>1.04</v>
      </c>
      <c r="F35" s="16"/>
      <c r="G35" s="150">
        <f t="shared" ref="G35:G47" si="10">(G$31*B35)+G$32</f>
        <v>4.6111130227731314</v>
      </c>
      <c r="J35" s="14"/>
      <c r="K35" s="10"/>
      <c r="L35" s="42">
        <v>5</v>
      </c>
      <c r="M35" s="10" t="s">
        <v>1</v>
      </c>
      <c r="N35" s="10"/>
      <c r="O35" s="10"/>
      <c r="P35" s="10"/>
      <c r="Q35" s="26">
        <v>5.18</v>
      </c>
      <c r="R35" s="10" t="s">
        <v>1</v>
      </c>
      <c r="S35" s="10"/>
      <c r="T35" s="10"/>
      <c r="U35" s="10"/>
      <c r="V35" s="26">
        <v>5.36</v>
      </c>
      <c r="W35" s="16" t="s">
        <v>1</v>
      </c>
      <c r="AA35" s="14"/>
      <c r="AB35" s="10"/>
      <c r="AC35" s="42">
        <v>5</v>
      </c>
      <c r="AD35" s="10" t="s">
        <v>1</v>
      </c>
      <c r="AE35" s="10"/>
      <c r="AF35" s="10"/>
      <c r="AG35" s="10"/>
      <c r="AH35" s="26">
        <v>5.18</v>
      </c>
      <c r="AI35" s="10" t="s">
        <v>1</v>
      </c>
      <c r="AJ35" s="10"/>
      <c r="AK35" s="10"/>
      <c r="AL35" s="10"/>
      <c r="AM35" s="26">
        <v>5.36</v>
      </c>
      <c r="AN35" s="16" t="s">
        <v>1</v>
      </c>
    </row>
    <row r="36" spans="1:40" x14ac:dyDescent="0.2">
      <c r="A36" s="14"/>
      <c r="B36" s="5">
        <v>2.5501786911101423</v>
      </c>
      <c r="C36" s="6">
        <v>4.82</v>
      </c>
      <c r="D36" s="6">
        <v>6</v>
      </c>
      <c r="E36" s="122">
        <v>1.08</v>
      </c>
      <c r="F36" s="16"/>
      <c r="G36" s="150">
        <f t="shared" si="10"/>
        <v>4.8048458377009213</v>
      </c>
      <c r="J36" s="14"/>
      <c r="K36" s="10"/>
      <c r="L36" s="26">
        <v>85</v>
      </c>
      <c r="M36" s="10" t="s">
        <v>8</v>
      </c>
      <c r="N36" s="10"/>
      <c r="O36" s="10"/>
      <c r="P36" s="10"/>
      <c r="Q36" s="26">
        <v>85</v>
      </c>
      <c r="R36" s="10" t="s">
        <v>8</v>
      </c>
      <c r="S36" s="10"/>
      <c r="T36" s="10"/>
      <c r="U36" s="10"/>
      <c r="V36" s="26">
        <v>85</v>
      </c>
      <c r="W36" s="16" t="s">
        <v>8</v>
      </c>
      <c r="AA36" s="14"/>
      <c r="AB36" s="10"/>
      <c r="AC36" s="26">
        <v>85</v>
      </c>
      <c r="AD36" s="10" t="s">
        <v>8</v>
      </c>
      <c r="AE36" s="10"/>
      <c r="AF36" s="10"/>
      <c r="AG36" s="10"/>
      <c r="AH36" s="26">
        <v>85</v>
      </c>
      <c r="AI36" s="10" t="s">
        <v>8</v>
      </c>
      <c r="AJ36" s="10"/>
      <c r="AK36" s="10"/>
      <c r="AL36" s="10"/>
      <c r="AM36" s="26">
        <v>85</v>
      </c>
      <c r="AN36" s="16" t="s">
        <v>8</v>
      </c>
    </row>
    <row r="37" spans="1:40" x14ac:dyDescent="0.2">
      <c r="A37" s="14"/>
      <c r="B37" s="5">
        <v>2.6</v>
      </c>
      <c r="C37" s="6">
        <v>5</v>
      </c>
      <c r="D37" s="6">
        <v>6</v>
      </c>
      <c r="E37" s="122">
        <v>1.1220000000000001</v>
      </c>
      <c r="F37" s="16"/>
      <c r="G37" s="150">
        <f t="shared" si="10"/>
        <v>4.9974599999999993</v>
      </c>
      <c r="J37" s="45" t="s">
        <v>9</v>
      </c>
      <c r="K37" s="65" t="s">
        <v>16</v>
      </c>
      <c r="L37" s="31" t="s">
        <v>10</v>
      </c>
      <c r="M37" s="30" t="s">
        <v>11</v>
      </c>
      <c r="N37" s="10"/>
      <c r="O37" s="30" t="s">
        <v>9</v>
      </c>
      <c r="P37" s="65" t="s">
        <v>16</v>
      </c>
      <c r="Q37" s="31" t="s">
        <v>10</v>
      </c>
      <c r="R37" s="30" t="s">
        <v>11</v>
      </c>
      <c r="S37" s="10"/>
      <c r="T37" s="30" t="s">
        <v>9</v>
      </c>
      <c r="U37" s="65" t="s">
        <v>16</v>
      </c>
      <c r="V37" s="31" t="s">
        <v>10</v>
      </c>
      <c r="W37" s="46" t="s">
        <v>11</v>
      </c>
      <c r="AA37" s="45" t="s">
        <v>9</v>
      </c>
      <c r="AB37" s="65" t="s">
        <v>16</v>
      </c>
      <c r="AC37" s="31" t="s">
        <v>10</v>
      </c>
      <c r="AD37" s="30" t="s">
        <v>11</v>
      </c>
      <c r="AE37" s="10"/>
      <c r="AF37" s="30" t="s">
        <v>9</v>
      </c>
      <c r="AG37" s="65" t="s">
        <v>16</v>
      </c>
      <c r="AH37" s="31" t="s">
        <v>10</v>
      </c>
      <c r="AI37" s="30" t="s">
        <v>11</v>
      </c>
      <c r="AJ37" s="10"/>
      <c r="AK37" s="30" t="s">
        <v>9</v>
      </c>
      <c r="AL37" s="65" t="s">
        <v>16</v>
      </c>
      <c r="AM37" s="31" t="s">
        <v>10</v>
      </c>
      <c r="AN37" s="46" t="s">
        <v>11</v>
      </c>
    </row>
    <row r="38" spans="1:40" x14ac:dyDescent="0.2">
      <c r="A38" s="14"/>
      <c r="B38" s="5">
        <v>2.6496440938966015</v>
      </c>
      <c r="C38" s="6">
        <v>5.18</v>
      </c>
      <c r="D38" s="6">
        <v>6</v>
      </c>
      <c r="E38" s="122">
        <v>1.1639999999999999</v>
      </c>
      <c r="F38" s="16"/>
      <c r="G38" s="150">
        <f t="shared" si="10"/>
        <v>5.1893890314136497</v>
      </c>
      <c r="J38" s="47">
        <v>1</v>
      </c>
      <c r="K38" s="66"/>
      <c r="L38" s="63">
        <v>-29.172000000000004</v>
      </c>
      <c r="M38" s="5">
        <v>0.7</v>
      </c>
      <c r="N38" s="10"/>
      <c r="O38" s="34">
        <v>1</v>
      </c>
      <c r="P38" s="66"/>
      <c r="Q38" s="63">
        <v>-30.263999999999999</v>
      </c>
      <c r="R38" s="5">
        <v>0.7</v>
      </c>
      <c r="S38" s="10"/>
      <c r="T38" s="34">
        <v>1</v>
      </c>
      <c r="U38" s="66"/>
      <c r="V38" s="63">
        <v>-31.382000000000001</v>
      </c>
      <c r="W38" s="48">
        <v>0.7</v>
      </c>
      <c r="AA38" s="47">
        <v>1</v>
      </c>
      <c r="AB38" s="66"/>
      <c r="AC38" s="63">
        <v>29.172000000000004</v>
      </c>
      <c r="AD38" s="5">
        <v>0.7</v>
      </c>
      <c r="AE38" s="10"/>
      <c r="AF38" s="34">
        <v>1</v>
      </c>
      <c r="AG38" s="66"/>
      <c r="AH38" s="63">
        <v>30.263999999999999</v>
      </c>
      <c r="AI38" s="5">
        <v>0.7</v>
      </c>
      <c r="AJ38" s="10"/>
      <c r="AK38" s="34">
        <v>1</v>
      </c>
      <c r="AL38" s="66"/>
      <c r="AM38" s="63">
        <v>31.382000000000001</v>
      </c>
      <c r="AN38" s="48">
        <v>0.7</v>
      </c>
    </row>
    <row r="39" spans="1:40" x14ac:dyDescent="0.2">
      <c r="A39" s="14"/>
      <c r="B39" s="5">
        <v>2.6995106480969238</v>
      </c>
      <c r="C39" s="6">
        <v>5.36</v>
      </c>
      <c r="D39" s="6">
        <v>6</v>
      </c>
      <c r="E39" s="122">
        <v>1.2070000000000001</v>
      </c>
      <c r="F39" s="16"/>
      <c r="G39" s="150">
        <f t="shared" si="10"/>
        <v>5.3821781166075171</v>
      </c>
      <c r="J39" s="47">
        <v>2</v>
      </c>
      <c r="K39" s="67">
        <f>L39-L38</f>
        <v>-28.050000000000004</v>
      </c>
      <c r="L39" s="64">
        <v>-57.222000000000008</v>
      </c>
      <c r="M39" s="25">
        <v>0.7</v>
      </c>
      <c r="N39" s="10"/>
      <c r="O39" s="34">
        <v>2</v>
      </c>
      <c r="P39" s="67">
        <f>Q39-Q38</f>
        <v>-29.099999999999998</v>
      </c>
      <c r="Q39" s="64">
        <v>-59.363999999999997</v>
      </c>
      <c r="R39" s="25">
        <v>0.7</v>
      </c>
      <c r="S39" s="10"/>
      <c r="T39" s="34">
        <v>2</v>
      </c>
      <c r="U39" s="67">
        <f>V39-V38</f>
        <v>-30.175000000000001</v>
      </c>
      <c r="V39" s="64">
        <v>-61.557000000000002</v>
      </c>
      <c r="W39" s="49">
        <v>0.7</v>
      </c>
      <c r="AA39" s="47">
        <v>2</v>
      </c>
      <c r="AB39" s="67">
        <f>AC39-AC38</f>
        <v>28.050000000000004</v>
      </c>
      <c r="AC39" s="64">
        <v>57.222000000000008</v>
      </c>
      <c r="AD39" s="25">
        <v>0.7</v>
      </c>
      <c r="AE39" s="10"/>
      <c r="AF39" s="34">
        <v>2</v>
      </c>
      <c r="AG39" s="67">
        <f>AH39-AH38</f>
        <v>29.099999999999998</v>
      </c>
      <c r="AH39" s="64">
        <v>59.363999999999997</v>
      </c>
      <c r="AI39" s="25">
        <v>0.7</v>
      </c>
      <c r="AJ39" s="10"/>
      <c r="AK39" s="34">
        <v>2</v>
      </c>
      <c r="AL39" s="67">
        <f>AM39-AM38</f>
        <v>30.175000000000001</v>
      </c>
      <c r="AM39" s="64">
        <v>61.557000000000002</v>
      </c>
      <c r="AN39" s="49">
        <v>0.7</v>
      </c>
    </row>
    <row r="40" spans="1:40" x14ac:dyDescent="0.2">
      <c r="A40" s="14"/>
      <c r="B40" s="5">
        <v>2.75031284808647</v>
      </c>
      <c r="C40" s="6">
        <v>5.55</v>
      </c>
      <c r="D40" s="6">
        <v>6</v>
      </c>
      <c r="E40" s="122">
        <v>1.2509999999999999</v>
      </c>
      <c r="F40" s="16"/>
      <c r="G40" s="150">
        <f t="shared" si="10"/>
        <v>5.578584501987101</v>
      </c>
      <c r="J40" s="47">
        <v>3</v>
      </c>
      <c r="K40" s="67">
        <f t="shared" ref="K40:K47" si="11">L40-L39</f>
        <v>-28.049999999999997</v>
      </c>
      <c r="L40" s="63">
        <v>-85.272000000000006</v>
      </c>
      <c r="M40" s="5">
        <v>0.7</v>
      </c>
      <c r="N40" s="10"/>
      <c r="O40" s="34">
        <v>3</v>
      </c>
      <c r="P40" s="67">
        <f t="shared" ref="P40:P47" si="12">Q40-Q39</f>
        <v>-29.1</v>
      </c>
      <c r="Q40" s="63">
        <v>-88.463999999999999</v>
      </c>
      <c r="R40" s="5">
        <v>0.7</v>
      </c>
      <c r="S40" s="10"/>
      <c r="T40" s="34">
        <v>3</v>
      </c>
      <c r="U40" s="67">
        <f t="shared" ref="U40:U47" si="13">V40-V39</f>
        <v>-30.174999999999997</v>
      </c>
      <c r="V40" s="63">
        <v>-91.731999999999999</v>
      </c>
      <c r="W40" s="48">
        <v>0.7</v>
      </c>
      <c r="AA40" s="47">
        <v>3</v>
      </c>
      <c r="AB40" s="67">
        <f t="shared" ref="AB40:AB47" si="14">AC40-AC39</f>
        <v>28.049999999999997</v>
      </c>
      <c r="AC40" s="63">
        <v>85.272000000000006</v>
      </c>
      <c r="AD40" s="5">
        <v>0.7</v>
      </c>
      <c r="AE40" s="10"/>
      <c r="AF40" s="34">
        <v>3</v>
      </c>
      <c r="AG40" s="67">
        <f t="shared" ref="AG40:AG47" si="15">AH40-AH39</f>
        <v>29.1</v>
      </c>
      <c r="AH40" s="63">
        <v>88.463999999999999</v>
      </c>
      <c r="AI40" s="5">
        <v>0.7</v>
      </c>
      <c r="AJ40" s="10"/>
      <c r="AK40" s="34">
        <v>3</v>
      </c>
      <c r="AL40" s="67">
        <f t="shared" ref="AL40:AL47" si="16">AM40-AM39</f>
        <v>30.174999999999997</v>
      </c>
      <c r="AM40" s="63">
        <v>91.731999999999999</v>
      </c>
      <c r="AN40" s="48">
        <v>0.7</v>
      </c>
    </row>
    <row r="41" spans="1:40" x14ac:dyDescent="0.2">
      <c r="A41" s="135"/>
      <c r="B41" s="5">
        <v>2.8004419881581071</v>
      </c>
      <c r="C41" s="6">
        <v>5.74</v>
      </c>
      <c r="D41" s="6">
        <v>6</v>
      </c>
      <c r="E41" s="122">
        <v>1.2949999999999999</v>
      </c>
      <c r="F41" s="16"/>
      <c r="G41" s="150">
        <f t="shared" si="10"/>
        <v>5.7723887704180568</v>
      </c>
      <c r="J41" s="47">
        <v>4</v>
      </c>
      <c r="K41" s="67">
        <f t="shared" si="11"/>
        <v>-29.172000000000011</v>
      </c>
      <c r="L41" s="63">
        <v>-114.44400000000002</v>
      </c>
      <c r="M41" s="5">
        <v>0.7</v>
      </c>
      <c r="N41" s="10"/>
      <c r="O41" s="34">
        <v>4</v>
      </c>
      <c r="P41" s="67">
        <f t="shared" si="12"/>
        <v>-30.263999999999996</v>
      </c>
      <c r="Q41" s="63">
        <v>-118.72799999999999</v>
      </c>
      <c r="R41" s="5">
        <v>0.7</v>
      </c>
      <c r="S41" s="10"/>
      <c r="T41" s="34">
        <v>4</v>
      </c>
      <c r="U41" s="67">
        <f t="shared" si="13"/>
        <v>-31.382000000000005</v>
      </c>
      <c r="V41" s="63">
        <v>-123.114</v>
      </c>
      <c r="W41" s="48">
        <v>0.7</v>
      </c>
      <c r="AA41" s="47">
        <v>4</v>
      </c>
      <c r="AB41" s="67">
        <f t="shared" si="14"/>
        <v>29.172000000000011</v>
      </c>
      <c r="AC41" s="63">
        <v>114.44400000000002</v>
      </c>
      <c r="AD41" s="5">
        <v>0.7</v>
      </c>
      <c r="AE41" s="10"/>
      <c r="AF41" s="34">
        <v>4</v>
      </c>
      <c r="AG41" s="67">
        <f t="shared" si="15"/>
        <v>30.263999999999996</v>
      </c>
      <c r="AH41" s="63">
        <v>118.72799999999999</v>
      </c>
      <c r="AI41" s="5">
        <v>0.7</v>
      </c>
      <c r="AJ41" s="10"/>
      <c r="AK41" s="34">
        <v>4</v>
      </c>
      <c r="AL41" s="67">
        <f t="shared" si="16"/>
        <v>31.382000000000005</v>
      </c>
      <c r="AM41" s="63">
        <v>123.114</v>
      </c>
      <c r="AN41" s="48">
        <v>0.7</v>
      </c>
    </row>
    <row r="42" spans="1:40" x14ac:dyDescent="0.2">
      <c r="A42" s="14"/>
      <c r="B42" s="5">
        <v>2.8498977493736195</v>
      </c>
      <c r="C42" s="6">
        <v>5.93</v>
      </c>
      <c r="D42" s="6">
        <v>6</v>
      </c>
      <c r="E42" s="122">
        <v>1.34</v>
      </c>
      <c r="F42" s="16"/>
      <c r="G42" s="150">
        <f t="shared" si="10"/>
        <v>5.9635896888533493</v>
      </c>
      <c r="J42" s="47">
        <v>5</v>
      </c>
      <c r="K42" s="67">
        <f t="shared" si="11"/>
        <v>-28.049999999999983</v>
      </c>
      <c r="L42" s="64">
        <v>-142.494</v>
      </c>
      <c r="M42" s="25">
        <v>0.7</v>
      </c>
      <c r="N42" s="10"/>
      <c r="O42" s="34">
        <v>5</v>
      </c>
      <c r="P42" s="67">
        <f t="shared" si="12"/>
        <v>-29.100000000000009</v>
      </c>
      <c r="Q42" s="64">
        <v>-147.828</v>
      </c>
      <c r="R42" s="25">
        <v>0.7</v>
      </c>
      <c r="S42" s="10"/>
      <c r="T42" s="34">
        <v>5</v>
      </c>
      <c r="U42" s="67">
        <f t="shared" si="13"/>
        <v>-30.175000000000011</v>
      </c>
      <c r="V42" s="64">
        <v>-153.28900000000002</v>
      </c>
      <c r="W42" s="49">
        <v>0.7</v>
      </c>
      <c r="AA42" s="47">
        <v>5</v>
      </c>
      <c r="AB42" s="67">
        <f t="shared" si="14"/>
        <v>28.049999999999983</v>
      </c>
      <c r="AC42" s="64">
        <v>142.494</v>
      </c>
      <c r="AD42" s="25">
        <v>0.7</v>
      </c>
      <c r="AE42" s="10"/>
      <c r="AF42" s="34">
        <v>5</v>
      </c>
      <c r="AG42" s="67">
        <f t="shared" si="15"/>
        <v>29.100000000000009</v>
      </c>
      <c r="AH42" s="64">
        <v>147.828</v>
      </c>
      <c r="AI42" s="25">
        <v>0.7</v>
      </c>
      <c r="AJ42" s="10"/>
      <c r="AK42" s="34">
        <v>5</v>
      </c>
      <c r="AL42" s="67">
        <f t="shared" si="16"/>
        <v>30.175000000000011</v>
      </c>
      <c r="AM42" s="64">
        <v>153.28900000000002</v>
      </c>
      <c r="AN42" s="49">
        <v>0.7</v>
      </c>
    </row>
    <row r="43" spans="1:40" x14ac:dyDescent="0.2">
      <c r="A43" s="14"/>
      <c r="B43" s="5">
        <v>2.9001312541402999</v>
      </c>
      <c r="C43" s="6">
        <v>6.12</v>
      </c>
      <c r="D43" s="6">
        <v>6</v>
      </c>
      <c r="E43" s="122">
        <v>1.385</v>
      </c>
      <c r="F43" s="16"/>
      <c r="G43" s="150">
        <f t="shared" si="10"/>
        <v>6.1577974416318133</v>
      </c>
      <c r="J43" s="47">
        <v>10</v>
      </c>
      <c r="K43" s="67">
        <f t="shared" si="11"/>
        <v>-143.61600000000001</v>
      </c>
      <c r="L43" s="63">
        <v>-286.11</v>
      </c>
      <c r="M43" s="5">
        <v>0.7</v>
      </c>
      <c r="N43" s="10"/>
      <c r="O43" s="34">
        <v>10</v>
      </c>
      <c r="P43" s="67">
        <f t="shared" si="12"/>
        <v>-148.99199999999999</v>
      </c>
      <c r="Q43" s="63">
        <v>-296.82</v>
      </c>
      <c r="R43" s="5">
        <v>0.7</v>
      </c>
      <c r="S43" s="10"/>
      <c r="T43" s="34">
        <v>10</v>
      </c>
      <c r="U43" s="67">
        <f t="shared" si="13"/>
        <v>-154.49600000000001</v>
      </c>
      <c r="V43" s="63">
        <v>-307.78500000000003</v>
      </c>
      <c r="W43" s="48">
        <v>0.7</v>
      </c>
      <c r="AA43" s="47">
        <v>10</v>
      </c>
      <c r="AB43" s="67">
        <f t="shared" si="14"/>
        <v>143.61600000000001</v>
      </c>
      <c r="AC43" s="63">
        <v>286.11</v>
      </c>
      <c r="AD43" s="5">
        <v>0.7</v>
      </c>
      <c r="AE43" s="10"/>
      <c r="AF43" s="34">
        <v>10</v>
      </c>
      <c r="AG43" s="67">
        <f t="shared" si="15"/>
        <v>148.99199999999999</v>
      </c>
      <c r="AH43" s="63">
        <v>296.82</v>
      </c>
      <c r="AI43" s="5">
        <v>0.7</v>
      </c>
      <c r="AJ43" s="10"/>
      <c r="AK43" s="34">
        <v>10</v>
      </c>
      <c r="AL43" s="67">
        <f t="shared" si="16"/>
        <v>154.49600000000001</v>
      </c>
      <c r="AM43" s="63">
        <v>307.78500000000003</v>
      </c>
      <c r="AN43" s="48">
        <v>0.7</v>
      </c>
    </row>
    <row r="44" spans="1:40" x14ac:dyDescent="0.2">
      <c r="A44" s="14"/>
      <c r="B44" s="5">
        <v>3</v>
      </c>
      <c r="C44" s="6">
        <v>6.52</v>
      </c>
      <c r="D44" s="6">
        <v>6</v>
      </c>
      <c r="E44" s="122">
        <v>1.4790000000000001</v>
      </c>
      <c r="F44" s="16"/>
      <c r="G44" s="150">
        <f t="shared" si="10"/>
        <v>6.5438999999999998</v>
      </c>
      <c r="J44" s="47">
        <v>20</v>
      </c>
      <c r="K44" s="67">
        <f t="shared" si="11"/>
        <v>-284.98800000000006</v>
      </c>
      <c r="L44" s="63">
        <v>-571.09800000000007</v>
      </c>
      <c r="M44" s="5">
        <v>0.7</v>
      </c>
      <c r="N44" s="10"/>
      <c r="O44" s="34">
        <v>20</v>
      </c>
      <c r="P44" s="67">
        <f t="shared" si="12"/>
        <v>-295.65600000000001</v>
      </c>
      <c r="Q44" s="63">
        <v>-592.476</v>
      </c>
      <c r="R44" s="5">
        <v>0.7</v>
      </c>
      <c r="S44" s="10"/>
      <c r="T44" s="34">
        <v>20</v>
      </c>
      <c r="U44" s="67">
        <f t="shared" si="13"/>
        <v>-306.57800000000003</v>
      </c>
      <c r="V44" s="63">
        <v>-614.36300000000006</v>
      </c>
      <c r="W44" s="48">
        <v>0.7</v>
      </c>
      <c r="AA44" s="47">
        <v>20</v>
      </c>
      <c r="AB44" s="67">
        <f t="shared" si="14"/>
        <v>284.98800000000006</v>
      </c>
      <c r="AC44" s="63">
        <v>571.09800000000007</v>
      </c>
      <c r="AD44" s="5">
        <v>0.7</v>
      </c>
      <c r="AE44" s="10"/>
      <c r="AF44" s="34">
        <v>20</v>
      </c>
      <c r="AG44" s="67">
        <f t="shared" si="15"/>
        <v>295.65600000000001</v>
      </c>
      <c r="AH44" s="63">
        <v>592.476</v>
      </c>
      <c r="AI44" s="5">
        <v>0.7</v>
      </c>
      <c r="AJ44" s="10"/>
      <c r="AK44" s="34">
        <v>20</v>
      </c>
      <c r="AL44" s="67">
        <f t="shared" si="16"/>
        <v>306.57800000000003</v>
      </c>
      <c r="AM44" s="63">
        <v>614.36300000000006</v>
      </c>
      <c r="AN44" s="48">
        <v>0.7</v>
      </c>
    </row>
    <row r="45" spans="1:40" x14ac:dyDescent="0.2">
      <c r="A45" s="14"/>
      <c r="B45" s="5">
        <v>3.1</v>
      </c>
      <c r="C45" s="6">
        <v>6.92</v>
      </c>
      <c r="D45" s="6">
        <v>6</v>
      </c>
      <c r="E45" s="122">
        <v>1.575</v>
      </c>
      <c r="F45" s="16"/>
      <c r="G45" s="150">
        <f t="shared" si="10"/>
        <v>6.9305099999999991</v>
      </c>
      <c r="J45" s="47">
        <v>30</v>
      </c>
      <c r="K45" s="67">
        <f t="shared" si="11"/>
        <v>-286.11</v>
      </c>
      <c r="L45" s="63">
        <v>-857.20800000000008</v>
      </c>
      <c r="M45" s="5">
        <v>0.7</v>
      </c>
      <c r="N45" s="10"/>
      <c r="O45" s="34">
        <v>30</v>
      </c>
      <c r="P45" s="67">
        <f t="shared" si="12"/>
        <v>-296.81999999999994</v>
      </c>
      <c r="Q45" s="63">
        <v>-889.29599999999994</v>
      </c>
      <c r="R45" s="5">
        <v>0.7</v>
      </c>
      <c r="S45" s="10"/>
      <c r="T45" s="34">
        <v>30</v>
      </c>
      <c r="U45" s="67">
        <f t="shared" si="13"/>
        <v>-307.78499999999997</v>
      </c>
      <c r="V45" s="63">
        <v>-922.14800000000002</v>
      </c>
      <c r="W45" s="48">
        <v>0.7</v>
      </c>
      <c r="AA45" s="47">
        <v>30</v>
      </c>
      <c r="AB45" s="67">
        <f t="shared" si="14"/>
        <v>286.11</v>
      </c>
      <c r="AC45" s="63">
        <v>857.20800000000008</v>
      </c>
      <c r="AD45" s="5">
        <v>0.7</v>
      </c>
      <c r="AE45" s="10"/>
      <c r="AF45" s="34">
        <v>30</v>
      </c>
      <c r="AG45" s="67">
        <f t="shared" si="15"/>
        <v>296.81999999999994</v>
      </c>
      <c r="AH45" s="63">
        <v>889.29599999999994</v>
      </c>
      <c r="AI45" s="5">
        <v>0.7</v>
      </c>
      <c r="AJ45" s="10"/>
      <c r="AK45" s="34">
        <v>30</v>
      </c>
      <c r="AL45" s="67">
        <f t="shared" si="16"/>
        <v>307.78499999999997</v>
      </c>
      <c r="AM45" s="63">
        <v>922.14800000000002</v>
      </c>
      <c r="AN45" s="48">
        <v>0.7</v>
      </c>
    </row>
    <row r="46" spans="1:40" x14ac:dyDescent="0.2">
      <c r="A46" s="14"/>
      <c r="B46" s="5">
        <v>3.2</v>
      </c>
      <c r="C46" s="6">
        <v>7.34</v>
      </c>
      <c r="D46" s="6">
        <v>6</v>
      </c>
      <c r="E46" s="122">
        <v>1.6739999999999999</v>
      </c>
      <c r="F46" s="16"/>
      <c r="G46" s="150">
        <f t="shared" si="10"/>
        <v>7.3171200000000001</v>
      </c>
      <c r="J46" s="47">
        <v>40</v>
      </c>
      <c r="K46" s="67">
        <f t="shared" si="11"/>
        <v>-284.98800000000006</v>
      </c>
      <c r="L46" s="64">
        <v>-1142.1960000000001</v>
      </c>
      <c r="M46" s="25">
        <v>0.7</v>
      </c>
      <c r="N46" s="10"/>
      <c r="O46" s="34">
        <v>40</v>
      </c>
      <c r="P46" s="67">
        <f t="shared" si="12"/>
        <v>-295.65600000000006</v>
      </c>
      <c r="Q46" s="64">
        <v>-1184.952</v>
      </c>
      <c r="R46" s="25">
        <v>0.7</v>
      </c>
      <c r="S46" s="10"/>
      <c r="T46" s="34">
        <v>40</v>
      </c>
      <c r="U46" s="67">
        <f t="shared" si="13"/>
        <v>-306.57800000000009</v>
      </c>
      <c r="V46" s="64">
        <v>-1228.7260000000001</v>
      </c>
      <c r="W46" s="49">
        <v>0.7</v>
      </c>
      <c r="AA46" s="47">
        <v>40</v>
      </c>
      <c r="AB46" s="67">
        <f t="shared" si="14"/>
        <v>284.98800000000006</v>
      </c>
      <c r="AC46" s="64">
        <v>1142.1960000000001</v>
      </c>
      <c r="AD46" s="25">
        <v>0.7</v>
      </c>
      <c r="AE46" s="10"/>
      <c r="AF46" s="34">
        <v>40</v>
      </c>
      <c r="AG46" s="67">
        <f t="shared" si="15"/>
        <v>295.65600000000006</v>
      </c>
      <c r="AH46" s="64">
        <v>1184.952</v>
      </c>
      <c r="AI46" s="25">
        <v>0.7</v>
      </c>
      <c r="AJ46" s="10"/>
      <c r="AK46" s="34">
        <v>40</v>
      </c>
      <c r="AL46" s="67">
        <f t="shared" si="16"/>
        <v>306.57800000000009</v>
      </c>
      <c r="AM46" s="64">
        <v>1228.7260000000001</v>
      </c>
      <c r="AN46" s="49">
        <v>0.7</v>
      </c>
    </row>
    <row r="47" spans="1:40" x14ac:dyDescent="0.2">
      <c r="A47" s="14"/>
      <c r="B47" s="5">
        <v>3.3</v>
      </c>
      <c r="C47" s="6">
        <v>7.77</v>
      </c>
      <c r="D47" s="6">
        <v>6</v>
      </c>
      <c r="E47" s="122">
        <v>1.776</v>
      </c>
      <c r="F47" s="16"/>
      <c r="G47" s="150">
        <f t="shared" si="10"/>
        <v>7.7037299999999993</v>
      </c>
      <c r="J47" s="47">
        <v>50</v>
      </c>
      <c r="K47" s="67">
        <f t="shared" si="11"/>
        <v>-284.98800000000006</v>
      </c>
      <c r="L47" s="63">
        <v>-1427.1840000000002</v>
      </c>
      <c r="M47" s="5">
        <v>0.7</v>
      </c>
      <c r="N47" s="10"/>
      <c r="O47" s="34">
        <v>50</v>
      </c>
      <c r="P47" s="67">
        <f t="shared" si="12"/>
        <v>-295.65599999999995</v>
      </c>
      <c r="Q47" s="63">
        <v>-1480.6079999999999</v>
      </c>
      <c r="R47" s="5">
        <v>0.7</v>
      </c>
      <c r="S47" s="10"/>
      <c r="T47" s="34">
        <v>50</v>
      </c>
      <c r="U47" s="67">
        <f t="shared" si="13"/>
        <v>-306.57799999999997</v>
      </c>
      <c r="V47" s="63">
        <v>-1535.3040000000001</v>
      </c>
      <c r="W47" s="48">
        <v>0.7</v>
      </c>
      <c r="AA47" s="47">
        <v>50</v>
      </c>
      <c r="AB47" s="67">
        <f t="shared" si="14"/>
        <v>284.98800000000006</v>
      </c>
      <c r="AC47" s="63">
        <v>1427.1840000000002</v>
      </c>
      <c r="AD47" s="5">
        <v>0.7</v>
      </c>
      <c r="AE47" s="10"/>
      <c r="AF47" s="34">
        <v>50</v>
      </c>
      <c r="AG47" s="67">
        <f t="shared" si="15"/>
        <v>295.65599999999995</v>
      </c>
      <c r="AH47" s="63">
        <v>1480.6079999999999</v>
      </c>
      <c r="AI47" s="5">
        <v>0.7</v>
      </c>
      <c r="AJ47" s="10"/>
      <c r="AK47" s="34">
        <v>50</v>
      </c>
      <c r="AL47" s="67">
        <f t="shared" si="16"/>
        <v>306.57799999999997</v>
      </c>
      <c r="AM47" s="63">
        <v>1535.3040000000001</v>
      </c>
      <c r="AN47" s="48">
        <v>0.7</v>
      </c>
    </row>
    <row r="48" spans="1:40" x14ac:dyDescent="0.2">
      <c r="A48" s="7"/>
      <c r="B48" s="3"/>
      <c r="C48" s="3"/>
      <c r="D48" s="3"/>
      <c r="E48" s="3"/>
      <c r="F48" s="8"/>
      <c r="G48" s="102"/>
      <c r="J48" s="58" t="s">
        <v>18</v>
      </c>
      <c r="K48" s="59">
        <f>L46/L43</f>
        <v>3.9921568627450985</v>
      </c>
      <c r="L48" s="35"/>
      <c r="M48" s="5"/>
      <c r="N48" s="10"/>
      <c r="O48" s="60" t="s">
        <v>18</v>
      </c>
      <c r="P48" s="59">
        <f>Q46/Q43</f>
        <v>3.9921568627450981</v>
      </c>
      <c r="Q48" s="35"/>
      <c r="R48" s="5"/>
      <c r="S48" s="10"/>
      <c r="T48" s="60" t="s">
        <v>18</v>
      </c>
      <c r="U48" s="59">
        <f>V46/V43</f>
        <v>3.9921568627450981</v>
      </c>
      <c r="V48" s="35"/>
      <c r="W48" s="48"/>
      <c r="AA48" s="58" t="s">
        <v>18</v>
      </c>
      <c r="AB48" s="59">
        <f>AC46/AC43</f>
        <v>3.9921568627450985</v>
      </c>
      <c r="AC48" s="35"/>
      <c r="AD48" s="5"/>
      <c r="AE48" s="10"/>
      <c r="AF48" s="58" t="s">
        <v>18</v>
      </c>
      <c r="AG48" s="59">
        <f>AH46/AH43</f>
        <v>3.9921568627450981</v>
      </c>
      <c r="AH48" s="35"/>
      <c r="AI48" s="5"/>
      <c r="AJ48" s="10"/>
      <c r="AK48" s="58" t="s">
        <v>18</v>
      </c>
      <c r="AL48" s="59">
        <f>AM46/AM43</f>
        <v>3.9921568627450981</v>
      </c>
      <c r="AM48" s="35"/>
      <c r="AN48" s="48"/>
    </row>
    <row r="49" spans="10:40" x14ac:dyDescent="0.2">
      <c r="J49" s="14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6"/>
      <c r="AA49" s="14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6"/>
    </row>
    <row r="50" spans="10:40" x14ac:dyDescent="0.2">
      <c r="J50" s="14"/>
      <c r="K50" s="10"/>
      <c r="L50" s="26">
        <v>2.75</v>
      </c>
      <c r="M50" s="10" t="s">
        <v>0</v>
      </c>
      <c r="N50" s="10"/>
      <c r="O50" s="10"/>
      <c r="P50" s="10"/>
      <c r="Q50" s="26">
        <v>2.8</v>
      </c>
      <c r="R50" s="10" t="s">
        <v>0</v>
      </c>
      <c r="S50" s="10"/>
      <c r="T50" s="10"/>
      <c r="U50" s="10"/>
      <c r="V50" s="26">
        <v>2.85</v>
      </c>
      <c r="W50" s="16" t="s">
        <v>0</v>
      </c>
      <c r="AA50" s="14"/>
      <c r="AB50" s="10"/>
      <c r="AC50" s="26">
        <v>2.75</v>
      </c>
      <c r="AD50" s="10" t="s">
        <v>0</v>
      </c>
      <c r="AE50" s="10"/>
      <c r="AF50" s="10"/>
      <c r="AG50" s="10"/>
      <c r="AH50" s="26">
        <v>2.8</v>
      </c>
      <c r="AI50" s="10" t="s">
        <v>0</v>
      </c>
      <c r="AJ50" s="10"/>
      <c r="AK50" s="10"/>
      <c r="AL50" s="10"/>
      <c r="AM50" s="26">
        <v>2.85</v>
      </c>
      <c r="AN50" s="16" t="s">
        <v>0</v>
      </c>
    </row>
    <row r="51" spans="10:40" x14ac:dyDescent="0.2">
      <c r="J51" s="14"/>
      <c r="K51" s="10"/>
      <c r="L51" s="26">
        <v>5.55</v>
      </c>
      <c r="M51" s="10" t="s">
        <v>1</v>
      </c>
      <c r="N51" s="10"/>
      <c r="O51" s="10"/>
      <c r="P51" s="10"/>
      <c r="Q51" s="26">
        <v>5.74</v>
      </c>
      <c r="R51" s="10" t="s">
        <v>1</v>
      </c>
      <c r="S51" s="10"/>
      <c r="T51" s="10"/>
      <c r="U51" s="10"/>
      <c r="V51" s="42">
        <v>5.93</v>
      </c>
      <c r="W51" s="16" t="s">
        <v>1</v>
      </c>
      <c r="AA51" s="14"/>
      <c r="AB51" s="10"/>
      <c r="AC51" s="26">
        <v>5.55</v>
      </c>
      <c r="AD51" s="10" t="s">
        <v>1</v>
      </c>
      <c r="AE51" s="10"/>
      <c r="AF51" s="10"/>
      <c r="AG51" s="10"/>
      <c r="AH51" s="26">
        <v>5.74</v>
      </c>
      <c r="AI51" s="10" t="s">
        <v>1</v>
      </c>
      <c r="AJ51" s="10"/>
      <c r="AK51" s="10"/>
      <c r="AL51" s="10"/>
      <c r="AM51" s="42">
        <v>5.93</v>
      </c>
      <c r="AN51" s="16" t="s">
        <v>1</v>
      </c>
    </row>
    <row r="52" spans="10:40" x14ac:dyDescent="0.2">
      <c r="J52" s="14"/>
      <c r="K52" s="10"/>
      <c r="L52" s="26">
        <v>85</v>
      </c>
      <c r="M52" s="10" t="s">
        <v>8</v>
      </c>
      <c r="N52" s="10"/>
      <c r="O52" s="10"/>
      <c r="P52" s="10"/>
      <c r="Q52" s="26">
        <v>85</v>
      </c>
      <c r="R52" s="10" t="s">
        <v>8</v>
      </c>
      <c r="S52" s="10"/>
      <c r="T52" s="10"/>
      <c r="U52" s="10"/>
      <c r="V52" s="26">
        <v>85</v>
      </c>
      <c r="W52" s="16" t="s">
        <v>8</v>
      </c>
      <c r="AA52" s="14"/>
      <c r="AB52" s="10"/>
      <c r="AC52" s="26">
        <v>85</v>
      </c>
      <c r="AD52" s="10" t="s">
        <v>8</v>
      </c>
      <c r="AE52" s="10"/>
      <c r="AF52" s="10"/>
      <c r="AG52" s="10"/>
      <c r="AH52" s="26">
        <v>85</v>
      </c>
      <c r="AI52" s="10" t="s">
        <v>8</v>
      </c>
      <c r="AJ52" s="10"/>
      <c r="AK52" s="10"/>
      <c r="AL52" s="10"/>
      <c r="AM52" s="26">
        <v>85</v>
      </c>
      <c r="AN52" s="16" t="s">
        <v>8</v>
      </c>
    </row>
    <row r="53" spans="10:40" x14ac:dyDescent="0.2">
      <c r="J53" s="45" t="s">
        <v>9</v>
      </c>
      <c r="K53" s="65" t="s">
        <v>16</v>
      </c>
      <c r="L53" s="31" t="s">
        <v>10</v>
      </c>
      <c r="M53" s="30" t="s">
        <v>11</v>
      </c>
      <c r="N53" s="10"/>
      <c r="O53" s="30" t="s">
        <v>9</v>
      </c>
      <c r="P53" s="65" t="s">
        <v>16</v>
      </c>
      <c r="Q53" s="31" t="s">
        <v>10</v>
      </c>
      <c r="R53" s="30" t="s">
        <v>11</v>
      </c>
      <c r="S53" s="10"/>
      <c r="T53" s="30" t="s">
        <v>9</v>
      </c>
      <c r="U53" s="65" t="s">
        <v>16</v>
      </c>
      <c r="V53" s="31" t="s">
        <v>10</v>
      </c>
      <c r="W53" s="46" t="s">
        <v>11</v>
      </c>
      <c r="AA53" s="45" t="s">
        <v>9</v>
      </c>
      <c r="AB53" s="65" t="s">
        <v>16</v>
      </c>
      <c r="AC53" s="31" t="s">
        <v>10</v>
      </c>
      <c r="AD53" s="30" t="s">
        <v>11</v>
      </c>
      <c r="AE53" s="10"/>
      <c r="AF53" s="30" t="s">
        <v>9</v>
      </c>
      <c r="AG53" s="65" t="s">
        <v>16</v>
      </c>
      <c r="AH53" s="31" t="s">
        <v>10</v>
      </c>
      <c r="AI53" s="30" t="s">
        <v>11</v>
      </c>
      <c r="AJ53" s="10"/>
      <c r="AK53" s="30" t="s">
        <v>9</v>
      </c>
      <c r="AL53" s="65" t="s">
        <v>16</v>
      </c>
      <c r="AM53" s="31" t="s">
        <v>10</v>
      </c>
      <c r="AN53" s="46" t="s">
        <v>11</v>
      </c>
    </row>
    <row r="54" spans="10:40" x14ac:dyDescent="0.2">
      <c r="J54" s="47">
        <v>1</v>
      </c>
      <c r="K54" s="66"/>
      <c r="L54" s="63">
        <v>-32.525999999999996</v>
      </c>
      <c r="M54" s="5">
        <v>0.7</v>
      </c>
      <c r="N54" s="10"/>
      <c r="O54" s="34">
        <v>1</v>
      </c>
      <c r="P54" s="66"/>
      <c r="Q54" s="63">
        <v>-33.67</v>
      </c>
      <c r="R54" s="5">
        <v>0.7</v>
      </c>
      <c r="S54" s="10"/>
      <c r="T54" s="34">
        <v>1</v>
      </c>
      <c r="U54" s="66"/>
      <c r="V54" s="63">
        <v>-34.840000000000003</v>
      </c>
      <c r="W54" s="48">
        <v>0.7</v>
      </c>
      <c r="AA54" s="47">
        <v>1</v>
      </c>
      <c r="AB54" s="66"/>
      <c r="AC54" s="63">
        <v>32.525999999999996</v>
      </c>
      <c r="AD54" s="5">
        <v>0.7</v>
      </c>
      <c r="AE54" s="10"/>
      <c r="AF54" s="34">
        <v>1</v>
      </c>
      <c r="AG54" s="66"/>
      <c r="AH54" s="63">
        <v>33.67</v>
      </c>
      <c r="AI54" s="5">
        <v>0.7</v>
      </c>
      <c r="AJ54" s="10"/>
      <c r="AK54" s="34">
        <v>1</v>
      </c>
      <c r="AL54" s="66"/>
      <c r="AM54" s="63">
        <v>34.840000000000003</v>
      </c>
      <c r="AN54" s="48">
        <v>0.7</v>
      </c>
    </row>
    <row r="55" spans="10:40" x14ac:dyDescent="0.2">
      <c r="J55" s="47">
        <v>2</v>
      </c>
      <c r="K55" s="67">
        <f>L55-L54</f>
        <v>-31.274999999999999</v>
      </c>
      <c r="L55" s="64">
        <v>-63.800999999999995</v>
      </c>
      <c r="M55" s="25">
        <v>0.7</v>
      </c>
      <c r="N55" s="10"/>
      <c r="O55" s="34">
        <v>2</v>
      </c>
      <c r="P55" s="67">
        <f>Q55-Q54</f>
        <v>-32.375</v>
      </c>
      <c r="Q55" s="64">
        <v>-66.045000000000002</v>
      </c>
      <c r="R55" s="25">
        <v>0.7</v>
      </c>
      <c r="S55" s="10"/>
      <c r="T55" s="34">
        <v>2</v>
      </c>
      <c r="U55" s="67">
        <f>V55-V54</f>
        <v>-33.5</v>
      </c>
      <c r="V55" s="64">
        <v>-68.34</v>
      </c>
      <c r="W55" s="49">
        <v>0.7</v>
      </c>
      <c r="AA55" s="47">
        <v>2</v>
      </c>
      <c r="AB55" s="67">
        <f>AC55-AC54</f>
        <v>31.274999999999999</v>
      </c>
      <c r="AC55" s="64">
        <v>63.800999999999995</v>
      </c>
      <c r="AD55" s="25">
        <v>0.7</v>
      </c>
      <c r="AE55" s="10"/>
      <c r="AF55" s="34">
        <v>2</v>
      </c>
      <c r="AG55" s="67">
        <f>AH55-AH54</f>
        <v>32.375</v>
      </c>
      <c r="AH55" s="64">
        <v>66.045000000000002</v>
      </c>
      <c r="AI55" s="25">
        <v>0.7</v>
      </c>
      <c r="AJ55" s="10"/>
      <c r="AK55" s="34">
        <v>2</v>
      </c>
      <c r="AL55" s="67">
        <f>AM55-AM54</f>
        <v>33.5</v>
      </c>
      <c r="AM55" s="64">
        <v>68.34</v>
      </c>
      <c r="AN55" s="49">
        <v>0.7</v>
      </c>
    </row>
    <row r="56" spans="10:40" x14ac:dyDescent="0.2">
      <c r="J56" s="47">
        <v>3</v>
      </c>
      <c r="K56" s="67">
        <f t="shared" ref="K56:K63" si="17">L56-L55</f>
        <v>-31.274999999999999</v>
      </c>
      <c r="L56" s="63">
        <v>-95.075999999999993</v>
      </c>
      <c r="M56" s="5">
        <v>0.7</v>
      </c>
      <c r="N56" s="10"/>
      <c r="O56" s="34">
        <v>3</v>
      </c>
      <c r="P56" s="67">
        <f t="shared" ref="P56:P63" si="18">Q56-Q55</f>
        <v>-32.374999999999986</v>
      </c>
      <c r="Q56" s="63">
        <v>-98.419999999999987</v>
      </c>
      <c r="R56" s="5">
        <v>0.7</v>
      </c>
      <c r="S56" s="10"/>
      <c r="T56" s="34">
        <v>3</v>
      </c>
      <c r="U56" s="67">
        <f t="shared" ref="U56:U63" si="19">V56-V55</f>
        <v>-33.5</v>
      </c>
      <c r="V56" s="63">
        <v>-101.84</v>
      </c>
      <c r="W56" s="48">
        <v>0.7</v>
      </c>
      <c r="AA56" s="47">
        <v>3</v>
      </c>
      <c r="AB56" s="67">
        <f t="shared" ref="AB56:AB63" si="20">AC56-AC55</f>
        <v>31.274999999999999</v>
      </c>
      <c r="AC56" s="63">
        <v>95.075999999999993</v>
      </c>
      <c r="AD56" s="5">
        <v>0.7</v>
      </c>
      <c r="AE56" s="10"/>
      <c r="AF56" s="34">
        <v>3</v>
      </c>
      <c r="AG56" s="67">
        <f t="shared" ref="AG56:AG63" si="21">AH56-AH55</f>
        <v>32.374999999999986</v>
      </c>
      <c r="AH56" s="63">
        <v>98.419999999999987</v>
      </c>
      <c r="AI56" s="5">
        <v>0.7</v>
      </c>
      <c r="AJ56" s="10"/>
      <c r="AK56" s="34">
        <v>3</v>
      </c>
      <c r="AL56" s="67">
        <f t="shared" ref="AL56:AL63" si="22">AM56-AM55</f>
        <v>33.5</v>
      </c>
      <c r="AM56" s="63">
        <v>101.84</v>
      </c>
      <c r="AN56" s="48">
        <v>0.7</v>
      </c>
    </row>
    <row r="57" spans="10:40" x14ac:dyDescent="0.2">
      <c r="J57" s="47">
        <v>4</v>
      </c>
      <c r="K57" s="67">
        <f t="shared" si="17"/>
        <v>-32.525999999999996</v>
      </c>
      <c r="L57" s="63">
        <v>-127.60199999999999</v>
      </c>
      <c r="M57" s="5">
        <v>0.7</v>
      </c>
      <c r="N57" s="10"/>
      <c r="O57" s="34">
        <v>4</v>
      </c>
      <c r="P57" s="67">
        <f t="shared" si="18"/>
        <v>-33.670000000000016</v>
      </c>
      <c r="Q57" s="63">
        <v>-132.09</v>
      </c>
      <c r="R57" s="5">
        <v>0.7</v>
      </c>
      <c r="S57" s="10"/>
      <c r="T57" s="34">
        <v>4</v>
      </c>
      <c r="U57" s="67">
        <f t="shared" si="19"/>
        <v>-34.840000000000003</v>
      </c>
      <c r="V57" s="63">
        <v>-136.68</v>
      </c>
      <c r="W57" s="48">
        <v>0.7</v>
      </c>
      <c r="AA57" s="47">
        <v>4</v>
      </c>
      <c r="AB57" s="67">
        <f t="shared" si="20"/>
        <v>32.525999999999996</v>
      </c>
      <c r="AC57" s="63">
        <v>127.60199999999999</v>
      </c>
      <c r="AD57" s="5">
        <v>0.7</v>
      </c>
      <c r="AE57" s="10"/>
      <c r="AF57" s="34">
        <v>4</v>
      </c>
      <c r="AG57" s="67">
        <f t="shared" si="21"/>
        <v>33.670000000000016</v>
      </c>
      <c r="AH57" s="63">
        <v>132.09</v>
      </c>
      <c r="AI57" s="5">
        <v>0.7</v>
      </c>
      <c r="AJ57" s="10"/>
      <c r="AK57" s="34">
        <v>4</v>
      </c>
      <c r="AL57" s="67">
        <f t="shared" si="22"/>
        <v>34.840000000000003</v>
      </c>
      <c r="AM57" s="63">
        <v>136.68</v>
      </c>
      <c r="AN57" s="48">
        <v>0.7</v>
      </c>
    </row>
    <row r="58" spans="10:40" x14ac:dyDescent="0.2">
      <c r="J58" s="47">
        <v>5</v>
      </c>
      <c r="K58" s="67">
        <f t="shared" si="17"/>
        <v>-31.274999999999991</v>
      </c>
      <c r="L58" s="64">
        <v>-158.87699999999998</v>
      </c>
      <c r="M58" s="25">
        <v>0.7</v>
      </c>
      <c r="N58" s="10"/>
      <c r="O58" s="34">
        <v>5</v>
      </c>
      <c r="P58" s="67">
        <f t="shared" si="18"/>
        <v>-32.375</v>
      </c>
      <c r="Q58" s="64">
        <v>-164.465</v>
      </c>
      <c r="R58" s="25">
        <v>0.7</v>
      </c>
      <c r="S58" s="10"/>
      <c r="T58" s="34">
        <v>5</v>
      </c>
      <c r="U58" s="67">
        <f t="shared" si="19"/>
        <v>-33.5</v>
      </c>
      <c r="V58" s="64">
        <v>-170.18</v>
      </c>
      <c r="W58" s="49">
        <v>0.7</v>
      </c>
      <c r="AA58" s="47">
        <v>5</v>
      </c>
      <c r="AB58" s="67">
        <f t="shared" si="20"/>
        <v>31.274999999999991</v>
      </c>
      <c r="AC58" s="64">
        <v>158.87699999999998</v>
      </c>
      <c r="AD58" s="25">
        <v>0.7</v>
      </c>
      <c r="AE58" s="10"/>
      <c r="AF58" s="34">
        <v>5</v>
      </c>
      <c r="AG58" s="67">
        <f t="shared" si="21"/>
        <v>32.375</v>
      </c>
      <c r="AH58" s="64">
        <v>164.465</v>
      </c>
      <c r="AI58" s="25">
        <v>0.7</v>
      </c>
      <c r="AJ58" s="10"/>
      <c r="AK58" s="34">
        <v>5</v>
      </c>
      <c r="AL58" s="67">
        <f t="shared" si="22"/>
        <v>33.5</v>
      </c>
      <c r="AM58" s="64">
        <v>170.18</v>
      </c>
      <c r="AN58" s="49">
        <v>0.7</v>
      </c>
    </row>
    <row r="59" spans="10:40" x14ac:dyDescent="0.2">
      <c r="J59" s="47">
        <v>10</v>
      </c>
      <c r="K59" s="67">
        <f t="shared" si="17"/>
        <v>-160.12800000000001</v>
      </c>
      <c r="L59" s="63">
        <v>-319.005</v>
      </c>
      <c r="M59" s="5">
        <v>0.7</v>
      </c>
      <c r="N59" s="10"/>
      <c r="O59" s="34">
        <v>10</v>
      </c>
      <c r="P59" s="67">
        <f t="shared" si="18"/>
        <v>-165.75999999999996</v>
      </c>
      <c r="Q59" s="63">
        <v>-330.22499999999997</v>
      </c>
      <c r="R59" s="5">
        <v>0.7</v>
      </c>
      <c r="S59" s="10"/>
      <c r="T59" s="34">
        <v>10</v>
      </c>
      <c r="U59" s="67">
        <f t="shared" si="19"/>
        <v>-171.52000000000004</v>
      </c>
      <c r="V59" s="63">
        <v>-341.70000000000005</v>
      </c>
      <c r="W59" s="48">
        <v>0.7</v>
      </c>
      <c r="AA59" s="47">
        <v>10</v>
      </c>
      <c r="AB59" s="67">
        <f t="shared" si="20"/>
        <v>160.12800000000001</v>
      </c>
      <c r="AC59" s="63">
        <v>319.005</v>
      </c>
      <c r="AD59" s="5">
        <v>0.7</v>
      </c>
      <c r="AE59" s="10"/>
      <c r="AF59" s="34">
        <v>10</v>
      </c>
      <c r="AG59" s="67">
        <f t="shared" si="21"/>
        <v>165.75999999999996</v>
      </c>
      <c r="AH59" s="63">
        <v>330.22499999999997</v>
      </c>
      <c r="AI59" s="5">
        <v>0.7</v>
      </c>
      <c r="AJ59" s="10"/>
      <c r="AK59" s="34">
        <v>10</v>
      </c>
      <c r="AL59" s="67">
        <f t="shared" si="22"/>
        <v>171.52000000000004</v>
      </c>
      <c r="AM59" s="63">
        <v>341.70000000000005</v>
      </c>
      <c r="AN59" s="48">
        <v>0.7</v>
      </c>
    </row>
    <row r="60" spans="10:40" x14ac:dyDescent="0.2">
      <c r="J60" s="47">
        <v>20</v>
      </c>
      <c r="K60" s="67">
        <f t="shared" si="17"/>
        <v>-317.75399999999991</v>
      </c>
      <c r="L60" s="63">
        <v>-636.7589999999999</v>
      </c>
      <c r="M60" s="5">
        <v>0.7</v>
      </c>
      <c r="N60" s="10"/>
      <c r="O60" s="34">
        <v>20</v>
      </c>
      <c r="P60" s="67">
        <f t="shared" si="18"/>
        <v>-328.93</v>
      </c>
      <c r="Q60" s="63">
        <v>-659.15499999999997</v>
      </c>
      <c r="R60" s="5">
        <v>0.7</v>
      </c>
      <c r="S60" s="10"/>
      <c r="T60" s="34">
        <v>20</v>
      </c>
      <c r="U60" s="67">
        <f t="shared" si="19"/>
        <v>-340.36</v>
      </c>
      <c r="V60" s="63">
        <v>-682.06000000000006</v>
      </c>
      <c r="W60" s="48">
        <v>0.7</v>
      </c>
      <c r="AA60" s="47">
        <v>20</v>
      </c>
      <c r="AB60" s="67">
        <f t="shared" si="20"/>
        <v>317.75399999999991</v>
      </c>
      <c r="AC60" s="63">
        <v>636.7589999999999</v>
      </c>
      <c r="AD60" s="5">
        <v>0.7</v>
      </c>
      <c r="AE60" s="10"/>
      <c r="AF60" s="34">
        <v>20</v>
      </c>
      <c r="AG60" s="67">
        <f t="shared" si="21"/>
        <v>328.93</v>
      </c>
      <c r="AH60" s="63">
        <v>659.15499999999997</v>
      </c>
      <c r="AI60" s="5">
        <v>0.7</v>
      </c>
      <c r="AJ60" s="10"/>
      <c r="AK60" s="34">
        <v>20</v>
      </c>
      <c r="AL60" s="67">
        <f t="shared" si="22"/>
        <v>340.36</v>
      </c>
      <c r="AM60" s="63">
        <v>682.06000000000006</v>
      </c>
      <c r="AN60" s="48">
        <v>0.7</v>
      </c>
    </row>
    <row r="61" spans="10:40" x14ac:dyDescent="0.2">
      <c r="J61" s="47">
        <v>30</v>
      </c>
      <c r="K61" s="67">
        <f t="shared" si="17"/>
        <v>-319.005</v>
      </c>
      <c r="L61" s="63">
        <v>-955.7639999999999</v>
      </c>
      <c r="M61" s="5">
        <v>0.7</v>
      </c>
      <c r="N61" s="10"/>
      <c r="O61" s="34">
        <v>30</v>
      </c>
      <c r="P61" s="67">
        <f t="shared" si="18"/>
        <v>-330.22500000000002</v>
      </c>
      <c r="Q61" s="63">
        <v>-989.38</v>
      </c>
      <c r="R61" s="5">
        <v>0.7</v>
      </c>
      <c r="S61" s="10"/>
      <c r="T61" s="34">
        <v>30</v>
      </c>
      <c r="U61" s="67">
        <f t="shared" si="19"/>
        <v>-341.70000000000005</v>
      </c>
      <c r="V61" s="63">
        <v>-1023.7600000000001</v>
      </c>
      <c r="W61" s="48">
        <v>0.7</v>
      </c>
      <c r="AA61" s="47">
        <v>30</v>
      </c>
      <c r="AB61" s="67">
        <f t="shared" si="20"/>
        <v>319.005</v>
      </c>
      <c r="AC61" s="63">
        <v>955.7639999999999</v>
      </c>
      <c r="AD61" s="5">
        <v>0.7</v>
      </c>
      <c r="AE61" s="10"/>
      <c r="AF61" s="34">
        <v>30</v>
      </c>
      <c r="AG61" s="67">
        <f t="shared" si="21"/>
        <v>330.22500000000002</v>
      </c>
      <c r="AH61" s="63">
        <v>989.38</v>
      </c>
      <c r="AI61" s="5">
        <v>0.7</v>
      </c>
      <c r="AJ61" s="10"/>
      <c r="AK61" s="34">
        <v>30</v>
      </c>
      <c r="AL61" s="67">
        <f t="shared" si="22"/>
        <v>341.70000000000005</v>
      </c>
      <c r="AM61" s="63">
        <v>1023.7600000000001</v>
      </c>
      <c r="AN61" s="48">
        <v>0.7</v>
      </c>
    </row>
    <row r="62" spans="10:40" x14ac:dyDescent="0.2">
      <c r="J62" s="47">
        <v>40</v>
      </c>
      <c r="K62" s="67">
        <f t="shared" si="17"/>
        <v>-317.75399999999991</v>
      </c>
      <c r="L62" s="64">
        <v>-1273.5179999999998</v>
      </c>
      <c r="M62" s="25">
        <v>0.7</v>
      </c>
      <c r="N62" s="10"/>
      <c r="O62" s="34">
        <v>40</v>
      </c>
      <c r="P62" s="67">
        <f t="shared" si="18"/>
        <v>-328.92999999999995</v>
      </c>
      <c r="Q62" s="64">
        <v>-1318.31</v>
      </c>
      <c r="R62" s="25">
        <v>0.7</v>
      </c>
      <c r="S62" s="10"/>
      <c r="T62" s="34">
        <v>40</v>
      </c>
      <c r="U62" s="67">
        <f t="shared" si="19"/>
        <v>-340.36</v>
      </c>
      <c r="V62" s="64">
        <v>-1364.1200000000001</v>
      </c>
      <c r="W62" s="49">
        <v>0.7</v>
      </c>
      <c r="AA62" s="47">
        <v>40</v>
      </c>
      <c r="AB62" s="67">
        <f t="shared" si="20"/>
        <v>317.75399999999991</v>
      </c>
      <c r="AC62" s="64">
        <v>1273.5179999999998</v>
      </c>
      <c r="AD62" s="25">
        <v>0.7</v>
      </c>
      <c r="AE62" s="10"/>
      <c r="AF62" s="34">
        <v>40</v>
      </c>
      <c r="AG62" s="67">
        <f t="shared" si="21"/>
        <v>328.92999999999995</v>
      </c>
      <c r="AH62" s="64">
        <v>1318.31</v>
      </c>
      <c r="AI62" s="25">
        <v>0.7</v>
      </c>
      <c r="AJ62" s="10"/>
      <c r="AK62" s="34">
        <v>40</v>
      </c>
      <c r="AL62" s="67">
        <f t="shared" si="22"/>
        <v>340.36</v>
      </c>
      <c r="AM62" s="64">
        <v>1364.1200000000001</v>
      </c>
      <c r="AN62" s="49">
        <v>0.7</v>
      </c>
    </row>
    <row r="63" spans="10:40" x14ac:dyDescent="0.2">
      <c r="J63" s="47">
        <v>50</v>
      </c>
      <c r="K63" s="67">
        <f t="shared" si="17"/>
        <v>-317.75400000000013</v>
      </c>
      <c r="L63" s="63">
        <v>-1591.2719999999999</v>
      </c>
      <c r="M63" s="5">
        <v>0.7</v>
      </c>
      <c r="N63" s="10"/>
      <c r="O63" s="34">
        <v>50</v>
      </c>
      <c r="P63" s="67">
        <f t="shared" si="18"/>
        <v>-328.93000000000006</v>
      </c>
      <c r="Q63" s="63">
        <v>-1647.24</v>
      </c>
      <c r="R63" s="5">
        <v>0.7</v>
      </c>
      <c r="S63" s="10"/>
      <c r="T63" s="34">
        <v>50</v>
      </c>
      <c r="U63" s="67">
        <f t="shared" si="19"/>
        <v>-340.3599999999999</v>
      </c>
      <c r="V63" s="63">
        <v>-1704.48</v>
      </c>
      <c r="W63" s="48">
        <v>0.7</v>
      </c>
      <c r="AA63" s="47">
        <v>50</v>
      </c>
      <c r="AB63" s="67">
        <f t="shared" si="20"/>
        <v>317.75400000000013</v>
      </c>
      <c r="AC63" s="63">
        <v>1591.2719999999999</v>
      </c>
      <c r="AD63" s="5">
        <v>0.7</v>
      </c>
      <c r="AE63" s="10"/>
      <c r="AF63" s="34">
        <v>50</v>
      </c>
      <c r="AG63" s="67">
        <f t="shared" si="21"/>
        <v>328.93000000000006</v>
      </c>
      <c r="AH63" s="63">
        <v>1647.24</v>
      </c>
      <c r="AI63" s="5">
        <v>0.7</v>
      </c>
      <c r="AJ63" s="10"/>
      <c r="AK63" s="34">
        <v>50</v>
      </c>
      <c r="AL63" s="67">
        <f t="shared" si="22"/>
        <v>340.3599999999999</v>
      </c>
      <c r="AM63" s="63">
        <v>1704.48</v>
      </c>
      <c r="AN63" s="48">
        <v>0.7</v>
      </c>
    </row>
    <row r="64" spans="10:40" x14ac:dyDescent="0.2">
      <c r="J64" s="58" t="s">
        <v>18</v>
      </c>
      <c r="K64" s="59">
        <f>L62/L59</f>
        <v>3.9921568627450976</v>
      </c>
      <c r="L64" s="35"/>
      <c r="M64" s="5"/>
      <c r="N64" s="10"/>
      <c r="O64" s="60" t="s">
        <v>18</v>
      </c>
      <c r="P64" s="59">
        <f>Q62/Q59</f>
        <v>3.9921568627450981</v>
      </c>
      <c r="Q64" s="35"/>
      <c r="R64" s="5"/>
      <c r="S64" s="10"/>
      <c r="T64" s="60" t="s">
        <v>18</v>
      </c>
      <c r="U64" s="59">
        <f>V62/V59</f>
        <v>3.9921568627450981</v>
      </c>
      <c r="V64" s="35"/>
      <c r="W64" s="48"/>
      <c r="AA64" s="58" t="s">
        <v>18</v>
      </c>
      <c r="AB64" s="59">
        <f>AC62/AC59</f>
        <v>3.9921568627450976</v>
      </c>
      <c r="AC64" s="35"/>
      <c r="AD64" s="5"/>
      <c r="AE64" s="10"/>
      <c r="AF64" s="58" t="s">
        <v>18</v>
      </c>
      <c r="AG64" s="59">
        <f>AH62/AH59</f>
        <v>3.9921568627450981</v>
      </c>
      <c r="AH64" s="35"/>
      <c r="AI64" s="5"/>
      <c r="AJ64" s="10"/>
      <c r="AK64" s="58" t="s">
        <v>18</v>
      </c>
      <c r="AL64" s="59">
        <f>AM62/AM59</f>
        <v>3.9921568627450981</v>
      </c>
      <c r="AM64" s="35"/>
      <c r="AN64" s="48"/>
    </row>
    <row r="65" spans="10:40" x14ac:dyDescent="0.2">
      <c r="J65" s="14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6"/>
      <c r="AA65" s="14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6"/>
    </row>
    <row r="66" spans="10:40" x14ac:dyDescent="0.2">
      <c r="J66" s="14"/>
      <c r="K66" s="10"/>
      <c r="L66" s="26">
        <v>2.9</v>
      </c>
      <c r="M66" s="10" t="s">
        <v>0</v>
      </c>
      <c r="N66" s="10"/>
      <c r="O66" s="10"/>
      <c r="P66" s="10"/>
      <c r="Q66" s="26">
        <v>3</v>
      </c>
      <c r="R66" s="10" t="s">
        <v>0</v>
      </c>
      <c r="S66" s="10"/>
      <c r="T66" s="10"/>
      <c r="U66" s="10"/>
      <c r="V66" s="26">
        <v>3.1</v>
      </c>
      <c r="W66" s="16" t="s">
        <v>0</v>
      </c>
      <c r="AA66" s="14"/>
      <c r="AB66" s="10"/>
      <c r="AC66" s="26">
        <v>2.9</v>
      </c>
      <c r="AD66" s="10" t="s">
        <v>0</v>
      </c>
      <c r="AE66" s="10"/>
      <c r="AF66" s="10"/>
      <c r="AG66" s="10"/>
      <c r="AH66" s="10"/>
      <c r="AI66" s="10"/>
      <c r="AJ66" s="10"/>
      <c r="AK66" s="10"/>
      <c r="AL66" s="10"/>
      <c r="AM66" s="10"/>
      <c r="AN66" s="16"/>
    </row>
    <row r="67" spans="10:40" x14ac:dyDescent="0.2">
      <c r="J67" s="14"/>
      <c r="K67" s="10"/>
      <c r="L67" s="26">
        <v>6.12</v>
      </c>
      <c r="M67" s="10" t="s">
        <v>1</v>
      </c>
      <c r="N67" s="10"/>
      <c r="O67" s="10"/>
      <c r="P67" s="10"/>
      <c r="Q67" s="26">
        <v>6.52</v>
      </c>
      <c r="R67" s="10" t="s">
        <v>1</v>
      </c>
      <c r="S67" s="10"/>
      <c r="T67" s="10"/>
      <c r="U67" s="10"/>
      <c r="V67" s="26">
        <v>6.52</v>
      </c>
      <c r="W67" s="16" t="s">
        <v>1</v>
      </c>
      <c r="AA67" s="14"/>
      <c r="AB67" s="10"/>
      <c r="AC67" s="26">
        <v>6.12</v>
      </c>
      <c r="AD67" s="10" t="s">
        <v>1</v>
      </c>
      <c r="AE67" s="10"/>
      <c r="AF67" s="10"/>
      <c r="AG67" s="10"/>
      <c r="AH67" s="10"/>
      <c r="AI67" s="10"/>
      <c r="AJ67" s="10"/>
      <c r="AK67" s="10"/>
      <c r="AL67" s="10"/>
      <c r="AM67" s="10"/>
      <c r="AN67" s="16"/>
    </row>
    <row r="68" spans="10:40" x14ac:dyDescent="0.2">
      <c r="J68" s="14"/>
      <c r="K68" s="10"/>
      <c r="L68" s="26">
        <v>85</v>
      </c>
      <c r="M68" s="10" t="s">
        <v>8</v>
      </c>
      <c r="N68" s="10"/>
      <c r="O68" s="10"/>
      <c r="P68" s="10"/>
      <c r="Q68" s="26">
        <v>85</v>
      </c>
      <c r="R68" s="10" t="s">
        <v>8</v>
      </c>
      <c r="S68" s="10"/>
      <c r="T68" s="10"/>
      <c r="U68" s="10"/>
      <c r="V68" s="26">
        <v>85</v>
      </c>
      <c r="W68" s="16" t="s">
        <v>8</v>
      </c>
      <c r="AA68" s="14"/>
      <c r="AB68" s="10"/>
      <c r="AC68" s="26">
        <v>85</v>
      </c>
      <c r="AD68" s="10" t="s">
        <v>8</v>
      </c>
      <c r="AE68" s="10"/>
      <c r="AF68" s="10"/>
      <c r="AG68" s="10"/>
      <c r="AH68" s="10"/>
      <c r="AI68" s="10"/>
      <c r="AJ68" s="10"/>
      <c r="AK68" s="10"/>
      <c r="AL68" s="10"/>
      <c r="AM68" s="10"/>
      <c r="AN68" s="16"/>
    </row>
    <row r="69" spans="10:40" x14ac:dyDescent="0.2">
      <c r="J69" s="45" t="s">
        <v>9</v>
      </c>
      <c r="K69" s="65" t="s">
        <v>16</v>
      </c>
      <c r="L69" s="31" t="s">
        <v>10</v>
      </c>
      <c r="M69" s="30" t="s">
        <v>11</v>
      </c>
      <c r="N69" s="10"/>
      <c r="O69" s="30" t="s">
        <v>9</v>
      </c>
      <c r="P69" s="65" t="s">
        <v>16</v>
      </c>
      <c r="Q69" s="31" t="s">
        <v>10</v>
      </c>
      <c r="R69" s="30" t="s">
        <v>11</v>
      </c>
      <c r="S69" s="10"/>
      <c r="T69" s="30" t="s">
        <v>9</v>
      </c>
      <c r="U69" s="65" t="s">
        <v>16</v>
      </c>
      <c r="V69" s="31" t="s">
        <v>10</v>
      </c>
      <c r="W69" s="46" t="s">
        <v>11</v>
      </c>
      <c r="AA69" s="45" t="s">
        <v>9</v>
      </c>
      <c r="AB69" s="65" t="s">
        <v>16</v>
      </c>
      <c r="AC69" s="31" t="s">
        <v>10</v>
      </c>
      <c r="AD69" s="30" t="s">
        <v>11</v>
      </c>
      <c r="AE69" s="10"/>
      <c r="AF69" s="11"/>
      <c r="AG69" s="12"/>
      <c r="AH69" s="12"/>
      <c r="AI69" s="12"/>
      <c r="AJ69" s="12"/>
      <c r="AK69" s="12"/>
      <c r="AL69" s="12"/>
      <c r="AM69" s="12"/>
      <c r="AN69" s="13"/>
    </row>
    <row r="70" spans="10:40" x14ac:dyDescent="0.2">
      <c r="J70" s="47">
        <v>1</v>
      </c>
      <c r="K70" s="66"/>
      <c r="L70" s="63">
        <v>-36.01</v>
      </c>
      <c r="M70" s="5">
        <v>0.7</v>
      </c>
      <c r="N70" s="10"/>
      <c r="O70" s="34">
        <v>1</v>
      </c>
      <c r="P70" s="66"/>
      <c r="Q70" s="63">
        <v>-38</v>
      </c>
      <c r="R70" s="5">
        <v>0.7</v>
      </c>
      <c r="S70" s="10"/>
      <c r="T70" s="34">
        <v>1</v>
      </c>
      <c r="U70" s="66"/>
      <c r="V70" s="63">
        <v>-41</v>
      </c>
      <c r="W70" s="48">
        <v>0.7</v>
      </c>
      <c r="AA70" s="47">
        <v>1</v>
      </c>
      <c r="AB70" s="66"/>
      <c r="AC70" s="63">
        <v>36.01</v>
      </c>
      <c r="AD70" s="5">
        <v>0.7</v>
      </c>
      <c r="AE70" s="10"/>
      <c r="AF70" s="14" t="s">
        <v>19</v>
      </c>
      <c r="AG70" s="10"/>
      <c r="AH70" s="10"/>
      <c r="AI70" s="10"/>
      <c r="AJ70" s="10"/>
      <c r="AK70" s="10"/>
      <c r="AL70" s="10"/>
      <c r="AM70" s="10"/>
      <c r="AN70" s="16"/>
    </row>
    <row r="71" spans="10:40" x14ac:dyDescent="0.2">
      <c r="J71" s="47">
        <v>2</v>
      </c>
      <c r="K71" s="67">
        <f>L71-L70</f>
        <v>-34.625000000000007</v>
      </c>
      <c r="L71" s="64">
        <v>-70.635000000000005</v>
      </c>
      <c r="M71" s="25">
        <v>0.7</v>
      </c>
      <c r="N71" s="10"/>
      <c r="O71" s="34">
        <v>2</v>
      </c>
      <c r="P71" s="67">
        <f>Q71-Q70</f>
        <v>-37</v>
      </c>
      <c r="Q71" s="64">
        <v>-75</v>
      </c>
      <c r="R71" s="25">
        <v>0.7</v>
      </c>
      <c r="S71" s="10"/>
      <c r="T71" s="34">
        <v>2</v>
      </c>
      <c r="U71" s="67">
        <f>V71-V70</f>
        <v>-39</v>
      </c>
      <c r="V71" s="64">
        <v>-80</v>
      </c>
      <c r="W71" s="49">
        <v>0.7</v>
      </c>
      <c r="AA71" s="47">
        <v>2</v>
      </c>
      <c r="AB71" s="67">
        <f>AC71-AC70</f>
        <v>34.625000000000007</v>
      </c>
      <c r="AC71" s="64">
        <v>70.635000000000005</v>
      </c>
      <c r="AD71" s="25">
        <v>0.7</v>
      </c>
      <c r="AE71" s="10"/>
      <c r="AF71" s="14" t="s">
        <v>20</v>
      </c>
      <c r="AG71" s="10"/>
      <c r="AH71" s="10"/>
      <c r="AI71" s="10"/>
      <c r="AJ71" s="10"/>
      <c r="AK71" s="10"/>
      <c r="AL71" s="10"/>
      <c r="AM71" s="10"/>
      <c r="AN71" s="16"/>
    </row>
    <row r="72" spans="10:40" x14ac:dyDescent="0.2">
      <c r="J72" s="47">
        <v>3</v>
      </c>
      <c r="K72" s="67">
        <f t="shared" ref="K72:K79" si="23">L72-L71</f>
        <v>-34.625</v>
      </c>
      <c r="L72" s="63">
        <v>-105.26</v>
      </c>
      <c r="M72" s="5">
        <v>0.7</v>
      </c>
      <c r="N72" s="10"/>
      <c r="O72" s="34">
        <v>3</v>
      </c>
      <c r="P72" s="67">
        <f t="shared" ref="P72:P79" si="24">Q72-Q71</f>
        <v>-37</v>
      </c>
      <c r="Q72" s="63">
        <v>-112</v>
      </c>
      <c r="R72" s="5">
        <v>0.7</v>
      </c>
      <c r="S72" s="10"/>
      <c r="T72" s="34">
        <v>3</v>
      </c>
      <c r="U72" s="67">
        <f t="shared" ref="U72:U79" si="25">V72-V71</f>
        <v>-40</v>
      </c>
      <c r="V72" s="63">
        <v>-120</v>
      </c>
      <c r="W72" s="48">
        <v>0.7</v>
      </c>
      <c r="AA72" s="47">
        <v>3</v>
      </c>
      <c r="AB72" s="67">
        <f t="shared" ref="AB72:AB79" si="26">AC72-AC71</f>
        <v>34.625</v>
      </c>
      <c r="AC72" s="63">
        <v>105.26</v>
      </c>
      <c r="AD72" s="5">
        <v>0.7</v>
      </c>
      <c r="AE72" s="10"/>
      <c r="AF72" s="55"/>
      <c r="AG72" s="10"/>
      <c r="AH72" s="10"/>
      <c r="AI72" s="10"/>
      <c r="AJ72" s="10"/>
      <c r="AK72" s="10"/>
      <c r="AL72" s="10"/>
      <c r="AM72" s="10"/>
      <c r="AN72" s="16"/>
    </row>
    <row r="73" spans="10:40" x14ac:dyDescent="0.2">
      <c r="J73" s="47">
        <v>4</v>
      </c>
      <c r="K73" s="67">
        <f t="shared" si="23"/>
        <v>-36.010000000000005</v>
      </c>
      <c r="L73" s="63">
        <v>-141.27000000000001</v>
      </c>
      <c r="M73" s="5">
        <v>0.7</v>
      </c>
      <c r="N73" s="10"/>
      <c r="O73" s="34">
        <v>4</v>
      </c>
      <c r="P73" s="67">
        <f t="shared" si="24"/>
        <v>-39</v>
      </c>
      <c r="Q73" s="63">
        <v>-151</v>
      </c>
      <c r="R73" s="5">
        <v>0.7</v>
      </c>
      <c r="S73" s="10"/>
      <c r="T73" s="34">
        <v>4</v>
      </c>
      <c r="U73" s="67">
        <f t="shared" si="25"/>
        <v>-40</v>
      </c>
      <c r="V73" s="63">
        <v>-160</v>
      </c>
      <c r="W73" s="48">
        <v>0.7</v>
      </c>
      <c r="AA73" s="47">
        <v>4</v>
      </c>
      <c r="AB73" s="67">
        <f t="shared" si="26"/>
        <v>36.010000000000005</v>
      </c>
      <c r="AC73" s="63">
        <v>141.27000000000001</v>
      </c>
      <c r="AD73" s="5">
        <v>0.7</v>
      </c>
      <c r="AE73" s="10"/>
      <c r="AF73" s="55" t="s">
        <v>21</v>
      </c>
      <c r="AG73" s="10"/>
      <c r="AH73" s="10"/>
      <c r="AI73" s="10"/>
      <c r="AJ73" s="10"/>
      <c r="AK73" s="10"/>
      <c r="AL73" s="10"/>
      <c r="AM73" s="10"/>
      <c r="AN73" s="16"/>
    </row>
    <row r="74" spans="10:40" x14ac:dyDescent="0.2">
      <c r="J74" s="47">
        <v>5</v>
      </c>
      <c r="K74" s="67">
        <f t="shared" si="23"/>
        <v>-34.625</v>
      </c>
      <c r="L74" s="64">
        <v>-175.89500000000001</v>
      </c>
      <c r="M74" s="25">
        <v>0.7</v>
      </c>
      <c r="N74" s="10"/>
      <c r="O74" s="34">
        <v>5</v>
      </c>
      <c r="P74" s="67">
        <f t="shared" si="24"/>
        <v>-37</v>
      </c>
      <c r="Q74" s="64">
        <v>-188</v>
      </c>
      <c r="R74" s="25">
        <v>0.7</v>
      </c>
      <c r="S74" s="10"/>
      <c r="T74" s="34">
        <v>5</v>
      </c>
      <c r="U74" s="67">
        <f t="shared" si="25"/>
        <v>-40</v>
      </c>
      <c r="V74" s="64">
        <v>-200</v>
      </c>
      <c r="W74" s="49">
        <v>0.7</v>
      </c>
      <c r="AA74" s="47">
        <v>5</v>
      </c>
      <c r="AB74" s="67">
        <f t="shared" si="26"/>
        <v>34.625</v>
      </c>
      <c r="AC74" s="64">
        <v>175.89500000000001</v>
      </c>
      <c r="AD74" s="25">
        <v>0.7</v>
      </c>
      <c r="AE74" s="10"/>
      <c r="AF74" s="14"/>
      <c r="AG74" s="10"/>
      <c r="AH74" s="10"/>
      <c r="AI74" s="10"/>
      <c r="AJ74" s="10"/>
      <c r="AK74" s="10"/>
      <c r="AL74" s="10"/>
      <c r="AM74" s="10"/>
      <c r="AN74" s="16"/>
    </row>
    <row r="75" spans="10:40" x14ac:dyDescent="0.2">
      <c r="J75" s="47">
        <v>10</v>
      </c>
      <c r="K75" s="67">
        <f t="shared" si="23"/>
        <v>-177.28</v>
      </c>
      <c r="L75" s="63">
        <v>-353.17500000000001</v>
      </c>
      <c r="M75" s="5">
        <v>0.7</v>
      </c>
      <c r="N75" s="10"/>
      <c r="O75" s="34">
        <v>10</v>
      </c>
      <c r="P75" s="67">
        <f t="shared" si="24"/>
        <v>-189</v>
      </c>
      <c r="Q75" s="63">
        <v>-377</v>
      </c>
      <c r="R75" s="5">
        <v>0.7</v>
      </c>
      <c r="S75" s="10"/>
      <c r="T75" s="34">
        <v>10</v>
      </c>
      <c r="U75" s="67">
        <f t="shared" si="25"/>
        <v>-202</v>
      </c>
      <c r="V75" s="63">
        <v>-402</v>
      </c>
      <c r="W75" s="48">
        <v>0.7</v>
      </c>
      <c r="AA75" s="47">
        <v>10</v>
      </c>
      <c r="AB75" s="67">
        <f t="shared" si="26"/>
        <v>177.28</v>
      </c>
      <c r="AC75" s="63">
        <v>353.17500000000001</v>
      </c>
      <c r="AD75" s="5">
        <v>0.7</v>
      </c>
      <c r="AE75" s="10"/>
      <c r="AF75" s="55"/>
      <c r="AG75" s="10"/>
      <c r="AH75" s="10"/>
      <c r="AI75" s="10"/>
      <c r="AJ75" s="10"/>
      <c r="AK75" s="10"/>
      <c r="AL75" s="10"/>
      <c r="AM75" s="10"/>
      <c r="AN75" s="16"/>
    </row>
    <row r="76" spans="10:40" x14ac:dyDescent="0.2">
      <c r="J76" s="47">
        <v>20</v>
      </c>
      <c r="K76" s="67">
        <f t="shared" si="23"/>
        <v>-351.79</v>
      </c>
      <c r="L76" s="63">
        <v>-704.96500000000003</v>
      </c>
      <c r="M76" s="5">
        <v>0.7</v>
      </c>
      <c r="N76" s="10"/>
      <c r="O76" s="34">
        <v>20</v>
      </c>
      <c r="P76" s="67">
        <f t="shared" si="24"/>
        <v>-376</v>
      </c>
      <c r="Q76" s="63">
        <v>-753</v>
      </c>
      <c r="R76" s="5">
        <v>0.7</v>
      </c>
      <c r="S76" s="10"/>
      <c r="T76" s="34">
        <v>20</v>
      </c>
      <c r="U76" s="67">
        <f t="shared" si="25"/>
        <v>-400</v>
      </c>
      <c r="V76" s="63">
        <v>-802</v>
      </c>
      <c r="W76" s="48">
        <v>0.7</v>
      </c>
      <c r="AA76" s="47">
        <v>20</v>
      </c>
      <c r="AB76" s="67">
        <f t="shared" si="26"/>
        <v>351.79</v>
      </c>
      <c r="AC76" s="63">
        <v>704.96500000000003</v>
      </c>
      <c r="AD76" s="5">
        <v>0.7</v>
      </c>
      <c r="AE76" s="10"/>
      <c r="AF76" s="14"/>
      <c r="AG76" s="10"/>
      <c r="AH76" s="10"/>
      <c r="AI76" s="10"/>
      <c r="AJ76" s="10"/>
      <c r="AK76" s="10"/>
      <c r="AL76" s="10"/>
      <c r="AM76" s="10"/>
      <c r="AN76" s="16"/>
    </row>
    <row r="77" spans="10:40" x14ac:dyDescent="0.2">
      <c r="J77" s="47">
        <v>30</v>
      </c>
      <c r="K77" s="67">
        <f t="shared" si="23"/>
        <v>-353.17500000000007</v>
      </c>
      <c r="L77" s="63">
        <v>-1058.1400000000001</v>
      </c>
      <c r="M77" s="5">
        <v>0.7</v>
      </c>
      <c r="N77" s="10"/>
      <c r="O77" s="34">
        <v>30</v>
      </c>
      <c r="P77" s="67">
        <f t="shared" si="24"/>
        <v>-377</v>
      </c>
      <c r="Q77" s="63">
        <v>-1130</v>
      </c>
      <c r="R77" s="5">
        <v>0.7</v>
      </c>
      <c r="S77" s="10"/>
      <c r="T77" s="34">
        <v>30</v>
      </c>
      <c r="U77" s="67">
        <f t="shared" si="25"/>
        <v>-401</v>
      </c>
      <c r="V77" s="63">
        <v>-1203</v>
      </c>
      <c r="W77" s="48">
        <v>0.7</v>
      </c>
      <c r="AA77" s="47">
        <v>30</v>
      </c>
      <c r="AB77" s="67">
        <f t="shared" si="26"/>
        <v>353.17500000000007</v>
      </c>
      <c r="AC77" s="63">
        <v>1058.1400000000001</v>
      </c>
      <c r="AD77" s="5">
        <v>0.7</v>
      </c>
      <c r="AE77" s="10"/>
      <c r="AF77" s="14"/>
      <c r="AG77" s="10"/>
      <c r="AH77" s="10"/>
      <c r="AI77" s="10"/>
      <c r="AJ77" s="10"/>
      <c r="AK77" s="10"/>
      <c r="AL77" s="10"/>
      <c r="AM77" s="10"/>
      <c r="AN77" s="16"/>
    </row>
    <row r="78" spans="10:40" x14ac:dyDescent="0.2">
      <c r="J78" s="47">
        <v>40</v>
      </c>
      <c r="K78" s="67">
        <f t="shared" si="23"/>
        <v>-351.78999999999996</v>
      </c>
      <c r="L78" s="64">
        <v>-1409.93</v>
      </c>
      <c r="M78" s="25">
        <v>0.7</v>
      </c>
      <c r="N78" s="10"/>
      <c r="O78" s="34">
        <v>40</v>
      </c>
      <c r="P78" s="67">
        <f t="shared" si="24"/>
        <v>-376</v>
      </c>
      <c r="Q78" s="64">
        <v>-1506</v>
      </c>
      <c r="R78" s="25">
        <v>0.7</v>
      </c>
      <c r="S78" s="10"/>
      <c r="T78" s="34">
        <v>40</v>
      </c>
      <c r="U78" s="67">
        <f t="shared" si="25"/>
        <v>-400</v>
      </c>
      <c r="V78" s="64">
        <v>-1603</v>
      </c>
      <c r="W78" s="49">
        <v>0.7</v>
      </c>
      <c r="AA78" s="47">
        <v>40</v>
      </c>
      <c r="AB78" s="67">
        <f t="shared" si="26"/>
        <v>351.78999999999996</v>
      </c>
      <c r="AC78" s="64">
        <v>1409.93</v>
      </c>
      <c r="AD78" s="25">
        <v>0.7</v>
      </c>
      <c r="AE78" s="10"/>
      <c r="AF78" s="14"/>
      <c r="AG78" s="10"/>
      <c r="AH78" s="10"/>
      <c r="AI78" s="10"/>
      <c r="AJ78" s="10"/>
      <c r="AK78" s="10"/>
      <c r="AL78" s="10"/>
      <c r="AM78" s="10"/>
      <c r="AN78" s="16"/>
    </row>
    <row r="79" spans="10:40" x14ac:dyDescent="0.2">
      <c r="J79" s="47">
        <v>50</v>
      </c>
      <c r="K79" s="67">
        <f t="shared" si="23"/>
        <v>-351.78999999999996</v>
      </c>
      <c r="L79" s="63">
        <v>-1761.72</v>
      </c>
      <c r="M79" s="5">
        <v>0.7</v>
      </c>
      <c r="N79" s="10"/>
      <c r="O79" s="34">
        <v>50</v>
      </c>
      <c r="P79" s="67">
        <f t="shared" si="24"/>
        <v>-375</v>
      </c>
      <c r="Q79" s="63">
        <v>-1881</v>
      </c>
      <c r="R79" s="5">
        <v>0.7</v>
      </c>
      <c r="S79" s="10"/>
      <c r="T79" s="34">
        <v>50</v>
      </c>
      <c r="U79" s="67">
        <f t="shared" si="25"/>
        <v>-400</v>
      </c>
      <c r="V79" s="63">
        <v>-2003</v>
      </c>
      <c r="W79" s="48">
        <v>0.7</v>
      </c>
      <c r="AA79" s="47">
        <v>50</v>
      </c>
      <c r="AB79" s="67">
        <f t="shared" si="26"/>
        <v>351.78999999999996</v>
      </c>
      <c r="AC79" s="63">
        <v>1761.72</v>
      </c>
      <c r="AD79" s="5">
        <v>0.7</v>
      </c>
      <c r="AE79" s="10"/>
      <c r="AF79" s="14"/>
      <c r="AG79" s="10"/>
      <c r="AH79" s="10"/>
      <c r="AI79" s="10"/>
      <c r="AJ79" s="10"/>
      <c r="AK79" s="10"/>
      <c r="AL79" s="10"/>
      <c r="AM79" s="10"/>
      <c r="AN79" s="16"/>
    </row>
    <row r="80" spans="10:40" x14ac:dyDescent="0.2">
      <c r="J80" s="58" t="s">
        <v>18</v>
      </c>
      <c r="K80" s="59">
        <f>L78/L75</f>
        <v>3.9921568627450981</v>
      </c>
      <c r="L80" s="35"/>
      <c r="M80" s="5"/>
      <c r="N80" s="10"/>
      <c r="O80" s="60" t="s">
        <v>18</v>
      </c>
      <c r="P80" s="59">
        <f>Q78/Q75</f>
        <v>3.9946949602122017</v>
      </c>
      <c r="Q80" s="35"/>
      <c r="R80" s="5"/>
      <c r="S80" s="10"/>
      <c r="T80" s="60" t="s">
        <v>18</v>
      </c>
      <c r="U80" s="59">
        <f>V78/V75</f>
        <v>3.9875621890547261</v>
      </c>
      <c r="V80" s="35"/>
      <c r="W80" s="48"/>
      <c r="AA80" s="61" t="s">
        <v>18</v>
      </c>
      <c r="AB80" s="62">
        <f>AC78/AC75</f>
        <v>3.9921568627450981</v>
      </c>
      <c r="AC80" s="50"/>
      <c r="AD80" s="51"/>
      <c r="AE80" s="3"/>
      <c r="AF80" s="7"/>
      <c r="AG80" s="3"/>
      <c r="AH80" s="3"/>
      <c r="AI80" s="3"/>
      <c r="AJ80" s="3"/>
      <c r="AK80" s="3"/>
      <c r="AL80" s="3"/>
      <c r="AM80" s="3"/>
      <c r="AN80" s="8"/>
    </row>
    <row r="81" spans="10:23" x14ac:dyDescent="0.2">
      <c r="J81" s="14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6"/>
    </row>
    <row r="82" spans="10:23" x14ac:dyDescent="0.2">
      <c r="J82" s="14"/>
      <c r="K82" s="10"/>
      <c r="L82" s="26">
        <v>3.2</v>
      </c>
      <c r="M82" s="10" t="s">
        <v>0</v>
      </c>
      <c r="N82" s="10"/>
      <c r="O82" s="10"/>
      <c r="P82" s="10"/>
      <c r="Q82" s="26">
        <v>3.3</v>
      </c>
      <c r="R82" s="10" t="s">
        <v>0</v>
      </c>
      <c r="S82" s="10"/>
      <c r="T82" s="10"/>
      <c r="U82" s="10"/>
      <c r="V82" s="10"/>
      <c r="W82" s="16"/>
    </row>
    <row r="83" spans="10:23" x14ac:dyDescent="0.2">
      <c r="J83" s="14"/>
      <c r="K83" s="10"/>
      <c r="L83" s="26">
        <v>7.34</v>
      </c>
      <c r="M83" s="10" t="s">
        <v>1</v>
      </c>
      <c r="N83" s="10"/>
      <c r="O83" s="10"/>
      <c r="P83" s="10"/>
      <c r="Q83" s="26">
        <v>7.77</v>
      </c>
      <c r="R83" s="10" t="s">
        <v>1</v>
      </c>
      <c r="S83" s="10"/>
      <c r="T83" s="10"/>
      <c r="U83" s="10"/>
      <c r="V83" s="10"/>
      <c r="W83" s="16"/>
    </row>
    <row r="84" spans="10:23" x14ac:dyDescent="0.2">
      <c r="J84" s="14"/>
      <c r="K84" s="10"/>
      <c r="L84" s="26">
        <v>85</v>
      </c>
      <c r="M84" s="10" t="s">
        <v>8</v>
      </c>
      <c r="N84" s="10"/>
      <c r="O84" s="10"/>
      <c r="P84" s="10"/>
      <c r="Q84" s="26">
        <v>85</v>
      </c>
      <c r="R84" s="10" t="s">
        <v>8</v>
      </c>
      <c r="S84" s="10"/>
      <c r="T84" s="10"/>
      <c r="U84" s="10"/>
      <c r="V84" s="10"/>
      <c r="W84" s="16"/>
    </row>
    <row r="85" spans="10:23" x14ac:dyDescent="0.2">
      <c r="J85" s="45" t="s">
        <v>9</v>
      </c>
      <c r="K85" s="65" t="s">
        <v>16</v>
      </c>
      <c r="L85" s="31" t="s">
        <v>10</v>
      </c>
      <c r="M85" s="30" t="s">
        <v>11</v>
      </c>
      <c r="N85" s="10"/>
      <c r="O85" s="30" t="s">
        <v>9</v>
      </c>
      <c r="P85" s="65" t="s">
        <v>16</v>
      </c>
      <c r="Q85" s="31" t="s">
        <v>10</v>
      </c>
      <c r="R85" s="30" t="s">
        <v>11</v>
      </c>
      <c r="S85" s="10"/>
      <c r="T85" s="10"/>
      <c r="U85" s="10"/>
      <c r="V85" s="10"/>
      <c r="W85" s="16"/>
    </row>
    <row r="86" spans="10:23" x14ac:dyDescent="0.2">
      <c r="J86" s="47">
        <v>1</v>
      </c>
      <c r="K86" s="66"/>
      <c r="L86" s="63">
        <v>-44</v>
      </c>
      <c r="M86" s="5">
        <v>0.7</v>
      </c>
      <c r="N86" s="10"/>
      <c r="O86" s="34">
        <v>1</v>
      </c>
      <c r="P86" s="66"/>
      <c r="Q86" s="63">
        <v>-46</v>
      </c>
      <c r="R86" s="5">
        <v>0.7</v>
      </c>
      <c r="S86" s="10"/>
      <c r="T86" s="10"/>
      <c r="U86" s="10"/>
      <c r="V86" s="10"/>
      <c r="W86" s="16"/>
    </row>
    <row r="87" spans="10:23" x14ac:dyDescent="0.2">
      <c r="J87" s="47">
        <v>2</v>
      </c>
      <c r="K87" s="67">
        <f>L87-L86</f>
        <v>-41</v>
      </c>
      <c r="L87" s="64">
        <v>-85</v>
      </c>
      <c r="M87" s="25">
        <v>0.7</v>
      </c>
      <c r="N87" s="10"/>
      <c r="O87" s="34">
        <v>2</v>
      </c>
      <c r="P87" s="67">
        <f>Q87-Q86</f>
        <v>-45</v>
      </c>
      <c r="Q87" s="64">
        <v>-91</v>
      </c>
      <c r="R87" s="25">
        <v>0.7</v>
      </c>
      <c r="S87" s="10"/>
      <c r="T87" s="10"/>
      <c r="U87" s="10"/>
      <c r="V87" s="10"/>
      <c r="W87" s="16"/>
    </row>
    <row r="88" spans="10:23" x14ac:dyDescent="0.2">
      <c r="J88" s="47">
        <v>3</v>
      </c>
      <c r="K88" s="67">
        <f t="shared" ref="K88:K95" si="27">L88-L87</f>
        <v>-42</v>
      </c>
      <c r="L88" s="63">
        <v>-127</v>
      </c>
      <c r="M88" s="5">
        <v>0.7</v>
      </c>
      <c r="N88" s="10"/>
      <c r="O88" s="34">
        <v>3</v>
      </c>
      <c r="P88" s="67">
        <f t="shared" ref="P88:P95" si="28">Q88-Q87</f>
        <v>-44</v>
      </c>
      <c r="Q88" s="63">
        <v>-135</v>
      </c>
      <c r="R88" s="5">
        <v>0.7</v>
      </c>
      <c r="S88" s="10"/>
      <c r="T88" s="10"/>
      <c r="U88" s="10"/>
      <c r="V88" s="10"/>
      <c r="W88" s="16"/>
    </row>
    <row r="89" spans="10:23" x14ac:dyDescent="0.2">
      <c r="J89" s="47">
        <v>4</v>
      </c>
      <c r="K89" s="67">
        <f t="shared" si="27"/>
        <v>-44</v>
      </c>
      <c r="L89" s="63">
        <v>-171</v>
      </c>
      <c r="M89" s="5">
        <v>0.7</v>
      </c>
      <c r="N89" s="10"/>
      <c r="O89" s="34">
        <v>4</v>
      </c>
      <c r="P89" s="67">
        <f t="shared" si="28"/>
        <v>-46</v>
      </c>
      <c r="Q89" s="63">
        <v>-181</v>
      </c>
      <c r="R89" s="5">
        <v>0.7</v>
      </c>
      <c r="S89" s="10"/>
      <c r="T89" s="10"/>
      <c r="U89" s="10"/>
      <c r="V89" s="10"/>
      <c r="W89" s="16"/>
    </row>
    <row r="90" spans="10:23" x14ac:dyDescent="0.2">
      <c r="J90" s="47">
        <v>5</v>
      </c>
      <c r="K90" s="67">
        <f t="shared" si="27"/>
        <v>-42</v>
      </c>
      <c r="L90" s="64">
        <v>-213</v>
      </c>
      <c r="M90" s="25">
        <v>0.7</v>
      </c>
      <c r="N90" s="10"/>
      <c r="O90" s="34">
        <v>5</v>
      </c>
      <c r="P90" s="67">
        <f t="shared" si="28"/>
        <v>-45</v>
      </c>
      <c r="Q90" s="64">
        <v>-226</v>
      </c>
      <c r="R90" s="25">
        <v>0.7</v>
      </c>
      <c r="S90" s="10"/>
      <c r="T90" s="10"/>
      <c r="U90" s="10"/>
      <c r="V90" s="10"/>
      <c r="W90" s="16"/>
    </row>
    <row r="91" spans="10:23" x14ac:dyDescent="0.2">
      <c r="J91" s="47">
        <v>10</v>
      </c>
      <c r="K91" s="67">
        <f t="shared" si="27"/>
        <v>-214</v>
      </c>
      <c r="L91" s="63">
        <v>-427</v>
      </c>
      <c r="M91" s="5">
        <v>0.7</v>
      </c>
      <c r="N91" s="10"/>
      <c r="O91" s="34">
        <v>10</v>
      </c>
      <c r="P91" s="67">
        <f t="shared" si="28"/>
        <v>-227</v>
      </c>
      <c r="Q91" s="63">
        <v>-453</v>
      </c>
      <c r="R91" s="5">
        <v>0.7</v>
      </c>
      <c r="S91" s="10"/>
      <c r="T91" s="10"/>
      <c r="U91" s="10"/>
      <c r="V91" s="10"/>
      <c r="W91" s="16"/>
    </row>
    <row r="92" spans="10:23" x14ac:dyDescent="0.2">
      <c r="J92" s="47">
        <v>20</v>
      </c>
      <c r="K92" s="67">
        <f t="shared" si="27"/>
        <v>-425</v>
      </c>
      <c r="L92" s="63">
        <v>-852</v>
      </c>
      <c r="M92" s="5">
        <v>0.7</v>
      </c>
      <c r="N92" s="10"/>
      <c r="O92" s="34">
        <v>20</v>
      </c>
      <c r="P92" s="67">
        <f t="shared" si="28"/>
        <v>-451</v>
      </c>
      <c r="Q92" s="63">
        <v>-904</v>
      </c>
      <c r="R92" s="5">
        <v>0.7</v>
      </c>
      <c r="S92" s="10"/>
      <c r="T92" s="10"/>
      <c r="U92" s="10"/>
      <c r="V92" s="10"/>
      <c r="W92" s="16"/>
    </row>
    <row r="93" spans="10:23" x14ac:dyDescent="0.2">
      <c r="J93" s="47">
        <v>30</v>
      </c>
      <c r="K93" s="67">
        <f t="shared" si="27"/>
        <v>-427</v>
      </c>
      <c r="L93" s="63">
        <v>-1279</v>
      </c>
      <c r="M93" s="5">
        <v>0.7</v>
      </c>
      <c r="N93" s="10"/>
      <c r="O93" s="34">
        <v>30</v>
      </c>
      <c r="P93" s="67">
        <f t="shared" si="28"/>
        <v>-453</v>
      </c>
      <c r="Q93" s="63">
        <v>-1357</v>
      </c>
      <c r="R93" s="5">
        <v>0.7</v>
      </c>
      <c r="S93" s="10"/>
      <c r="T93" s="10"/>
      <c r="U93" s="10"/>
      <c r="V93" s="10"/>
      <c r="W93" s="16"/>
    </row>
    <row r="94" spans="10:23" x14ac:dyDescent="0.2">
      <c r="J94" s="47">
        <v>40</v>
      </c>
      <c r="K94" s="67">
        <f t="shared" si="27"/>
        <v>-425</v>
      </c>
      <c r="L94" s="64">
        <v>-1704</v>
      </c>
      <c r="M94" s="25">
        <v>0.7</v>
      </c>
      <c r="N94" s="10"/>
      <c r="O94" s="34">
        <v>40</v>
      </c>
      <c r="P94" s="67">
        <f t="shared" si="28"/>
        <v>-451</v>
      </c>
      <c r="Q94" s="64">
        <v>-1808</v>
      </c>
      <c r="R94" s="25">
        <v>0.7</v>
      </c>
      <c r="S94" s="10"/>
      <c r="T94" s="10"/>
      <c r="U94" s="10"/>
      <c r="V94" s="10"/>
      <c r="W94" s="16"/>
    </row>
    <row r="95" spans="10:23" x14ac:dyDescent="0.2">
      <c r="J95" s="47">
        <v>50</v>
      </c>
      <c r="K95" s="67">
        <f t="shared" si="27"/>
        <v>-425</v>
      </c>
      <c r="L95" s="63">
        <v>-2129</v>
      </c>
      <c r="M95" s="5">
        <v>0.7</v>
      </c>
      <c r="N95" s="10"/>
      <c r="O95" s="34">
        <v>50</v>
      </c>
      <c r="P95" s="67">
        <f t="shared" si="28"/>
        <v>-451</v>
      </c>
      <c r="Q95" s="63">
        <v>-2259</v>
      </c>
      <c r="R95" s="5">
        <v>0.7</v>
      </c>
      <c r="S95" s="10"/>
      <c r="T95" s="10"/>
      <c r="U95" s="10"/>
      <c r="V95" s="10"/>
      <c r="W95" s="16"/>
    </row>
    <row r="96" spans="10:23" x14ac:dyDescent="0.2">
      <c r="J96" s="61" t="s">
        <v>18</v>
      </c>
      <c r="K96" s="62">
        <f>L94/L91</f>
        <v>3.9906323185011709</v>
      </c>
      <c r="L96" s="50"/>
      <c r="M96" s="51"/>
      <c r="N96" s="3"/>
      <c r="O96" s="123" t="s">
        <v>18</v>
      </c>
      <c r="P96" s="62">
        <f>Q94/Q91</f>
        <v>3.9911699779249448</v>
      </c>
      <c r="Q96" s="50"/>
      <c r="R96" s="51"/>
      <c r="S96" s="3"/>
      <c r="T96" s="3"/>
      <c r="U96" s="3"/>
      <c r="V96" s="3"/>
      <c r="W96" s="8"/>
    </row>
    <row r="97" spans="15:23" x14ac:dyDescent="0.2">
      <c r="O97" s="14"/>
      <c r="P97" s="10"/>
      <c r="Q97" s="10"/>
      <c r="R97" s="10"/>
      <c r="S97" s="10"/>
      <c r="T97" s="10"/>
      <c r="U97" s="10"/>
      <c r="V97" s="10"/>
      <c r="W97" s="16"/>
    </row>
    <row r="98" spans="15:23" x14ac:dyDescent="0.2">
      <c r="O98" s="55" t="s">
        <v>33</v>
      </c>
      <c r="P98" s="10"/>
      <c r="Q98" s="10"/>
      <c r="R98" s="10"/>
      <c r="S98" s="10"/>
      <c r="T98" s="10"/>
      <c r="U98" s="10"/>
      <c r="V98" s="10"/>
      <c r="W98" s="16"/>
    </row>
    <row r="99" spans="15:23" x14ac:dyDescent="0.2">
      <c r="O99" s="55" t="s">
        <v>34</v>
      </c>
      <c r="P99" s="10"/>
      <c r="Q99" s="10"/>
      <c r="R99" s="10"/>
      <c r="S99" s="10"/>
      <c r="T99" s="10"/>
      <c r="U99" s="10"/>
      <c r="V99" s="10"/>
      <c r="W99" s="16"/>
    </row>
    <row r="100" spans="15:23" x14ac:dyDescent="0.2">
      <c r="O100" s="55" t="s">
        <v>35</v>
      </c>
      <c r="P100" s="10"/>
      <c r="Q100" s="10"/>
      <c r="R100" s="10"/>
      <c r="S100" s="10"/>
      <c r="T100" s="10"/>
      <c r="U100" s="10"/>
      <c r="V100" s="10"/>
      <c r="W100" s="16"/>
    </row>
    <row r="101" spans="15:23" x14ac:dyDescent="0.2">
      <c r="O101" s="91"/>
      <c r="P101" s="10"/>
      <c r="Q101" s="10"/>
      <c r="R101" s="10"/>
      <c r="S101" s="10"/>
      <c r="T101" s="10"/>
      <c r="U101" s="10"/>
      <c r="V101" s="10"/>
      <c r="W101" s="16"/>
    </row>
    <row r="102" spans="15:23" x14ac:dyDescent="0.2">
      <c r="O102" s="92" t="s">
        <v>21</v>
      </c>
      <c r="P102" s="10"/>
      <c r="Q102" s="10"/>
      <c r="R102" s="10"/>
      <c r="S102" s="10"/>
      <c r="T102" s="10"/>
      <c r="U102" s="10"/>
      <c r="V102" s="10"/>
      <c r="W102" s="16"/>
    </row>
    <row r="103" spans="15:23" x14ac:dyDescent="0.2">
      <c r="O103" s="55"/>
      <c r="P103" s="10"/>
      <c r="Q103" s="10"/>
      <c r="R103" s="10"/>
      <c r="S103" s="10"/>
      <c r="T103" s="10"/>
      <c r="U103" s="10"/>
      <c r="V103" s="10"/>
      <c r="W103" s="16"/>
    </row>
    <row r="104" spans="15:23" x14ac:dyDescent="0.2">
      <c r="O104" s="14"/>
      <c r="P104" s="10"/>
      <c r="Q104" s="10"/>
      <c r="R104" s="10"/>
      <c r="S104" s="10"/>
      <c r="T104" s="10"/>
      <c r="U104" s="10"/>
      <c r="V104" s="10"/>
      <c r="W104" s="16"/>
    </row>
    <row r="105" spans="15:23" x14ac:dyDescent="0.2">
      <c r="O105" s="14"/>
      <c r="P105" s="10"/>
      <c r="Q105" s="10"/>
      <c r="R105" s="10"/>
      <c r="S105" s="10"/>
      <c r="T105" s="10"/>
      <c r="U105" s="10"/>
      <c r="V105" s="10"/>
      <c r="W105" s="16"/>
    </row>
    <row r="106" spans="15:23" x14ac:dyDescent="0.2">
      <c r="O106" s="14"/>
      <c r="P106" s="10"/>
      <c r="Q106" s="10"/>
      <c r="R106" s="10"/>
      <c r="S106" s="10"/>
      <c r="T106" s="10"/>
      <c r="U106" s="10"/>
      <c r="V106" s="10"/>
      <c r="W106" s="16"/>
    </row>
    <row r="107" spans="15:23" x14ac:dyDescent="0.2">
      <c r="O107" s="14"/>
      <c r="P107" s="10"/>
      <c r="Q107" s="10"/>
      <c r="R107" s="10"/>
      <c r="S107" s="10"/>
      <c r="T107" s="10"/>
      <c r="U107" s="10"/>
      <c r="V107" s="10"/>
      <c r="W107" s="16"/>
    </row>
    <row r="108" spans="15:23" x14ac:dyDescent="0.2">
      <c r="O108" s="7"/>
      <c r="P108" s="3"/>
      <c r="Q108" s="3"/>
      <c r="R108" s="3"/>
      <c r="S108" s="3"/>
      <c r="T108" s="3"/>
      <c r="U108" s="3"/>
      <c r="V108" s="3"/>
      <c r="W108" s="8"/>
    </row>
  </sheetData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AS113"/>
  <sheetViews>
    <sheetView showGridLines="0" topLeftCell="A67" zoomScale="90" zoomScaleNormal="90" workbookViewId="0">
      <selection activeCell="I92" sqref="I92"/>
    </sheetView>
  </sheetViews>
  <sheetFormatPr defaultRowHeight="12.75" x14ac:dyDescent="0.2"/>
  <cols>
    <col min="3" max="3" width="9.140625" customWidth="1"/>
    <col min="7" max="7" width="5.7109375" customWidth="1"/>
    <col min="9" max="9" width="9.140625" customWidth="1"/>
    <col min="11" max="12" width="9.140625" customWidth="1"/>
    <col min="13" max="13" width="5.7109375" customWidth="1"/>
    <col min="15" max="15" width="9.140625" customWidth="1"/>
    <col min="20" max="20" width="5.7109375" customWidth="1"/>
  </cols>
  <sheetData>
    <row r="1" spans="1:45" x14ac:dyDescent="0.2">
      <c r="T1" s="158" t="s">
        <v>81</v>
      </c>
    </row>
    <row r="2" spans="1:45" x14ac:dyDescent="0.2">
      <c r="A2" t="s">
        <v>6</v>
      </c>
    </row>
    <row r="3" spans="1:45" x14ac:dyDescent="0.2">
      <c r="A3" s="1" t="s">
        <v>7</v>
      </c>
    </row>
    <row r="4" spans="1:45" x14ac:dyDescent="0.2">
      <c r="A4" s="24" t="s">
        <v>23</v>
      </c>
    </row>
    <row r="5" spans="1:45" x14ac:dyDescent="0.2">
      <c r="N5" s="1"/>
      <c r="O5" s="1"/>
    </row>
    <row r="6" spans="1:45" x14ac:dyDescent="0.2">
      <c r="A6" s="21" t="s">
        <v>5</v>
      </c>
    </row>
    <row r="7" spans="1:45" x14ac:dyDescent="0.2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1:45" x14ac:dyDescent="0.2">
      <c r="B8" s="112" t="s">
        <v>44</v>
      </c>
    </row>
    <row r="9" spans="1:45" x14ac:dyDescent="0.2">
      <c r="B9" s="112" t="s">
        <v>45</v>
      </c>
    </row>
    <row r="11" spans="1:45" ht="15.75" x14ac:dyDescent="0.25">
      <c r="A11" s="125" t="s">
        <v>60</v>
      </c>
    </row>
    <row r="13" spans="1:45" x14ac:dyDescent="0.2"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44" t="s">
        <v>5</v>
      </c>
      <c r="N13" s="12"/>
      <c r="O13" s="12"/>
      <c r="P13" s="12"/>
      <c r="Q13" s="12"/>
      <c r="R13" s="13"/>
      <c r="S13" s="10"/>
      <c r="AS13" t="s">
        <v>32</v>
      </c>
    </row>
    <row r="14" spans="1:45" ht="15" x14ac:dyDescent="0.2">
      <c r="B14" s="56" t="s">
        <v>22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52"/>
      <c r="N14" s="10"/>
      <c r="O14" s="10"/>
      <c r="P14" s="10"/>
      <c r="Q14" s="10"/>
      <c r="R14" s="16"/>
      <c r="S14" s="10"/>
      <c r="U14" s="73" t="s">
        <v>24</v>
      </c>
      <c r="V14" s="74" t="s">
        <v>25</v>
      </c>
      <c r="W14" s="75" t="s">
        <v>26</v>
      </c>
      <c r="X14" t="s">
        <v>38</v>
      </c>
    </row>
    <row r="15" spans="1:45" ht="15" x14ac:dyDescent="0.2">
      <c r="B15" s="111" t="s">
        <v>42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52"/>
      <c r="N15" s="10"/>
      <c r="O15" s="10"/>
      <c r="P15" s="10"/>
      <c r="Q15" s="10"/>
      <c r="R15" s="16"/>
      <c r="S15" s="10"/>
      <c r="U15" s="76">
        <v>1</v>
      </c>
      <c r="V15" s="69">
        <v>52</v>
      </c>
      <c r="W15" s="77">
        <v>37</v>
      </c>
    </row>
    <row r="16" spans="1:45" ht="15" x14ac:dyDescent="0.2">
      <c r="B16" s="111" t="s">
        <v>43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6"/>
      <c r="S16" s="10"/>
      <c r="T16" s="108">
        <f>V16-V15</f>
        <v>16</v>
      </c>
      <c r="U16" s="76">
        <v>2</v>
      </c>
      <c r="V16" s="69">
        <v>68</v>
      </c>
      <c r="W16" s="77">
        <v>61</v>
      </c>
    </row>
    <row r="17" spans="1:24" ht="15" x14ac:dyDescent="0.2">
      <c r="B17" s="14"/>
      <c r="C17" s="10"/>
      <c r="D17" s="26">
        <v>2.4500000000000002</v>
      </c>
      <c r="E17" s="10" t="s">
        <v>0</v>
      </c>
      <c r="F17" s="10"/>
      <c r="G17" s="10"/>
      <c r="H17" s="10"/>
      <c r="I17" s="10"/>
      <c r="J17" s="26">
        <v>2.5</v>
      </c>
      <c r="K17" s="10" t="s">
        <v>0</v>
      </c>
      <c r="L17" s="10"/>
      <c r="M17" s="10"/>
      <c r="N17" s="10"/>
      <c r="O17" s="10"/>
      <c r="P17" s="26">
        <v>2.5499999999999998</v>
      </c>
      <c r="Q17" s="10" t="s">
        <v>0</v>
      </c>
      <c r="R17" s="16"/>
      <c r="S17" s="10"/>
      <c r="T17" s="108">
        <f t="shared" ref="T17:T24" si="0">V17-V16</f>
        <v>16</v>
      </c>
      <c r="U17" s="76">
        <v>3</v>
      </c>
      <c r="V17" s="69">
        <v>84</v>
      </c>
      <c r="W17" s="77">
        <v>82</v>
      </c>
    </row>
    <row r="18" spans="1:24" ht="15" x14ac:dyDescent="0.2">
      <c r="B18" s="14"/>
      <c r="C18" s="10"/>
      <c r="D18" s="26">
        <v>4.47</v>
      </c>
      <c r="E18" s="10" t="s">
        <v>1</v>
      </c>
      <c r="F18" s="10"/>
      <c r="G18" s="10"/>
      <c r="H18" s="10"/>
      <c r="I18" s="10"/>
      <c r="J18" s="26">
        <v>4.6500000000000004</v>
      </c>
      <c r="K18" s="10" t="s">
        <v>1</v>
      </c>
      <c r="L18" s="10"/>
      <c r="M18" s="10"/>
      <c r="N18" s="10"/>
      <c r="O18" s="10"/>
      <c r="P18" s="26">
        <v>4.82</v>
      </c>
      <c r="Q18" s="10" t="s">
        <v>1</v>
      </c>
      <c r="R18" s="16"/>
      <c r="S18" s="10"/>
      <c r="T18" s="108">
        <f t="shared" si="0"/>
        <v>16</v>
      </c>
      <c r="U18" s="76">
        <v>4</v>
      </c>
      <c r="V18" s="69">
        <v>100</v>
      </c>
      <c r="W18" s="77">
        <v>101</v>
      </c>
    </row>
    <row r="19" spans="1:24" ht="15" x14ac:dyDescent="0.2">
      <c r="B19" s="14"/>
      <c r="C19" s="10"/>
      <c r="D19" s="26">
        <v>85</v>
      </c>
      <c r="E19" s="10" t="s">
        <v>8</v>
      </c>
      <c r="F19" s="10"/>
      <c r="G19" s="10"/>
      <c r="H19" s="10"/>
      <c r="I19" s="10"/>
      <c r="J19" s="26">
        <v>85</v>
      </c>
      <c r="K19" s="10" t="s">
        <v>8</v>
      </c>
      <c r="L19" s="10"/>
      <c r="M19" s="10"/>
      <c r="N19" s="10"/>
      <c r="O19" s="10"/>
      <c r="P19" s="26">
        <v>85</v>
      </c>
      <c r="Q19" s="10" t="s">
        <v>8</v>
      </c>
      <c r="R19" s="16"/>
      <c r="S19" s="104"/>
      <c r="T19" s="108">
        <f t="shared" si="0"/>
        <v>16</v>
      </c>
      <c r="U19" s="76">
        <v>5</v>
      </c>
      <c r="V19" s="70">
        <v>116</v>
      </c>
      <c r="W19" s="78">
        <v>119</v>
      </c>
    </row>
    <row r="20" spans="1:24" ht="15" x14ac:dyDescent="0.2">
      <c r="B20" s="45" t="s">
        <v>9</v>
      </c>
      <c r="C20" s="110" t="s">
        <v>41</v>
      </c>
      <c r="D20" s="31" t="s">
        <v>10</v>
      </c>
      <c r="E20" s="30" t="s">
        <v>11</v>
      </c>
      <c r="F20" s="86" t="s">
        <v>12</v>
      </c>
      <c r="G20" s="10"/>
      <c r="H20" s="30" t="s">
        <v>9</v>
      </c>
      <c r="I20" s="110" t="s">
        <v>41</v>
      </c>
      <c r="J20" s="31" t="s">
        <v>10</v>
      </c>
      <c r="K20" s="30" t="s">
        <v>11</v>
      </c>
      <c r="L20" s="86" t="s">
        <v>12</v>
      </c>
      <c r="M20" s="10"/>
      <c r="N20" s="30" t="s">
        <v>9</v>
      </c>
      <c r="O20" s="110" t="s">
        <v>41</v>
      </c>
      <c r="P20" s="31" t="s">
        <v>10</v>
      </c>
      <c r="Q20" s="30" t="s">
        <v>11</v>
      </c>
      <c r="R20" s="98" t="s">
        <v>12</v>
      </c>
      <c r="S20" s="105"/>
      <c r="T20" s="108">
        <f t="shared" si="0"/>
        <v>65</v>
      </c>
      <c r="U20" s="76">
        <v>10</v>
      </c>
      <c r="V20" s="69">
        <v>181</v>
      </c>
      <c r="W20" s="77">
        <v>186</v>
      </c>
    </row>
    <row r="21" spans="1:24" ht="15" x14ac:dyDescent="0.2">
      <c r="B21" s="47">
        <v>1</v>
      </c>
      <c r="C21" s="39">
        <v>40</v>
      </c>
      <c r="D21" s="63">
        <v>-26</v>
      </c>
      <c r="E21" s="5">
        <v>0.7</v>
      </c>
      <c r="F21" s="85">
        <f>(D21/C21)*-1</f>
        <v>0.65</v>
      </c>
      <c r="G21" s="10"/>
      <c r="H21" s="34">
        <v>1</v>
      </c>
      <c r="I21" s="39">
        <v>40</v>
      </c>
      <c r="J21" s="63">
        <v>-27.04</v>
      </c>
      <c r="K21" s="5">
        <v>0.7</v>
      </c>
      <c r="L21" s="85">
        <f>(J21/I21)*-1</f>
        <v>0.67599999999999993</v>
      </c>
      <c r="M21" s="10"/>
      <c r="N21" s="34">
        <v>1</v>
      </c>
      <c r="O21" s="39">
        <v>40</v>
      </c>
      <c r="P21" s="63">
        <v>-28.080000000000002</v>
      </c>
      <c r="Q21" s="5">
        <v>0.7</v>
      </c>
      <c r="R21" s="99">
        <f>(P21/O21)*-1</f>
        <v>0.70200000000000007</v>
      </c>
      <c r="S21" s="106"/>
      <c r="T21" s="108">
        <f t="shared" si="0"/>
        <v>104</v>
      </c>
      <c r="U21" s="76">
        <v>20</v>
      </c>
      <c r="V21" s="69">
        <v>285</v>
      </c>
      <c r="W21" s="77">
        <v>297</v>
      </c>
    </row>
    <row r="22" spans="1:24" ht="15" x14ac:dyDescent="0.2">
      <c r="B22" s="47">
        <v>2</v>
      </c>
      <c r="C22" s="40">
        <v>55</v>
      </c>
      <c r="D22" s="64">
        <v>-51</v>
      </c>
      <c r="E22" s="25">
        <v>0.7</v>
      </c>
      <c r="F22" s="87">
        <f t="shared" ref="F22:F30" si="1">(D22/C22)*-1</f>
        <v>0.92727272727272725</v>
      </c>
      <c r="G22" s="10"/>
      <c r="H22" s="34">
        <v>2</v>
      </c>
      <c r="I22" s="40">
        <v>55</v>
      </c>
      <c r="J22" s="64">
        <v>-53.04</v>
      </c>
      <c r="K22" s="25">
        <v>0.7</v>
      </c>
      <c r="L22" s="87">
        <f t="shared" ref="L22:L30" si="2">(J22/I22)*-1</f>
        <v>0.96436363636363631</v>
      </c>
      <c r="M22" s="10"/>
      <c r="N22" s="34">
        <v>2</v>
      </c>
      <c r="O22" s="40">
        <v>55</v>
      </c>
      <c r="P22" s="64">
        <v>-55.080000000000005</v>
      </c>
      <c r="Q22" s="25">
        <v>0.7</v>
      </c>
      <c r="R22" s="100">
        <f t="shared" ref="R22:R30" si="3">(P22/O22)*-1</f>
        <v>1.0014545454545456</v>
      </c>
      <c r="S22" s="106"/>
      <c r="T22" s="108">
        <f t="shared" si="0"/>
        <v>104</v>
      </c>
      <c r="U22" s="76">
        <v>30</v>
      </c>
      <c r="V22" s="69">
        <v>389</v>
      </c>
      <c r="W22" s="77">
        <v>398</v>
      </c>
    </row>
    <row r="23" spans="1:24" ht="15" x14ac:dyDescent="0.2">
      <c r="B23" s="47">
        <v>3</v>
      </c>
      <c r="C23" s="39">
        <v>71</v>
      </c>
      <c r="D23" s="63">
        <v>-76</v>
      </c>
      <c r="E23" s="5">
        <v>0.7</v>
      </c>
      <c r="F23" s="85">
        <f t="shared" si="1"/>
        <v>1.0704225352112675</v>
      </c>
      <c r="G23" s="10"/>
      <c r="H23" s="34">
        <v>3</v>
      </c>
      <c r="I23" s="39">
        <v>71</v>
      </c>
      <c r="J23" s="63">
        <v>-79.040000000000006</v>
      </c>
      <c r="K23" s="5">
        <v>0.7</v>
      </c>
      <c r="L23" s="85">
        <f t="shared" si="2"/>
        <v>1.1132394366197185</v>
      </c>
      <c r="M23" s="10"/>
      <c r="N23" s="34">
        <v>3</v>
      </c>
      <c r="O23" s="39">
        <v>71</v>
      </c>
      <c r="P23" s="63">
        <v>-82.080000000000013</v>
      </c>
      <c r="Q23" s="5">
        <v>0.7</v>
      </c>
      <c r="R23" s="99">
        <f t="shared" si="3"/>
        <v>1.1560563380281692</v>
      </c>
      <c r="S23" s="106"/>
      <c r="T23" s="108">
        <f t="shared" si="0"/>
        <v>103</v>
      </c>
      <c r="U23" s="76">
        <v>40</v>
      </c>
      <c r="V23" s="69">
        <v>492</v>
      </c>
      <c r="W23" s="77">
        <v>489</v>
      </c>
    </row>
    <row r="24" spans="1:24" ht="15" x14ac:dyDescent="0.2">
      <c r="B24" s="47">
        <v>4</v>
      </c>
      <c r="C24" s="39">
        <v>86</v>
      </c>
      <c r="D24" s="63">
        <v>-102</v>
      </c>
      <c r="E24" s="5">
        <v>0.7</v>
      </c>
      <c r="F24" s="85">
        <f t="shared" si="1"/>
        <v>1.1860465116279071</v>
      </c>
      <c r="G24" s="10"/>
      <c r="H24" s="34">
        <v>4</v>
      </c>
      <c r="I24" s="39">
        <v>86</v>
      </c>
      <c r="J24" s="63">
        <v>-106.08</v>
      </c>
      <c r="K24" s="5">
        <v>0.7</v>
      </c>
      <c r="L24" s="85">
        <f t="shared" si="2"/>
        <v>1.2334883720930232</v>
      </c>
      <c r="M24" s="10"/>
      <c r="N24" s="34">
        <v>4</v>
      </c>
      <c r="O24" s="39">
        <v>86</v>
      </c>
      <c r="P24" s="63">
        <v>-110.16000000000001</v>
      </c>
      <c r="Q24" s="5">
        <v>0.7</v>
      </c>
      <c r="R24" s="99">
        <f t="shared" si="3"/>
        <v>1.2809302325581398</v>
      </c>
      <c r="S24" s="106"/>
      <c r="T24" s="108">
        <f t="shared" si="0"/>
        <v>104</v>
      </c>
      <c r="U24" s="76">
        <v>50</v>
      </c>
      <c r="V24" s="70">
        <v>596</v>
      </c>
      <c r="W24" s="78">
        <v>578</v>
      </c>
    </row>
    <row r="25" spans="1:24" ht="15" x14ac:dyDescent="0.2">
      <c r="B25" s="47">
        <v>5</v>
      </c>
      <c r="C25" s="40">
        <v>101</v>
      </c>
      <c r="D25" s="64">
        <v>-127</v>
      </c>
      <c r="E25" s="25">
        <v>0.7</v>
      </c>
      <c r="F25" s="87">
        <f t="shared" si="1"/>
        <v>1.2574257425742574</v>
      </c>
      <c r="G25" s="10"/>
      <c r="H25" s="34">
        <v>5</v>
      </c>
      <c r="I25" s="40">
        <v>101</v>
      </c>
      <c r="J25" s="64">
        <v>-132.08000000000001</v>
      </c>
      <c r="K25" s="25">
        <v>0.7</v>
      </c>
      <c r="L25" s="87">
        <f t="shared" si="2"/>
        <v>1.3077227722772278</v>
      </c>
      <c r="M25" s="10"/>
      <c r="N25" s="34">
        <v>5</v>
      </c>
      <c r="O25" s="40">
        <v>101</v>
      </c>
      <c r="P25" s="64">
        <v>-137.16</v>
      </c>
      <c r="Q25" s="25">
        <v>0.7</v>
      </c>
      <c r="R25" s="100">
        <f t="shared" si="3"/>
        <v>1.3580198019801979</v>
      </c>
      <c r="S25" s="106"/>
      <c r="U25" s="79">
        <v>50.1</v>
      </c>
      <c r="V25" s="71">
        <v>3.3</v>
      </c>
      <c r="W25" s="77"/>
    </row>
    <row r="26" spans="1:24" ht="13.5" customHeight="1" x14ac:dyDescent="0.2">
      <c r="B26" s="47">
        <v>10</v>
      </c>
      <c r="C26" s="39">
        <v>166</v>
      </c>
      <c r="D26" s="63">
        <v>-255</v>
      </c>
      <c r="E26" s="5">
        <v>0.7</v>
      </c>
      <c r="F26" s="85">
        <f t="shared" si="1"/>
        <v>1.536144578313253</v>
      </c>
      <c r="G26" s="54"/>
      <c r="H26" s="34">
        <v>10</v>
      </c>
      <c r="I26" s="39">
        <v>166</v>
      </c>
      <c r="J26" s="63">
        <v>-265.2</v>
      </c>
      <c r="K26" s="5">
        <v>0.7</v>
      </c>
      <c r="L26" s="85">
        <f t="shared" si="2"/>
        <v>1.5975903614457831</v>
      </c>
      <c r="M26" s="10"/>
      <c r="N26" s="34">
        <v>10</v>
      </c>
      <c r="O26" s="39">
        <v>166</v>
      </c>
      <c r="P26" s="63">
        <v>-275.40000000000003</v>
      </c>
      <c r="Q26" s="5">
        <v>0.7</v>
      </c>
      <c r="R26" s="99">
        <f t="shared" si="3"/>
        <v>1.6590361445783135</v>
      </c>
      <c r="S26" s="106"/>
      <c r="U26" s="204" t="s">
        <v>27</v>
      </c>
      <c r="V26" s="205"/>
      <c r="W26" s="206"/>
    </row>
    <row r="27" spans="1:24" ht="15" x14ac:dyDescent="0.2">
      <c r="B27" s="47">
        <v>20</v>
      </c>
      <c r="C27" s="39">
        <v>273</v>
      </c>
      <c r="D27" s="63">
        <v>-509</v>
      </c>
      <c r="E27" s="5">
        <v>0.7</v>
      </c>
      <c r="F27" s="85">
        <f t="shared" si="1"/>
        <v>1.8644688644688645</v>
      </c>
      <c r="G27" s="10"/>
      <c r="H27" s="34">
        <v>20</v>
      </c>
      <c r="I27" s="39">
        <v>273</v>
      </c>
      <c r="J27" s="63">
        <v>-529.36</v>
      </c>
      <c r="K27" s="5">
        <v>0.7</v>
      </c>
      <c r="L27" s="85">
        <f t="shared" si="2"/>
        <v>1.9390476190476191</v>
      </c>
      <c r="M27" s="10"/>
      <c r="N27" s="34">
        <v>20</v>
      </c>
      <c r="O27" s="39">
        <v>273</v>
      </c>
      <c r="P27" s="63">
        <v>-549.72</v>
      </c>
      <c r="Q27" s="5">
        <v>0.7</v>
      </c>
      <c r="R27" s="99">
        <f t="shared" si="3"/>
        <v>2.0136263736263738</v>
      </c>
      <c r="S27" s="106"/>
      <c r="U27" s="76" t="s">
        <v>24</v>
      </c>
      <c r="V27" s="68" t="s">
        <v>25</v>
      </c>
      <c r="W27" s="80" t="s">
        <v>26</v>
      </c>
      <c r="X27" t="s">
        <v>37</v>
      </c>
    </row>
    <row r="28" spans="1:24" ht="15" x14ac:dyDescent="0.2">
      <c r="B28" s="47">
        <v>30</v>
      </c>
      <c r="C28" s="39">
        <v>381</v>
      </c>
      <c r="D28" s="63">
        <v>-764</v>
      </c>
      <c r="E28" s="5">
        <v>0.7</v>
      </c>
      <c r="F28" s="85">
        <f t="shared" si="1"/>
        <v>2.0052493438320211</v>
      </c>
      <c r="G28" s="10"/>
      <c r="H28" s="34">
        <v>30</v>
      </c>
      <c r="I28" s="39">
        <v>381</v>
      </c>
      <c r="J28" s="63">
        <v>-794.56000000000006</v>
      </c>
      <c r="K28" s="5">
        <v>0.7</v>
      </c>
      <c r="L28" s="85">
        <f t="shared" si="2"/>
        <v>2.0854593175853018</v>
      </c>
      <c r="M28" s="10"/>
      <c r="N28" s="34">
        <v>30</v>
      </c>
      <c r="O28" s="39">
        <v>381</v>
      </c>
      <c r="P28" s="63">
        <v>-825.12</v>
      </c>
      <c r="Q28" s="5">
        <v>0.7</v>
      </c>
      <c r="R28" s="99">
        <f t="shared" si="3"/>
        <v>2.1656692913385829</v>
      </c>
      <c r="S28" s="106"/>
      <c r="T28" s="108">
        <f>V28-V27</f>
        <v>40</v>
      </c>
      <c r="U28" s="76">
        <v>1</v>
      </c>
      <c r="V28" s="69">
        <v>40</v>
      </c>
      <c r="W28" s="77">
        <v>25</v>
      </c>
    </row>
    <row r="29" spans="1:24" ht="15" x14ac:dyDescent="0.2">
      <c r="A29">
        <f>J46/D29</f>
        <v>1.1639999999999999</v>
      </c>
      <c r="B29" s="47">
        <v>40</v>
      </c>
      <c r="C29" s="39">
        <v>489</v>
      </c>
      <c r="D29" s="64">
        <v>-1018</v>
      </c>
      <c r="E29" s="25">
        <v>0.7</v>
      </c>
      <c r="F29" s="87">
        <f t="shared" si="1"/>
        <v>2.0817995910020448</v>
      </c>
      <c r="G29" s="10"/>
      <c r="H29" s="34">
        <v>40</v>
      </c>
      <c r="I29" s="39">
        <v>489</v>
      </c>
      <c r="J29" s="64">
        <v>-1058.72</v>
      </c>
      <c r="K29" s="25">
        <v>0.7</v>
      </c>
      <c r="L29" s="87">
        <f t="shared" si="2"/>
        <v>2.165071574642127</v>
      </c>
      <c r="M29" s="10"/>
      <c r="N29" s="34">
        <v>40</v>
      </c>
      <c r="O29" s="39">
        <v>489</v>
      </c>
      <c r="P29" s="64">
        <v>-1099.44</v>
      </c>
      <c r="Q29" s="25">
        <v>0.7</v>
      </c>
      <c r="R29" s="100">
        <f t="shared" si="3"/>
        <v>2.2483435582822087</v>
      </c>
      <c r="S29" s="106"/>
      <c r="T29" s="108">
        <f t="shared" ref="T29:T36" si="4">V29-V28</f>
        <v>15</v>
      </c>
      <c r="U29" s="76">
        <v>2</v>
      </c>
      <c r="V29" s="69">
        <v>55</v>
      </c>
      <c r="W29" s="77">
        <v>42</v>
      </c>
    </row>
    <row r="30" spans="1:24" ht="15" x14ac:dyDescent="0.2">
      <c r="B30" s="47">
        <v>50</v>
      </c>
      <c r="C30" s="40">
        <v>596</v>
      </c>
      <c r="D30" s="63">
        <v>-1272</v>
      </c>
      <c r="E30" s="5">
        <v>0.7</v>
      </c>
      <c r="F30" s="85">
        <f t="shared" si="1"/>
        <v>2.1342281879194629</v>
      </c>
      <c r="G30" s="10"/>
      <c r="H30" s="34">
        <v>50</v>
      </c>
      <c r="I30" s="40">
        <v>596</v>
      </c>
      <c r="J30" s="63">
        <v>-1322.88</v>
      </c>
      <c r="K30" s="5">
        <v>0.7</v>
      </c>
      <c r="L30" s="85">
        <f t="shared" si="2"/>
        <v>2.2195973154362418</v>
      </c>
      <c r="M30" s="10"/>
      <c r="N30" s="34">
        <v>50</v>
      </c>
      <c r="O30" s="40">
        <v>596</v>
      </c>
      <c r="P30" s="63">
        <v>-1373.76</v>
      </c>
      <c r="Q30" s="5">
        <v>0.7</v>
      </c>
      <c r="R30" s="99">
        <f t="shared" si="3"/>
        <v>2.3049664429530203</v>
      </c>
      <c r="S30" s="106"/>
      <c r="T30" s="108">
        <f t="shared" si="4"/>
        <v>16</v>
      </c>
      <c r="U30" s="76">
        <v>3</v>
      </c>
      <c r="V30" s="69">
        <v>71</v>
      </c>
      <c r="W30" s="77">
        <v>61</v>
      </c>
    </row>
    <row r="31" spans="1:24" ht="15" x14ac:dyDescent="0.2">
      <c r="B31" s="89" t="s">
        <v>18</v>
      </c>
      <c r="C31" s="10"/>
      <c r="D31" s="59">
        <f>D29/D26</f>
        <v>3.9921568627450981</v>
      </c>
      <c r="E31" s="10"/>
      <c r="F31" s="10"/>
      <c r="G31" s="10"/>
      <c r="H31" s="93" t="s">
        <v>18</v>
      </c>
      <c r="I31" s="10"/>
      <c r="J31" s="59">
        <f>J29/J26</f>
        <v>3.9921568627450985</v>
      </c>
      <c r="K31" s="10"/>
      <c r="L31" s="10"/>
      <c r="M31" s="10"/>
      <c r="N31" s="93" t="s">
        <v>18</v>
      </c>
      <c r="O31" s="10"/>
      <c r="P31" s="59">
        <f>P29/P26</f>
        <v>3.9921568627450976</v>
      </c>
      <c r="Q31" s="5"/>
      <c r="R31" s="16"/>
      <c r="S31" s="104"/>
      <c r="T31" s="108">
        <f t="shared" si="4"/>
        <v>15</v>
      </c>
      <c r="U31" s="76">
        <v>4</v>
      </c>
      <c r="V31" s="69">
        <v>86</v>
      </c>
      <c r="W31" s="77">
        <v>80</v>
      </c>
    </row>
    <row r="32" spans="1:24" ht="15" x14ac:dyDescent="0.2">
      <c r="B32" s="90" t="s">
        <v>17</v>
      </c>
      <c r="C32" s="57">
        <f>C30/C26</f>
        <v>3.5903614457831323</v>
      </c>
      <c r="D32" s="10"/>
      <c r="E32" s="10"/>
      <c r="F32" s="10"/>
      <c r="G32" s="10"/>
      <c r="H32" s="94" t="s">
        <v>17</v>
      </c>
      <c r="I32" s="57">
        <f>I30/I26</f>
        <v>3.5903614457831323</v>
      </c>
      <c r="J32" s="10"/>
      <c r="K32" s="10"/>
      <c r="L32" s="10"/>
      <c r="M32" s="10"/>
      <c r="N32" s="94" t="s">
        <v>17</v>
      </c>
      <c r="O32" s="57">
        <f>O30/O26</f>
        <v>3.5903614457831323</v>
      </c>
      <c r="P32" s="10"/>
      <c r="Q32" s="5"/>
      <c r="R32" s="48"/>
      <c r="S32" s="107"/>
      <c r="T32" s="108">
        <f t="shared" si="4"/>
        <v>15</v>
      </c>
      <c r="U32" s="76">
        <v>5</v>
      </c>
      <c r="V32" s="70">
        <v>101</v>
      </c>
      <c r="W32" s="78">
        <v>97</v>
      </c>
    </row>
    <row r="33" spans="2:24" ht="15" x14ac:dyDescent="0.2">
      <c r="B33" s="14"/>
      <c r="C33" s="10"/>
      <c r="D33" s="10"/>
      <c r="E33" s="10"/>
      <c r="F33" s="10"/>
      <c r="G33" s="10"/>
      <c r="H33" s="10"/>
      <c r="I33" s="10"/>
      <c r="J33" s="10">
        <f>492*1.04</f>
        <v>511.68</v>
      </c>
      <c r="K33" s="10"/>
      <c r="L33" s="10"/>
      <c r="M33" s="10"/>
      <c r="N33" s="10"/>
      <c r="O33" s="10"/>
      <c r="P33" s="10"/>
      <c r="Q33" s="10"/>
      <c r="R33" s="16"/>
      <c r="S33" s="104"/>
      <c r="T33" s="108">
        <f t="shared" si="4"/>
        <v>65</v>
      </c>
      <c r="U33" s="76">
        <v>10</v>
      </c>
      <c r="V33" s="69">
        <v>166</v>
      </c>
      <c r="W33" s="77">
        <v>175</v>
      </c>
    </row>
    <row r="34" spans="2:24" ht="15" x14ac:dyDescent="0.2">
      <c r="B34" s="14"/>
      <c r="C34" s="10"/>
      <c r="D34" s="26">
        <v>2.6</v>
      </c>
      <c r="E34" s="10" t="s">
        <v>0</v>
      </c>
      <c r="F34" s="10"/>
      <c r="G34" s="10"/>
      <c r="H34" s="10"/>
      <c r="I34" s="10"/>
      <c r="J34" s="26">
        <v>2.65</v>
      </c>
      <c r="K34" s="10" t="s">
        <v>0</v>
      </c>
      <c r="L34" s="10"/>
      <c r="M34" s="10"/>
      <c r="N34" s="10"/>
      <c r="O34" s="10"/>
      <c r="P34" s="26">
        <v>2.7</v>
      </c>
      <c r="Q34" s="10" t="s">
        <v>0</v>
      </c>
      <c r="R34" s="16"/>
      <c r="S34" s="104"/>
      <c r="T34" s="108">
        <f t="shared" si="4"/>
        <v>107</v>
      </c>
      <c r="U34" s="76">
        <v>20</v>
      </c>
      <c r="V34" s="69">
        <v>273</v>
      </c>
      <c r="W34" s="77">
        <v>307</v>
      </c>
    </row>
    <row r="35" spans="2:24" ht="15" x14ac:dyDescent="0.2">
      <c r="B35" s="14"/>
      <c r="C35" s="10"/>
      <c r="D35" s="42">
        <v>5</v>
      </c>
      <c r="E35" s="10" t="s">
        <v>1</v>
      </c>
      <c r="F35" s="10"/>
      <c r="G35" s="10"/>
      <c r="H35" s="10"/>
      <c r="I35" s="10"/>
      <c r="J35" s="26">
        <v>5.18</v>
      </c>
      <c r="K35" s="10" t="s">
        <v>1</v>
      </c>
      <c r="L35" s="10"/>
      <c r="M35" s="10"/>
      <c r="N35" s="10"/>
      <c r="O35" s="10"/>
      <c r="P35" s="26">
        <v>5.36</v>
      </c>
      <c r="Q35" s="10" t="s">
        <v>1</v>
      </c>
      <c r="R35" s="16"/>
      <c r="S35" s="104"/>
      <c r="T35" s="108">
        <f t="shared" si="4"/>
        <v>108</v>
      </c>
      <c r="U35" s="76">
        <v>30</v>
      </c>
      <c r="V35" s="69">
        <v>381</v>
      </c>
      <c r="W35" s="77">
        <v>425</v>
      </c>
    </row>
    <row r="36" spans="2:24" ht="15" x14ac:dyDescent="0.2">
      <c r="B36" s="14"/>
      <c r="C36" s="10"/>
      <c r="D36" s="26">
        <v>85</v>
      </c>
      <c r="E36" s="10" t="s">
        <v>8</v>
      </c>
      <c r="F36" s="10"/>
      <c r="G36" s="10"/>
      <c r="H36" s="10"/>
      <c r="I36" s="10"/>
      <c r="J36" s="26">
        <v>85</v>
      </c>
      <c r="K36" s="10" t="s">
        <v>8</v>
      </c>
      <c r="L36" s="10"/>
      <c r="M36" s="10"/>
      <c r="N36" s="10"/>
      <c r="O36" s="10"/>
      <c r="P36" s="26">
        <v>85</v>
      </c>
      <c r="Q36" s="10" t="s">
        <v>8</v>
      </c>
      <c r="R36" s="16"/>
      <c r="S36" s="104"/>
      <c r="T36" s="108">
        <f t="shared" si="4"/>
        <v>108</v>
      </c>
      <c r="U36" s="76">
        <v>40</v>
      </c>
      <c r="V36" s="69">
        <v>489</v>
      </c>
      <c r="W36" s="77">
        <v>530</v>
      </c>
    </row>
    <row r="37" spans="2:24" ht="15" x14ac:dyDescent="0.2">
      <c r="B37" s="45" t="s">
        <v>9</v>
      </c>
      <c r="C37" s="110" t="s">
        <v>41</v>
      </c>
      <c r="D37" s="31" t="s">
        <v>10</v>
      </c>
      <c r="E37" s="30" t="s">
        <v>11</v>
      </c>
      <c r="F37" s="86" t="s">
        <v>12</v>
      </c>
      <c r="G37" s="10"/>
      <c r="H37" s="30" t="s">
        <v>9</v>
      </c>
      <c r="I37" s="110" t="s">
        <v>41</v>
      </c>
      <c r="J37" s="31" t="s">
        <v>10</v>
      </c>
      <c r="K37" s="30" t="s">
        <v>11</v>
      </c>
      <c r="L37" s="86" t="s">
        <v>12</v>
      </c>
      <c r="M37" s="10"/>
      <c r="N37" s="30" t="s">
        <v>9</v>
      </c>
      <c r="O37" s="110" t="s">
        <v>41</v>
      </c>
      <c r="P37" s="31" t="s">
        <v>10</v>
      </c>
      <c r="Q37" s="30" t="s">
        <v>11</v>
      </c>
      <c r="R37" s="98" t="s">
        <v>12</v>
      </c>
      <c r="S37" s="105"/>
      <c r="U37" s="76">
        <v>50</v>
      </c>
      <c r="V37" s="70">
        <v>596</v>
      </c>
      <c r="W37" s="78">
        <v>627</v>
      </c>
    </row>
    <row r="38" spans="2:24" ht="15" x14ac:dyDescent="0.2">
      <c r="B38" s="47">
        <v>1</v>
      </c>
      <c r="C38" s="39">
        <v>40</v>
      </c>
      <c r="D38" s="63">
        <v>-29.172000000000004</v>
      </c>
      <c r="E38" s="5">
        <v>0.7</v>
      </c>
      <c r="F38" s="85">
        <f>(D38/C38)*-1</f>
        <v>0.72930000000000006</v>
      </c>
      <c r="G38" s="10"/>
      <c r="H38" s="34">
        <v>1</v>
      </c>
      <c r="I38" s="39">
        <v>40</v>
      </c>
      <c r="J38" s="63">
        <v>-30.263999999999999</v>
      </c>
      <c r="K38" s="5">
        <v>0.7</v>
      </c>
      <c r="L38" s="85">
        <f>(J38/I38)*-1</f>
        <v>0.75659999999999994</v>
      </c>
      <c r="M38" s="10"/>
      <c r="N38" s="34">
        <v>1</v>
      </c>
      <c r="O38" s="39">
        <v>40</v>
      </c>
      <c r="P38" s="63">
        <v>-31.382000000000001</v>
      </c>
      <c r="Q38" s="5">
        <v>0.7</v>
      </c>
      <c r="R38" s="99">
        <f>(P38/O38)*-1</f>
        <v>0.78455000000000008</v>
      </c>
      <c r="S38" s="106"/>
      <c r="U38" s="79">
        <v>50.1</v>
      </c>
      <c r="V38" s="71">
        <v>3.6</v>
      </c>
      <c r="W38" s="77"/>
    </row>
    <row r="39" spans="2:24" ht="15" x14ac:dyDescent="0.2">
      <c r="B39" s="47">
        <v>2</v>
      </c>
      <c r="C39" s="40">
        <v>55</v>
      </c>
      <c r="D39" s="64">
        <v>-57.222000000000008</v>
      </c>
      <c r="E39" s="25">
        <v>0.7</v>
      </c>
      <c r="F39" s="87">
        <f t="shared" ref="F39:F47" si="5">(D39/C39)*-1</f>
        <v>1.0404000000000002</v>
      </c>
      <c r="G39" s="10"/>
      <c r="H39" s="34">
        <v>2</v>
      </c>
      <c r="I39" s="40">
        <v>55</v>
      </c>
      <c r="J39" s="64">
        <v>-59.363999999999997</v>
      </c>
      <c r="K39" s="25">
        <v>0.7</v>
      </c>
      <c r="L39" s="87">
        <f t="shared" ref="L39:L47" si="6">(J39/I39)*-1</f>
        <v>1.0793454545454544</v>
      </c>
      <c r="M39" s="10"/>
      <c r="N39" s="34">
        <v>2</v>
      </c>
      <c r="O39" s="40">
        <v>55</v>
      </c>
      <c r="P39" s="64">
        <v>-61.557000000000002</v>
      </c>
      <c r="Q39" s="25">
        <v>0.7</v>
      </c>
      <c r="R39" s="100">
        <f t="shared" ref="R39:R47" si="7">(P39/O39)*-1</f>
        <v>1.1192181818181819</v>
      </c>
      <c r="S39" s="106"/>
      <c r="U39" s="81"/>
      <c r="V39" s="71"/>
      <c r="W39" s="77"/>
    </row>
    <row r="40" spans="2:24" ht="15" x14ac:dyDescent="0.2">
      <c r="B40" s="47">
        <v>3</v>
      </c>
      <c r="C40" s="39">
        <v>71</v>
      </c>
      <c r="D40" s="63">
        <v>-85.272000000000006</v>
      </c>
      <c r="E40" s="5">
        <v>0.7</v>
      </c>
      <c r="F40" s="85">
        <f t="shared" si="5"/>
        <v>1.2010140845070423</v>
      </c>
      <c r="G40" s="10"/>
      <c r="H40" s="34">
        <v>3</v>
      </c>
      <c r="I40" s="39">
        <v>71</v>
      </c>
      <c r="J40" s="63">
        <v>-88.463999999999999</v>
      </c>
      <c r="K40" s="5">
        <v>0.7</v>
      </c>
      <c r="L40" s="85">
        <f t="shared" si="6"/>
        <v>1.2459718309859156</v>
      </c>
      <c r="M40" s="10"/>
      <c r="N40" s="34">
        <v>3</v>
      </c>
      <c r="O40" s="39">
        <v>71</v>
      </c>
      <c r="P40" s="63">
        <v>-91.731999999999999</v>
      </c>
      <c r="Q40" s="5">
        <v>0.7</v>
      </c>
      <c r="R40" s="99">
        <f t="shared" si="7"/>
        <v>1.292</v>
      </c>
      <c r="S40" s="106"/>
      <c r="U40" s="76" t="s">
        <v>24</v>
      </c>
      <c r="V40" s="68" t="s">
        <v>25</v>
      </c>
      <c r="W40" s="80" t="s">
        <v>26</v>
      </c>
      <c r="X40" s="1" t="s">
        <v>36</v>
      </c>
    </row>
    <row r="41" spans="2:24" ht="15" x14ac:dyDescent="0.2">
      <c r="B41" s="47">
        <v>4</v>
      </c>
      <c r="C41" s="39">
        <v>86</v>
      </c>
      <c r="D41" s="63">
        <v>-114.44400000000002</v>
      </c>
      <c r="E41" s="5">
        <v>0.7</v>
      </c>
      <c r="F41" s="85">
        <f t="shared" si="5"/>
        <v>1.3307441860465119</v>
      </c>
      <c r="G41" s="10"/>
      <c r="H41" s="34">
        <v>4</v>
      </c>
      <c r="I41" s="39">
        <v>86</v>
      </c>
      <c r="J41" s="63">
        <v>-118.72799999999999</v>
      </c>
      <c r="K41" s="5">
        <v>0.7</v>
      </c>
      <c r="L41" s="85">
        <f t="shared" si="6"/>
        <v>1.3805581395348836</v>
      </c>
      <c r="M41" s="10"/>
      <c r="N41" s="34">
        <v>4</v>
      </c>
      <c r="O41" s="39">
        <v>86</v>
      </c>
      <c r="P41" s="63">
        <v>-123.114</v>
      </c>
      <c r="Q41" s="5">
        <v>0.7</v>
      </c>
      <c r="R41" s="99">
        <f t="shared" si="7"/>
        <v>1.4315581395348838</v>
      </c>
      <c r="S41" s="106"/>
      <c r="T41" s="108">
        <f>V41-V40</f>
        <v>30</v>
      </c>
      <c r="U41" s="76">
        <v>1</v>
      </c>
      <c r="V41" s="69">
        <v>30</v>
      </c>
      <c r="W41" s="77">
        <v>23</v>
      </c>
    </row>
    <row r="42" spans="2:24" ht="15" x14ac:dyDescent="0.2">
      <c r="B42" s="47">
        <v>5</v>
      </c>
      <c r="C42" s="40">
        <v>101</v>
      </c>
      <c r="D42" s="64">
        <v>-142.494</v>
      </c>
      <c r="E42" s="25">
        <v>0.7</v>
      </c>
      <c r="F42" s="87">
        <f t="shared" si="5"/>
        <v>1.4108316831683168</v>
      </c>
      <c r="G42" s="10"/>
      <c r="H42" s="34">
        <v>5</v>
      </c>
      <c r="I42" s="40">
        <v>101</v>
      </c>
      <c r="J42" s="64">
        <v>-147.828</v>
      </c>
      <c r="K42" s="25">
        <v>0.7</v>
      </c>
      <c r="L42" s="87">
        <f t="shared" si="6"/>
        <v>1.4636435643564356</v>
      </c>
      <c r="M42" s="10"/>
      <c r="N42" s="34">
        <v>5</v>
      </c>
      <c r="O42" s="40">
        <v>101</v>
      </c>
      <c r="P42" s="64">
        <v>-153.28900000000002</v>
      </c>
      <c r="Q42" s="25">
        <v>0.7</v>
      </c>
      <c r="R42" s="100">
        <f t="shared" si="7"/>
        <v>1.5177128712871288</v>
      </c>
      <c r="S42" s="106"/>
      <c r="T42" s="108">
        <f t="shared" ref="T42:T49" si="8">V42-V41</f>
        <v>14</v>
      </c>
      <c r="U42" s="76">
        <v>2</v>
      </c>
      <c r="V42" s="69">
        <v>44</v>
      </c>
      <c r="W42" s="77">
        <v>43</v>
      </c>
    </row>
    <row r="43" spans="2:24" ht="15" x14ac:dyDescent="0.2">
      <c r="B43" s="47">
        <v>10</v>
      </c>
      <c r="C43" s="39">
        <v>166</v>
      </c>
      <c r="D43" s="63">
        <v>-286.11</v>
      </c>
      <c r="E43" s="5">
        <v>0.7</v>
      </c>
      <c r="F43" s="85">
        <f t="shared" si="5"/>
        <v>1.72355421686747</v>
      </c>
      <c r="G43" s="10"/>
      <c r="H43" s="34">
        <v>10</v>
      </c>
      <c r="I43" s="39">
        <v>166</v>
      </c>
      <c r="J43" s="63">
        <v>-296.82</v>
      </c>
      <c r="K43" s="5">
        <v>0.7</v>
      </c>
      <c r="L43" s="85">
        <f t="shared" si="6"/>
        <v>1.7880722891566265</v>
      </c>
      <c r="M43" s="10"/>
      <c r="N43" s="34">
        <v>10</v>
      </c>
      <c r="O43" s="39">
        <v>166</v>
      </c>
      <c r="P43" s="63">
        <v>-307.78500000000003</v>
      </c>
      <c r="Q43" s="5">
        <v>0.7</v>
      </c>
      <c r="R43" s="99">
        <f t="shared" si="7"/>
        <v>1.8541265060240966</v>
      </c>
      <c r="S43" s="106"/>
      <c r="T43" s="108">
        <f t="shared" si="8"/>
        <v>15</v>
      </c>
      <c r="U43" s="76">
        <v>3</v>
      </c>
      <c r="V43" s="69">
        <v>59</v>
      </c>
      <c r="W43" s="77">
        <v>61</v>
      </c>
    </row>
    <row r="44" spans="2:24" ht="15" x14ac:dyDescent="0.2">
      <c r="B44" s="47">
        <v>20</v>
      </c>
      <c r="C44" s="39">
        <v>273</v>
      </c>
      <c r="D44" s="63">
        <v>-571.09800000000007</v>
      </c>
      <c r="E44" s="5">
        <v>0.7</v>
      </c>
      <c r="F44" s="85">
        <f t="shared" si="5"/>
        <v>2.0919340659340664</v>
      </c>
      <c r="G44" s="10"/>
      <c r="H44" s="34">
        <v>20</v>
      </c>
      <c r="I44" s="39">
        <v>273</v>
      </c>
      <c r="J44" s="63">
        <v>-592.476</v>
      </c>
      <c r="K44" s="5">
        <v>0.7</v>
      </c>
      <c r="L44" s="85">
        <f t="shared" si="6"/>
        <v>2.1702417582417581</v>
      </c>
      <c r="M44" s="10"/>
      <c r="N44" s="34">
        <v>20</v>
      </c>
      <c r="O44" s="39">
        <v>273</v>
      </c>
      <c r="P44" s="63">
        <v>-614.36300000000006</v>
      </c>
      <c r="Q44" s="5">
        <v>0.7</v>
      </c>
      <c r="R44" s="99">
        <f t="shared" si="7"/>
        <v>2.2504139194139197</v>
      </c>
      <c r="S44" s="106"/>
      <c r="T44" s="108">
        <f t="shared" si="8"/>
        <v>15</v>
      </c>
      <c r="U44" s="76">
        <v>4</v>
      </c>
      <c r="V44" s="69">
        <v>74</v>
      </c>
      <c r="W44" s="77">
        <v>76</v>
      </c>
    </row>
    <row r="45" spans="2:24" ht="15" x14ac:dyDescent="0.2">
      <c r="B45" s="47">
        <v>30</v>
      </c>
      <c r="C45" s="39">
        <v>381</v>
      </c>
      <c r="D45" s="63">
        <v>-857.20800000000008</v>
      </c>
      <c r="E45" s="5">
        <v>0.7</v>
      </c>
      <c r="F45" s="85">
        <f t="shared" si="5"/>
        <v>2.2498897637795277</v>
      </c>
      <c r="G45" s="10"/>
      <c r="H45" s="34">
        <v>30</v>
      </c>
      <c r="I45" s="39">
        <v>381</v>
      </c>
      <c r="J45" s="63">
        <v>-889.29599999999994</v>
      </c>
      <c r="K45" s="5">
        <v>0.7</v>
      </c>
      <c r="L45" s="85">
        <f t="shared" si="6"/>
        <v>2.3341102362204724</v>
      </c>
      <c r="M45" s="10"/>
      <c r="N45" s="34">
        <v>30</v>
      </c>
      <c r="O45" s="39">
        <v>381</v>
      </c>
      <c r="P45" s="63">
        <v>-922.14800000000002</v>
      </c>
      <c r="Q45" s="5">
        <v>0.7</v>
      </c>
      <c r="R45" s="99">
        <f t="shared" si="7"/>
        <v>2.4203359580052495</v>
      </c>
      <c r="S45" s="106"/>
      <c r="T45" s="108">
        <f t="shared" si="8"/>
        <v>15</v>
      </c>
      <c r="U45" s="76">
        <v>5</v>
      </c>
      <c r="V45" s="70">
        <v>89</v>
      </c>
      <c r="W45" s="78">
        <v>90</v>
      </c>
    </row>
    <row r="46" spans="2:24" ht="15" x14ac:dyDescent="0.2">
      <c r="B46" s="47">
        <v>40</v>
      </c>
      <c r="C46" s="39">
        <v>489</v>
      </c>
      <c r="D46" s="64">
        <v>-1142.1960000000001</v>
      </c>
      <c r="E46" s="25">
        <v>0.7</v>
      </c>
      <c r="F46" s="87">
        <f t="shared" si="5"/>
        <v>2.335779141104295</v>
      </c>
      <c r="G46" s="10"/>
      <c r="H46" s="34">
        <v>40</v>
      </c>
      <c r="I46" s="39">
        <v>489</v>
      </c>
      <c r="J46" s="64">
        <v>-1184.952</v>
      </c>
      <c r="K46" s="25">
        <v>0.7</v>
      </c>
      <c r="L46" s="87">
        <f t="shared" si="6"/>
        <v>2.4232147239263804</v>
      </c>
      <c r="M46" s="10"/>
      <c r="N46" s="34">
        <v>40</v>
      </c>
      <c r="O46" s="39">
        <v>489</v>
      </c>
      <c r="P46" s="64">
        <v>-1228.7260000000001</v>
      </c>
      <c r="Q46" s="25">
        <v>0.7</v>
      </c>
      <c r="R46" s="100">
        <f t="shared" si="7"/>
        <v>2.5127321063394685</v>
      </c>
      <c r="S46" s="106"/>
      <c r="T46" s="108">
        <f t="shared" si="8"/>
        <v>64</v>
      </c>
      <c r="U46" s="76">
        <v>10</v>
      </c>
      <c r="V46" s="69">
        <v>153</v>
      </c>
      <c r="W46" s="77">
        <v>151</v>
      </c>
    </row>
    <row r="47" spans="2:24" ht="15" x14ac:dyDescent="0.2">
      <c r="B47" s="47">
        <v>50</v>
      </c>
      <c r="C47" s="40">
        <v>596</v>
      </c>
      <c r="D47" s="63">
        <v>-1427.1840000000002</v>
      </c>
      <c r="E47" s="5">
        <v>0.7</v>
      </c>
      <c r="F47" s="85">
        <f t="shared" si="5"/>
        <v>2.3946040268456379</v>
      </c>
      <c r="G47" s="10"/>
      <c r="H47" s="34">
        <v>50</v>
      </c>
      <c r="I47" s="40">
        <v>596</v>
      </c>
      <c r="J47" s="63">
        <v>-1480.6079999999999</v>
      </c>
      <c r="K47" s="5">
        <v>0.7</v>
      </c>
      <c r="L47" s="85">
        <f t="shared" si="6"/>
        <v>2.484241610738255</v>
      </c>
      <c r="M47" s="10"/>
      <c r="N47" s="34">
        <v>50</v>
      </c>
      <c r="O47" s="40">
        <v>596</v>
      </c>
      <c r="P47" s="63">
        <v>-1535.3040000000001</v>
      </c>
      <c r="Q47" s="5">
        <v>0.7</v>
      </c>
      <c r="R47" s="99">
        <f t="shared" si="7"/>
        <v>2.5760134228187921</v>
      </c>
      <c r="S47" s="106"/>
      <c r="T47" s="108">
        <f t="shared" si="8"/>
        <v>111</v>
      </c>
      <c r="U47" s="76">
        <v>20</v>
      </c>
      <c r="V47" s="69">
        <v>264</v>
      </c>
      <c r="W47" s="77">
        <v>259</v>
      </c>
    </row>
    <row r="48" spans="2:24" ht="15" x14ac:dyDescent="0.2">
      <c r="B48" s="89" t="s">
        <v>18</v>
      </c>
      <c r="C48" s="10"/>
      <c r="D48" s="59">
        <f>D46/D43</f>
        <v>3.9921568627450985</v>
      </c>
      <c r="E48" s="10"/>
      <c r="F48" s="10"/>
      <c r="G48" s="10"/>
      <c r="H48" s="93" t="s">
        <v>18</v>
      </c>
      <c r="I48" s="10"/>
      <c r="J48" s="59">
        <f>J46/J43</f>
        <v>3.9921568627450981</v>
      </c>
      <c r="K48" s="10"/>
      <c r="L48" s="10"/>
      <c r="M48" s="10"/>
      <c r="N48" s="93" t="s">
        <v>18</v>
      </c>
      <c r="O48" s="10"/>
      <c r="P48" s="59">
        <f>P46/P43</f>
        <v>3.9921568627450981</v>
      </c>
      <c r="Q48" s="5"/>
      <c r="R48" s="16"/>
      <c r="S48" s="104"/>
      <c r="T48" s="108">
        <f t="shared" si="8"/>
        <v>111</v>
      </c>
      <c r="U48" s="76">
        <v>30</v>
      </c>
      <c r="V48" s="69">
        <v>375</v>
      </c>
      <c r="W48" s="77">
        <v>358</v>
      </c>
    </row>
    <row r="49" spans="2:32" ht="15" x14ac:dyDescent="0.2">
      <c r="B49" s="90" t="s">
        <v>17</v>
      </c>
      <c r="C49" s="57">
        <f>C47/C43</f>
        <v>3.5903614457831323</v>
      </c>
      <c r="D49" s="10"/>
      <c r="E49" s="10"/>
      <c r="F49" s="10"/>
      <c r="G49" s="10"/>
      <c r="H49" s="94" t="s">
        <v>17</v>
      </c>
      <c r="I49" s="57">
        <f>I47/I43</f>
        <v>3.5903614457831323</v>
      </c>
      <c r="J49" s="10"/>
      <c r="K49" s="10"/>
      <c r="L49" s="10"/>
      <c r="M49" s="10"/>
      <c r="N49" s="94" t="s">
        <v>17</v>
      </c>
      <c r="O49" s="57">
        <f>O47/O43</f>
        <v>3.5903614457831323</v>
      </c>
      <c r="P49" s="10"/>
      <c r="Q49" s="5"/>
      <c r="R49" s="48"/>
      <c r="S49" s="107"/>
      <c r="T49" s="108">
        <f t="shared" si="8"/>
        <v>110</v>
      </c>
      <c r="U49" s="76">
        <v>40</v>
      </c>
      <c r="V49" s="69">
        <v>485</v>
      </c>
      <c r="W49" s="77">
        <v>446</v>
      </c>
    </row>
    <row r="50" spans="2:32" ht="15" x14ac:dyDescent="0.2">
      <c r="B50" s="14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6"/>
      <c r="S50" s="104"/>
      <c r="U50" s="76">
        <v>50</v>
      </c>
      <c r="V50" s="70">
        <v>596</v>
      </c>
      <c r="W50" s="78">
        <v>527</v>
      </c>
    </row>
    <row r="51" spans="2:32" ht="15" x14ac:dyDescent="0.2">
      <c r="B51" s="14"/>
      <c r="C51" s="10"/>
      <c r="D51" s="26">
        <v>2.75</v>
      </c>
      <c r="E51" s="10" t="s">
        <v>0</v>
      </c>
      <c r="F51" s="10"/>
      <c r="G51" s="10"/>
      <c r="H51" s="10"/>
      <c r="I51" s="10"/>
      <c r="J51" s="26">
        <v>2.8</v>
      </c>
      <c r="K51" s="10" t="s">
        <v>0</v>
      </c>
      <c r="L51" s="10"/>
      <c r="M51" s="10"/>
      <c r="N51" s="10"/>
      <c r="O51" s="10"/>
      <c r="P51" s="26">
        <v>2.85</v>
      </c>
      <c r="Q51" s="10" t="s">
        <v>0</v>
      </c>
      <c r="R51" s="16"/>
      <c r="S51" s="104"/>
      <c r="U51" s="82">
        <v>50.1</v>
      </c>
      <c r="V51" s="83">
        <v>3.9</v>
      </c>
      <c r="W51" s="84"/>
    </row>
    <row r="52" spans="2:32" x14ac:dyDescent="0.2">
      <c r="B52" s="14"/>
      <c r="C52" s="10"/>
      <c r="D52" s="26">
        <v>5.55</v>
      </c>
      <c r="E52" s="10" t="s">
        <v>1</v>
      </c>
      <c r="F52" s="10"/>
      <c r="G52" s="10"/>
      <c r="H52" s="10"/>
      <c r="I52" s="10"/>
      <c r="J52" s="26">
        <v>5.74</v>
      </c>
      <c r="K52" s="10" t="s">
        <v>1</v>
      </c>
      <c r="L52" s="10"/>
      <c r="M52" s="10"/>
      <c r="N52" s="10"/>
      <c r="O52" s="10"/>
      <c r="P52" s="42">
        <v>5.93</v>
      </c>
      <c r="Q52" s="10" t="s">
        <v>1</v>
      </c>
      <c r="R52" s="16"/>
      <c r="S52" s="104"/>
    </row>
    <row r="53" spans="2:32" x14ac:dyDescent="0.2">
      <c r="B53" s="14"/>
      <c r="C53" s="10"/>
      <c r="D53" s="26">
        <v>85</v>
      </c>
      <c r="E53" s="10" t="s">
        <v>8</v>
      </c>
      <c r="F53" s="10"/>
      <c r="G53" s="10"/>
      <c r="H53" s="10"/>
      <c r="I53" s="10"/>
      <c r="J53" s="26">
        <v>85</v>
      </c>
      <c r="K53" s="10" t="s">
        <v>8</v>
      </c>
      <c r="L53" s="10"/>
      <c r="M53" s="10"/>
      <c r="N53" s="10"/>
      <c r="O53" s="10"/>
      <c r="P53" s="26">
        <v>85</v>
      </c>
      <c r="Q53" s="10" t="s">
        <v>8</v>
      </c>
      <c r="R53" s="16"/>
      <c r="S53" s="104"/>
    </row>
    <row r="54" spans="2:32" x14ac:dyDescent="0.2">
      <c r="B54" s="45" t="s">
        <v>9</v>
      </c>
      <c r="C54" s="110" t="s">
        <v>41</v>
      </c>
      <c r="D54" s="31" t="s">
        <v>10</v>
      </c>
      <c r="E54" s="30" t="s">
        <v>11</v>
      </c>
      <c r="F54" s="86" t="s">
        <v>12</v>
      </c>
      <c r="G54" s="10"/>
      <c r="H54" s="30" t="s">
        <v>9</v>
      </c>
      <c r="I54" s="110" t="s">
        <v>41</v>
      </c>
      <c r="J54" s="31" t="s">
        <v>10</v>
      </c>
      <c r="K54" s="30" t="s">
        <v>11</v>
      </c>
      <c r="L54" s="86" t="s">
        <v>12</v>
      </c>
      <c r="M54" s="10"/>
      <c r="N54" s="30" t="s">
        <v>9</v>
      </c>
      <c r="O54" s="110" t="s">
        <v>41</v>
      </c>
      <c r="P54" s="31" t="s">
        <v>10</v>
      </c>
      <c r="Q54" s="30" t="s">
        <v>11</v>
      </c>
      <c r="R54" s="98" t="s">
        <v>12</v>
      </c>
      <c r="S54" s="105"/>
      <c r="AF54" s="102" t="s">
        <v>39</v>
      </c>
    </row>
    <row r="55" spans="2:32" x14ac:dyDescent="0.2">
      <c r="B55" s="47">
        <v>1</v>
      </c>
      <c r="C55" s="39">
        <v>40</v>
      </c>
      <c r="D55" s="63">
        <v>-32.525999999999996</v>
      </c>
      <c r="E55" s="5">
        <v>0.7</v>
      </c>
      <c r="F55" s="85">
        <f>(D55/C55)*-1</f>
        <v>0.81314999999999993</v>
      </c>
      <c r="G55" s="10"/>
      <c r="H55" s="34">
        <v>1</v>
      </c>
      <c r="I55" s="39">
        <v>40</v>
      </c>
      <c r="J55" s="63">
        <v>-33.67</v>
      </c>
      <c r="K55" s="5">
        <v>0.7</v>
      </c>
      <c r="L55" s="85">
        <f>(J55/I55)*-1</f>
        <v>0.84175</v>
      </c>
      <c r="M55" s="10"/>
      <c r="N55" s="34">
        <v>1</v>
      </c>
      <c r="O55" s="39">
        <v>40</v>
      </c>
      <c r="P55" s="63">
        <v>-34.840000000000003</v>
      </c>
      <c r="Q55" s="5">
        <v>0.7</v>
      </c>
      <c r="R55" s="99">
        <f>(P55/O55)*-1</f>
        <v>0.87100000000000011</v>
      </c>
      <c r="S55" s="106"/>
      <c r="W55" s="102">
        <v>-2.7099999999999999E-2</v>
      </c>
      <c r="AF55" s="102">
        <v>-2.2700000000000001E-2</v>
      </c>
    </row>
    <row r="56" spans="2:32" x14ac:dyDescent="0.2">
      <c r="B56" s="47">
        <v>2</v>
      </c>
      <c r="C56" s="40">
        <v>55</v>
      </c>
      <c r="D56" s="64">
        <v>-63.800999999999995</v>
      </c>
      <c r="E56" s="25">
        <v>0.7</v>
      </c>
      <c r="F56" s="87">
        <f t="shared" ref="F56:F64" si="9">(D56/C56)*-1</f>
        <v>1.1600181818181816</v>
      </c>
      <c r="G56" s="10"/>
      <c r="H56" s="34">
        <v>2</v>
      </c>
      <c r="I56" s="40">
        <v>55</v>
      </c>
      <c r="J56" s="64">
        <v>-66.045000000000002</v>
      </c>
      <c r="K56" s="25">
        <v>0.7</v>
      </c>
      <c r="L56" s="87">
        <f t="shared" ref="L56:L64" si="10">(J56/I56)*-1</f>
        <v>1.2008181818181818</v>
      </c>
      <c r="M56" s="10"/>
      <c r="N56" s="34">
        <v>2</v>
      </c>
      <c r="O56" s="40">
        <v>55</v>
      </c>
      <c r="P56" s="64">
        <v>-68.34</v>
      </c>
      <c r="Q56" s="25">
        <v>0.7</v>
      </c>
      <c r="R56" s="100">
        <f t="shared" ref="R56:R64" si="11">(P56/O56)*-1</f>
        <v>1.2425454545454546</v>
      </c>
      <c r="S56" s="106"/>
      <c r="W56" s="102">
        <v>12.528</v>
      </c>
      <c r="AF56" s="102">
        <v>12.547000000000001</v>
      </c>
    </row>
    <row r="57" spans="2:32" x14ac:dyDescent="0.2">
      <c r="B57" s="47">
        <v>3</v>
      </c>
      <c r="C57" s="39">
        <v>71</v>
      </c>
      <c r="D57" s="63">
        <v>-95.075999999999993</v>
      </c>
      <c r="E57" s="5">
        <v>0.7</v>
      </c>
      <c r="F57" s="85">
        <f t="shared" si="9"/>
        <v>1.3390985915492957</v>
      </c>
      <c r="G57" s="10"/>
      <c r="H57" s="34">
        <v>3</v>
      </c>
      <c r="I57" s="39">
        <v>71</v>
      </c>
      <c r="J57" s="63">
        <v>-98.419999999999987</v>
      </c>
      <c r="K57" s="5">
        <v>0.7</v>
      </c>
      <c r="L57" s="85">
        <f t="shared" si="10"/>
        <v>1.3861971830985913</v>
      </c>
      <c r="M57" s="10"/>
      <c r="N57" s="34">
        <v>3</v>
      </c>
      <c r="O57" s="39">
        <v>71</v>
      </c>
      <c r="P57" s="63">
        <v>-101.84</v>
      </c>
      <c r="Q57" s="5">
        <v>0.7</v>
      </c>
      <c r="R57" s="99">
        <f t="shared" si="11"/>
        <v>1.4343661971830985</v>
      </c>
      <c r="S57" s="106"/>
      <c r="W57" s="102">
        <v>34.146999999999998</v>
      </c>
      <c r="AF57" s="102">
        <v>22.481999999999999</v>
      </c>
    </row>
    <row r="58" spans="2:32" x14ac:dyDescent="0.2">
      <c r="B58" s="47">
        <v>4</v>
      </c>
      <c r="C58" s="39">
        <v>86</v>
      </c>
      <c r="D58" s="63">
        <v>-127.60199999999999</v>
      </c>
      <c r="E58" s="5">
        <v>0.7</v>
      </c>
      <c r="F58" s="85">
        <f t="shared" si="9"/>
        <v>1.4837441860465115</v>
      </c>
      <c r="G58" s="10"/>
      <c r="H58" s="34">
        <v>4</v>
      </c>
      <c r="I58" s="39">
        <v>86</v>
      </c>
      <c r="J58" s="63">
        <v>-132.09</v>
      </c>
      <c r="K58" s="5">
        <v>0.7</v>
      </c>
      <c r="L58" s="85">
        <f t="shared" si="10"/>
        <v>1.5359302325581397</v>
      </c>
      <c r="M58" s="10"/>
      <c r="N58" s="34">
        <v>4</v>
      </c>
      <c r="O58" s="39">
        <v>86</v>
      </c>
      <c r="P58" s="63">
        <v>-136.68</v>
      </c>
      <c r="Q58" s="5">
        <v>0.7</v>
      </c>
      <c r="R58" s="99">
        <f t="shared" si="11"/>
        <v>1.5893023255813954</v>
      </c>
      <c r="S58" s="106"/>
      <c r="W58" s="102"/>
    </row>
    <row r="59" spans="2:32" ht="15" x14ac:dyDescent="0.2">
      <c r="B59" s="47">
        <v>5</v>
      </c>
      <c r="C59" s="40">
        <v>101</v>
      </c>
      <c r="D59" s="64">
        <v>-158.87699999999998</v>
      </c>
      <c r="E59" s="25">
        <v>0.7</v>
      </c>
      <c r="F59" s="87">
        <f t="shared" si="9"/>
        <v>1.5730396039603958</v>
      </c>
      <c r="G59" s="10"/>
      <c r="H59" s="34">
        <v>5</v>
      </c>
      <c r="I59" s="40">
        <v>101</v>
      </c>
      <c r="J59" s="64">
        <v>-164.465</v>
      </c>
      <c r="K59" s="25">
        <v>0.7</v>
      </c>
      <c r="L59" s="87">
        <f t="shared" si="10"/>
        <v>1.6283663366336634</v>
      </c>
      <c r="M59" s="10"/>
      <c r="N59" s="34">
        <v>5</v>
      </c>
      <c r="O59" s="40">
        <v>101</v>
      </c>
      <c r="P59" s="64">
        <v>-170.18</v>
      </c>
      <c r="Q59" s="25">
        <v>0.7</v>
      </c>
      <c r="R59" s="100">
        <f t="shared" si="11"/>
        <v>1.6849504950495051</v>
      </c>
      <c r="S59" s="106"/>
      <c r="U59" s="76" t="s">
        <v>24</v>
      </c>
      <c r="V59" s="68" t="s">
        <v>25</v>
      </c>
      <c r="W59" s="102"/>
      <c r="X59" s="101">
        <v>1</v>
      </c>
    </row>
    <row r="60" spans="2:32" ht="15" x14ac:dyDescent="0.2">
      <c r="B60" s="47">
        <v>10</v>
      </c>
      <c r="C60" s="39">
        <v>166</v>
      </c>
      <c r="D60" s="63">
        <v>-319.005</v>
      </c>
      <c r="E60" s="5">
        <v>0.7</v>
      </c>
      <c r="F60" s="85">
        <f t="shared" si="9"/>
        <v>1.9217168674698795</v>
      </c>
      <c r="G60" s="10"/>
      <c r="H60" s="34">
        <v>10</v>
      </c>
      <c r="I60" s="39">
        <v>166</v>
      </c>
      <c r="J60" s="63">
        <v>-330.22499999999997</v>
      </c>
      <c r="K60" s="5">
        <v>0.7</v>
      </c>
      <c r="L60" s="85">
        <f t="shared" si="10"/>
        <v>1.9893072289156624</v>
      </c>
      <c r="M60" s="10"/>
      <c r="N60" s="34">
        <v>10</v>
      </c>
      <c r="O60" s="39">
        <v>166</v>
      </c>
      <c r="P60" s="63">
        <v>-341.70000000000005</v>
      </c>
      <c r="Q60" s="5">
        <v>0.7</v>
      </c>
      <c r="R60" s="99">
        <f t="shared" si="11"/>
        <v>2.0584337349397592</v>
      </c>
      <c r="S60" s="106"/>
      <c r="U60" s="76">
        <v>1</v>
      </c>
      <c r="V60" s="69">
        <v>40</v>
      </c>
      <c r="W60" s="103">
        <f>(W$55*(U60)^2)+(W$56*(U60)^1)+(W$57)</f>
        <v>46.6479</v>
      </c>
      <c r="X60" s="53">
        <f>(W60*X$59)</f>
        <v>46.6479</v>
      </c>
    </row>
    <row r="61" spans="2:32" ht="15" x14ac:dyDescent="0.2">
      <c r="B61" s="47">
        <v>20</v>
      </c>
      <c r="C61" s="39">
        <v>273</v>
      </c>
      <c r="D61" s="63">
        <v>-636.7589999999999</v>
      </c>
      <c r="E61" s="5">
        <v>0.7</v>
      </c>
      <c r="F61" s="85">
        <f t="shared" si="9"/>
        <v>2.3324505494505492</v>
      </c>
      <c r="G61" s="10"/>
      <c r="H61" s="34">
        <v>20</v>
      </c>
      <c r="I61" s="39">
        <v>273</v>
      </c>
      <c r="J61" s="63">
        <v>-659.15499999999997</v>
      </c>
      <c r="K61" s="5">
        <v>0.7</v>
      </c>
      <c r="L61" s="85">
        <f t="shared" si="10"/>
        <v>2.4144871794871792</v>
      </c>
      <c r="M61" s="10"/>
      <c r="N61" s="34">
        <v>20</v>
      </c>
      <c r="O61" s="39">
        <v>273</v>
      </c>
      <c r="P61" s="63">
        <v>-682.06000000000006</v>
      </c>
      <c r="Q61" s="5">
        <v>0.7</v>
      </c>
      <c r="R61" s="99">
        <f t="shared" si="11"/>
        <v>2.4983882783882785</v>
      </c>
      <c r="S61" s="106"/>
      <c r="U61" s="76">
        <v>2</v>
      </c>
      <c r="V61" s="69">
        <v>55</v>
      </c>
      <c r="W61" s="103">
        <f t="shared" ref="W61:W69" si="12">(W$55*(U61)^2)+(W$56*(U61)^1)+(W$57)</f>
        <v>59.0946</v>
      </c>
      <c r="X61" s="53">
        <f t="shared" ref="X61:X69" si="13">(W61*X$59)</f>
        <v>59.0946</v>
      </c>
    </row>
    <row r="62" spans="2:32" ht="15" x14ac:dyDescent="0.2">
      <c r="B62" s="47">
        <v>30</v>
      </c>
      <c r="C62" s="39">
        <v>381</v>
      </c>
      <c r="D62" s="63">
        <v>-955.7639999999999</v>
      </c>
      <c r="E62" s="5">
        <v>0.7</v>
      </c>
      <c r="F62" s="85">
        <f t="shared" si="9"/>
        <v>2.5085669291338579</v>
      </c>
      <c r="G62" s="10"/>
      <c r="H62" s="34">
        <v>30</v>
      </c>
      <c r="I62" s="39">
        <v>381</v>
      </c>
      <c r="J62" s="63">
        <v>-989.38</v>
      </c>
      <c r="K62" s="5">
        <v>0.7</v>
      </c>
      <c r="L62" s="85">
        <f t="shared" si="10"/>
        <v>2.5967979002624673</v>
      </c>
      <c r="M62" s="10"/>
      <c r="N62" s="34">
        <v>30</v>
      </c>
      <c r="O62" s="39">
        <v>381</v>
      </c>
      <c r="P62" s="63">
        <v>-1023.7600000000001</v>
      </c>
      <c r="Q62" s="5">
        <v>0.7</v>
      </c>
      <c r="R62" s="99">
        <f t="shared" si="11"/>
        <v>2.6870341207349084</v>
      </c>
      <c r="S62" s="106"/>
      <c r="U62" s="76">
        <v>3</v>
      </c>
      <c r="V62" s="69">
        <v>71</v>
      </c>
      <c r="W62" s="103">
        <f t="shared" si="12"/>
        <v>71.487099999999998</v>
      </c>
      <c r="X62" s="53">
        <f t="shared" si="13"/>
        <v>71.487099999999998</v>
      </c>
    </row>
    <row r="63" spans="2:32" ht="15" x14ac:dyDescent="0.2">
      <c r="B63" s="47">
        <v>40</v>
      </c>
      <c r="C63" s="39">
        <v>489</v>
      </c>
      <c r="D63" s="64">
        <v>-1273.5179999999998</v>
      </c>
      <c r="E63" s="25">
        <v>0.7</v>
      </c>
      <c r="F63" s="87">
        <f t="shared" si="9"/>
        <v>2.6043312883435581</v>
      </c>
      <c r="G63" s="10"/>
      <c r="H63" s="34">
        <v>40</v>
      </c>
      <c r="I63" s="39">
        <v>489</v>
      </c>
      <c r="J63" s="64">
        <v>-1318.31</v>
      </c>
      <c r="K63" s="25">
        <v>0.7</v>
      </c>
      <c r="L63" s="87">
        <f t="shared" si="10"/>
        <v>2.6959304703476481</v>
      </c>
      <c r="M63" s="10"/>
      <c r="N63" s="34">
        <v>40</v>
      </c>
      <c r="O63" s="39">
        <v>489</v>
      </c>
      <c r="P63" s="64">
        <v>-1364.1200000000001</v>
      </c>
      <c r="Q63" s="25">
        <v>0.7</v>
      </c>
      <c r="R63" s="100">
        <f t="shared" si="11"/>
        <v>2.7896114519427404</v>
      </c>
      <c r="S63" s="106"/>
      <c r="U63" s="76">
        <v>4</v>
      </c>
      <c r="V63" s="69">
        <v>86</v>
      </c>
      <c r="W63" s="103">
        <f t="shared" si="12"/>
        <v>83.825400000000002</v>
      </c>
      <c r="X63" s="53">
        <f t="shared" si="13"/>
        <v>83.825400000000002</v>
      </c>
    </row>
    <row r="64" spans="2:32" ht="15" x14ac:dyDescent="0.2">
      <c r="B64" s="47">
        <v>50</v>
      </c>
      <c r="C64" s="40">
        <v>596</v>
      </c>
      <c r="D64" s="63">
        <v>-1591.2719999999999</v>
      </c>
      <c r="E64" s="5">
        <v>0.7</v>
      </c>
      <c r="F64" s="85">
        <f t="shared" si="9"/>
        <v>2.6699194630872483</v>
      </c>
      <c r="G64" s="10"/>
      <c r="H64" s="34">
        <v>50</v>
      </c>
      <c r="I64" s="40">
        <v>596</v>
      </c>
      <c r="J64" s="63">
        <v>-1647.24</v>
      </c>
      <c r="K64" s="5">
        <v>0.7</v>
      </c>
      <c r="L64" s="85">
        <f t="shared" si="10"/>
        <v>2.7638255033557049</v>
      </c>
      <c r="M64" s="10"/>
      <c r="N64" s="34">
        <v>50</v>
      </c>
      <c r="O64" s="40">
        <v>596</v>
      </c>
      <c r="P64" s="63">
        <v>-1704.48</v>
      </c>
      <c r="Q64" s="5">
        <v>0.7</v>
      </c>
      <c r="R64" s="99">
        <f t="shared" si="11"/>
        <v>2.8598657718120806</v>
      </c>
      <c r="S64" s="106"/>
      <c r="U64" s="76">
        <v>5</v>
      </c>
      <c r="V64" s="70">
        <v>101</v>
      </c>
      <c r="W64" s="103">
        <f t="shared" si="12"/>
        <v>96.109499999999997</v>
      </c>
      <c r="X64" s="53">
        <f t="shared" si="13"/>
        <v>96.109499999999997</v>
      </c>
    </row>
    <row r="65" spans="2:24" ht="15" x14ac:dyDescent="0.2">
      <c r="B65" s="89" t="s">
        <v>18</v>
      </c>
      <c r="C65" s="10"/>
      <c r="D65" s="59">
        <f>D63/D60</f>
        <v>3.9921568627450976</v>
      </c>
      <c r="E65" s="10"/>
      <c r="F65" s="10"/>
      <c r="G65" s="10"/>
      <c r="H65" s="93" t="s">
        <v>18</v>
      </c>
      <c r="I65" s="10"/>
      <c r="J65" s="59">
        <f>J63/J60</f>
        <v>3.9921568627450981</v>
      </c>
      <c r="K65" s="10"/>
      <c r="L65" s="10"/>
      <c r="M65" s="10"/>
      <c r="N65" s="93" t="s">
        <v>18</v>
      </c>
      <c r="O65" s="10"/>
      <c r="P65" s="59">
        <f>P63/P60</f>
        <v>3.9921568627450981</v>
      </c>
      <c r="Q65" s="5"/>
      <c r="R65" s="48"/>
      <c r="S65" s="107"/>
      <c r="U65" s="76">
        <v>10</v>
      </c>
      <c r="V65" s="69">
        <v>166</v>
      </c>
      <c r="W65" s="103">
        <f t="shared" si="12"/>
        <v>156.71700000000001</v>
      </c>
      <c r="X65" s="53">
        <f t="shared" si="13"/>
        <v>156.71700000000001</v>
      </c>
    </row>
    <row r="66" spans="2:24" ht="15" x14ac:dyDescent="0.2">
      <c r="B66" s="90" t="s">
        <v>17</v>
      </c>
      <c r="C66" s="57">
        <f>C64/C60</f>
        <v>3.5903614457831323</v>
      </c>
      <c r="D66" s="10"/>
      <c r="E66" s="10"/>
      <c r="F66" s="10"/>
      <c r="G66" s="10"/>
      <c r="H66" s="94" t="s">
        <v>17</v>
      </c>
      <c r="I66" s="57">
        <f>I64/I60</f>
        <v>3.5903614457831323</v>
      </c>
      <c r="J66" s="10"/>
      <c r="K66" s="10"/>
      <c r="L66" s="10"/>
      <c r="M66" s="10"/>
      <c r="N66" s="94" t="s">
        <v>17</v>
      </c>
      <c r="O66" s="57">
        <f>O64/O60</f>
        <v>3.5903614457831323</v>
      </c>
      <c r="P66" s="10"/>
      <c r="Q66" s="5"/>
      <c r="R66" s="48"/>
      <c r="S66" s="107"/>
      <c r="U66" s="76">
        <v>20</v>
      </c>
      <c r="V66" s="69">
        <v>273</v>
      </c>
      <c r="W66" s="103">
        <f t="shared" si="12"/>
        <v>273.86700000000002</v>
      </c>
      <c r="X66" s="53">
        <f t="shared" si="13"/>
        <v>273.86700000000002</v>
      </c>
    </row>
    <row r="67" spans="2:24" ht="15" x14ac:dyDescent="0.2">
      <c r="B67" s="14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6"/>
      <c r="S67" s="104"/>
      <c r="U67" s="76">
        <v>30</v>
      </c>
      <c r="V67" s="69">
        <v>381</v>
      </c>
      <c r="W67" s="103">
        <f t="shared" si="12"/>
        <v>385.59700000000004</v>
      </c>
      <c r="X67" s="53">
        <f t="shared" si="13"/>
        <v>385.59700000000004</v>
      </c>
    </row>
    <row r="68" spans="2:24" ht="15" x14ac:dyDescent="0.2">
      <c r="B68" s="14"/>
      <c r="C68" s="10"/>
      <c r="D68" s="26">
        <v>2.9</v>
      </c>
      <c r="E68" s="10" t="s">
        <v>0</v>
      </c>
      <c r="F68" s="10"/>
      <c r="G68" s="10"/>
      <c r="H68" s="10"/>
      <c r="I68" s="10"/>
      <c r="J68" s="26">
        <v>3</v>
      </c>
      <c r="K68" s="10" t="s">
        <v>0</v>
      </c>
      <c r="L68" s="10"/>
      <c r="M68" s="10"/>
      <c r="N68" s="10"/>
      <c r="O68" s="10"/>
      <c r="P68" s="26">
        <v>3.1</v>
      </c>
      <c r="Q68" s="10" t="s">
        <v>0</v>
      </c>
      <c r="R68" s="16"/>
      <c r="S68" s="104"/>
      <c r="U68" s="76">
        <v>40</v>
      </c>
      <c r="V68" s="69">
        <v>489</v>
      </c>
      <c r="W68" s="103">
        <f t="shared" si="12"/>
        <v>491.90699999999998</v>
      </c>
      <c r="X68" s="53">
        <f t="shared" si="13"/>
        <v>491.90699999999998</v>
      </c>
    </row>
    <row r="69" spans="2:24" ht="15" x14ac:dyDescent="0.2">
      <c r="B69" s="14"/>
      <c r="C69" s="10"/>
      <c r="D69" s="26">
        <v>6.12</v>
      </c>
      <c r="E69" s="10" t="s">
        <v>1</v>
      </c>
      <c r="F69" s="10"/>
      <c r="G69" s="10"/>
      <c r="H69" s="10"/>
      <c r="I69" s="10"/>
      <c r="J69" s="26">
        <v>6.52</v>
      </c>
      <c r="K69" s="10" t="s">
        <v>1</v>
      </c>
      <c r="L69" s="10"/>
      <c r="M69" s="10"/>
      <c r="N69" s="10"/>
      <c r="O69" s="10"/>
      <c r="P69" s="26">
        <v>6.52</v>
      </c>
      <c r="Q69" s="10" t="s">
        <v>1</v>
      </c>
      <c r="R69" s="16"/>
      <c r="S69" s="104"/>
      <c r="U69" s="76">
        <v>50</v>
      </c>
      <c r="V69" s="70">
        <v>596</v>
      </c>
      <c r="W69" s="103">
        <f t="shared" si="12"/>
        <v>592.79700000000003</v>
      </c>
      <c r="X69" s="53">
        <f t="shared" si="13"/>
        <v>592.79700000000003</v>
      </c>
    </row>
    <row r="70" spans="2:24" ht="13.5" x14ac:dyDescent="0.2">
      <c r="B70" s="14"/>
      <c r="C70" s="10"/>
      <c r="D70" s="26">
        <v>85</v>
      </c>
      <c r="E70" s="10" t="s">
        <v>8</v>
      </c>
      <c r="F70" s="10"/>
      <c r="G70" s="10"/>
      <c r="H70" s="10"/>
      <c r="I70" s="10"/>
      <c r="J70" s="26">
        <v>85</v>
      </c>
      <c r="K70" s="10" t="s">
        <v>8</v>
      </c>
      <c r="L70" s="10"/>
      <c r="M70" s="10"/>
      <c r="N70" s="10"/>
      <c r="O70" s="10"/>
      <c r="P70" s="26">
        <v>85</v>
      </c>
      <c r="Q70" s="10" t="s">
        <v>8</v>
      </c>
      <c r="R70" s="16"/>
      <c r="S70" s="104"/>
      <c r="U70" s="82">
        <v>50.1</v>
      </c>
      <c r="V70" s="83">
        <v>3.9</v>
      </c>
    </row>
    <row r="71" spans="2:24" x14ac:dyDescent="0.2">
      <c r="B71" s="45" t="s">
        <v>9</v>
      </c>
      <c r="C71" s="110" t="s">
        <v>41</v>
      </c>
      <c r="D71" s="31" t="s">
        <v>10</v>
      </c>
      <c r="E71" s="30" t="s">
        <v>11</v>
      </c>
      <c r="F71" s="86" t="s">
        <v>12</v>
      </c>
      <c r="G71" s="10"/>
      <c r="H71" s="30" t="s">
        <v>9</v>
      </c>
      <c r="I71" s="110" t="s">
        <v>41</v>
      </c>
      <c r="J71" s="31" t="s">
        <v>10</v>
      </c>
      <c r="K71" s="30" t="s">
        <v>11</v>
      </c>
      <c r="L71" s="86" t="s">
        <v>12</v>
      </c>
      <c r="M71" s="10"/>
      <c r="N71" s="30" t="s">
        <v>9</v>
      </c>
      <c r="O71" s="110" t="s">
        <v>41</v>
      </c>
      <c r="P71" s="31" t="s">
        <v>10</v>
      </c>
      <c r="Q71" s="30" t="s">
        <v>11</v>
      </c>
      <c r="R71" s="98" t="s">
        <v>12</v>
      </c>
      <c r="S71" s="104"/>
    </row>
    <row r="72" spans="2:24" x14ac:dyDescent="0.2">
      <c r="B72" s="47">
        <v>1</v>
      </c>
      <c r="C72" s="39">
        <v>40</v>
      </c>
      <c r="D72" s="63">
        <v>-36.01</v>
      </c>
      <c r="E72" s="5">
        <v>0.7</v>
      </c>
      <c r="F72" s="85">
        <f>(D72/C72)*-1</f>
        <v>0.90024999999999999</v>
      </c>
      <c r="G72" s="10"/>
      <c r="H72" s="34">
        <v>1</v>
      </c>
      <c r="I72" s="39">
        <v>40</v>
      </c>
      <c r="J72" s="63">
        <v>-38</v>
      </c>
      <c r="K72" s="5">
        <v>0.7</v>
      </c>
      <c r="L72" s="85">
        <f>(J72/I72)*-1</f>
        <v>0.95</v>
      </c>
      <c r="M72" s="10"/>
      <c r="N72" s="34">
        <v>1</v>
      </c>
      <c r="O72" s="39">
        <v>40</v>
      </c>
      <c r="P72" s="63">
        <v>-41</v>
      </c>
      <c r="Q72" s="5">
        <v>0.7</v>
      </c>
      <c r="R72" s="99">
        <f>(P72/O72)*-1</f>
        <v>1.0249999999999999</v>
      </c>
      <c r="S72" s="104"/>
    </row>
    <row r="73" spans="2:24" x14ac:dyDescent="0.2">
      <c r="B73" s="47">
        <v>2</v>
      </c>
      <c r="C73" s="40">
        <v>55</v>
      </c>
      <c r="D73" s="64">
        <v>-70.635000000000005</v>
      </c>
      <c r="E73" s="25">
        <v>0.7</v>
      </c>
      <c r="F73" s="87">
        <f t="shared" ref="F73:F81" si="14">(D73/C73)*-1</f>
        <v>1.2842727272727275</v>
      </c>
      <c r="G73" s="10"/>
      <c r="H73" s="34">
        <v>2</v>
      </c>
      <c r="I73" s="40">
        <v>55</v>
      </c>
      <c r="J73" s="64">
        <v>-75</v>
      </c>
      <c r="K73" s="25">
        <v>0.7</v>
      </c>
      <c r="L73" s="87">
        <f t="shared" ref="L73:L81" si="15">(J73/I73)*-1</f>
        <v>1.3636363636363635</v>
      </c>
      <c r="M73" s="10"/>
      <c r="N73" s="34">
        <v>2</v>
      </c>
      <c r="O73" s="40">
        <v>55</v>
      </c>
      <c r="P73" s="64">
        <v>-80</v>
      </c>
      <c r="Q73" s="25">
        <v>0.7</v>
      </c>
      <c r="R73" s="100">
        <f t="shared" ref="R73:R81" si="16">(P73/O73)*-1</f>
        <v>1.4545454545454546</v>
      </c>
      <c r="S73" s="104"/>
    </row>
    <row r="74" spans="2:24" x14ac:dyDescent="0.2">
      <c r="B74" s="47">
        <v>3</v>
      </c>
      <c r="C74" s="39">
        <v>71</v>
      </c>
      <c r="D74" s="63">
        <v>-105.26</v>
      </c>
      <c r="E74" s="5">
        <v>0.7</v>
      </c>
      <c r="F74" s="85">
        <f t="shared" si="14"/>
        <v>1.4825352112676058</v>
      </c>
      <c r="G74" s="10"/>
      <c r="H74" s="34">
        <v>3</v>
      </c>
      <c r="I74" s="39">
        <v>71</v>
      </c>
      <c r="J74" s="63">
        <v>-112</v>
      </c>
      <c r="K74" s="5">
        <v>0.7</v>
      </c>
      <c r="L74" s="85">
        <f t="shared" si="15"/>
        <v>1.5774647887323943</v>
      </c>
      <c r="M74" s="10"/>
      <c r="N74" s="34">
        <v>3</v>
      </c>
      <c r="O74" s="39">
        <v>71</v>
      </c>
      <c r="P74" s="63">
        <v>-120</v>
      </c>
      <c r="Q74" s="5">
        <v>0.7</v>
      </c>
      <c r="R74" s="99">
        <f t="shared" si="16"/>
        <v>1.6901408450704225</v>
      </c>
      <c r="S74" s="104"/>
    </row>
    <row r="75" spans="2:24" x14ac:dyDescent="0.2">
      <c r="B75" s="47">
        <v>4</v>
      </c>
      <c r="C75" s="39">
        <v>86</v>
      </c>
      <c r="D75" s="63">
        <v>-141.27000000000001</v>
      </c>
      <c r="E75" s="5">
        <v>0.7</v>
      </c>
      <c r="F75" s="85">
        <f t="shared" si="14"/>
        <v>1.6426744186046514</v>
      </c>
      <c r="G75" s="10"/>
      <c r="H75" s="34">
        <v>4</v>
      </c>
      <c r="I75" s="39">
        <v>86</v>
      </c>
      <c r="J75" s="63">
        <v>-151</v>
      </c>
      <c r="K75" s="5">
        <v>0.7</v>
      </c>
      <c r="L75" s="85">
        <f t="shared" si="15"/>
        <v>1.7558139534883721</v>
      </c>
      <c r="M75" s="10"/>
      <c r="N75" s="34">
        <v>4</v>
      </c>
      <c r="O75" s="39">
        <v>86</v>
      </c>
      <c r="P75" s="63">
        <v>-160</v>
      </c>
      <c r="Q75" s="5">
        <v>0.7</v>
      </c>
      <c r="R75" s="99">
        <f t="shared" si="16"/>
        <v>1.8604651162790697</v>
      </c>
      <c r="S75" s="104"/>
    </row>
    <row r="76" spans="2:24" x14ac:dyDescent="0.2">
      <c r="B76" s="47">
        <v>5</v>
      </c>
      <c r="C76" s="40">
        <v>101</v>
      </c>
      <c r="D76" s="64">
        <v>-175.89500000000001</v>
      </c>
      <c r="E76" s="25">
        <v>0.7</v>
      </c>
      <c r="F76" s="87">
        <f t="shared" si="14"/>
        <v>1.7415346534653466</v>
      </c>
      <c r="G76" s="10"/>
      <c r="H76" s="34">
        <v>5</v>
      </c>
      <c r="I76" s="40">
        <v>101</v>
      </c>
      <c r="J76" s="64">
        <v>-188</v>
      </c>
      <c r="K76" s="25">
        <v>0.7</v>
      </c>
      <c r="L76" s="87">
        <f t="shared" si="15"/>
        <v>1.8613861386138615</v>
      </c>
      <c r="M76" s="10"/>
      <c r="N76" s="34">
        <v>5</v>
      </c>
      <c r="O76" s="40">
        <v>101</v>
      </c>
      <c r="P76" s="64">
        <v>-200</v>
      </c>
      <c r="Q76" s="25">
        <v>0.7</v>
      </c>
      <c r="R76" s="100">
        <f t="shared" si="16"/>
        <v>1.9801980198019802</v>
      </c>
      <c r="S76" s="104"/>
    </row>
    <row r="77" spans="2:24" x14ac:dyDescent="0.2">
      <c r="B77" s="47">
        <v>10</v>
      </c>
      <c r="C77" s="39">
        <v>166</v>
      </c>
      <c r="D77" s="63">
        <v>-353.17500000000001</v>
      </c>
      <c r="E77" s="5">
        <v>0.7</v>
      </c>
      <c r="F77" s="85">
        <f t="shared" si="14"/>
        <v>2.1275602409638554</v>
      </c>
      <c r="G77" s="10"/>
      <c r="H77" s="34">
        <v>10</v>
      </c>
      <c r="I77" s="39">
        <v>166</v>
      </c>
      <c r="J77" s="63">
        <v>-377</v>
      </c>
      <c r="K77" s="5">
        <v>0.7</v>
      </c>
      <c r="L77" s="85">
        <f t="shared" si="15"/>
        <v>2.2710843373493974</v>
      </c>
      <c r="M77" s="10"/>
      <c r="N77" s="34">
        <v>10</v>
      </c>
      <c r="O77" s="39">
        <v>166</v>
      </c>
      <c r="P77" s="63">
        <v>-402</v>
      </c>
      <c r="Q77" s="5">
        <v>0.7</v>
      </c>
      <c r="R77" s="99">
        <f t="shared" si="16"/>
        <v>2.4216867469879517</v>
      </c>
      <c r="S77" s="104"/>
    </row>
    <row r="78" spans="2:24" x14ac:dyDescent="0.2">
      <c r="B78" s="47">
        <v>20</v>
      </c>
      <c r="C78" s="39">
        <v>273</v>
      </c>
      <c r="D78" s="63">
        <v>-704.96500000000003</v>
      </c>
      <c r="E78" s="5">
        <v>0.7</v>
      </c>
      <c r="F78" s="85">
        <f t="shared" si="14"/>
        <v>2.5822893772893774</v>
      </c>
      <c r="G78" s="10"/>
      <c r="H78" s="34">
        <v>20</v>
      </c>
      <c r="I78" s="39">
        <v>273</v>
      </c>
      <c r="J78" s="63">
        <v>-753</v>
      </c>
      <c r="K78" s="5">
        <v>0.7</v>
      </c>
      <c r="L78" s="85">
        <f t="shared" si="15"/>
        <v>2.7582417582417582</v>
      </c>
      <c r="M78" s="10"/>
      <c r="N78" s="34">
        <v>20</v>
      </c>
      <c r="O78" s="39">
        <v>273</v>
      </c>
      <c r="P78" s="63">
        <v>-802</v>
      </c>
      <c r="Q78" s="5">
        <v>0.7</v>
      </c>
      <c r="R78" s="99">
        <f t="shared" si="16"/>
        <v>2.937728937728938</v>
      </c>
      <c r="S78" s="104"/>
    </row>
    <row r="79" spans="2:24" x14ac:dyDescent="0.2">
      <c r="B79" s="47">
        <v>30</v>
      </c>
      <c r="C79" s="39">
        <v>381</v>
      </c>
      <c r="D79" s="63">
        <v>-1058.1400000000001</v>
      </c>
      <c r="E79" s="5">
        <v>0.7</v>
      </c>
      <c r="F79" s="85">
        <f t="shared" si="14"/>
        <v>2.7772703412073492</v>
      </c>
      <c r="G79" s="10"/>
      <c r="H79" s="34">
        <v>30</v>
      </c>
      <c r="I79" s="39">
        <v>381</v>
      </c>
      <c r="J79" s="63">
        <v>-1130</v>
      </c>
      <c r="K79" s="5">
        <v>0.7</v>
      </c>
      <c r="L79" s="85">
        <f t="shared" si="15"/>
        <v>2.9658792650918637</v>
      </c>
      <c r="M79" s="10"/>
      <c r="N79" s="34">
        <v>30</v>
      </c>
      <c r="O79" s="39">
        <v>381</v>
      </c>
      <c r="P79" s="63">
        <v>-1203</v>
      </c>
      <c r="Q79" s="5">
        <v>0.7</v>
      </c>
      <c r="R79" s="99">
        <f t="shared" si="16"/>
        <v>3.1574803149606301</v>
      </c>
      <c r="S79" s="104"/>
    </row>
    <row r="80" spans="2:24" x14ac:dyDescent="0.2">
      <c r="B80" s="47">
        <v>40</v>
      </c>
      <c r="C80" s="39">
        <v>489</v>
      </c>
      <c r="D80" s="64">
        <v>-1409.93</v>
      </c>
      <c r="E80" s="25">
        <v>0.7</v>
      </c>
      <c r="F80" s="87">
        <f t="shared" si="14"/>
        <v>2.8832924335378323</v>
      </c>
      <c r="G80" s="10"/>
      <c r="H80" s="34">
        <v>40</v>
      </c>
      <c r="I80" s="39">
        <v>489</v>
      </c>
      <c r="J80" s="64">
        <v>-1506</v>
      </c>
      <c r="K80" s="25">
        <v>0.7</v>
      </c>
      <c r="L80" s="87">
        <f t="shared" si="15"/>
        <v>3.0797546012269938</v>
      </c>
      <c r="M80" s="10"/>
      <c r="N80" s="34">
        <v>40</v>
      </c>
      <c r="O80" s="39">
        <v>489</v>
      </c>
      <c r="P80" s="64">
        <v>-1603</v>
      </c>
      <c r="Q80" s="25">
        <v>0.7</v>
      </c>
      <c r="R80" s="100">
        <f t="shared" si="16"/>
        <v>3.278118609406953</v>
      </c>
      <c r="S80" s="104"/>
    </row>
    <row r="81" spans="2:24" x14ac:dyDescent="0.2">
      <c r="B81" s="47">
        <v>50</v>
      </c>
      <c r="C81" s="40">
        <v>596</v>
      </c>
      <c r="D81" s="63">
        <v>-1761.72</v>
      </c>
      <c r="E81" s="5">
        <v>0.7</v>
      </c>
      <c r="F81" s="85">
        <f t="shared" si="14"/>
        <v>2.9559060402684563</v>
      </c>
      <c r="G81" s="10"/>
      <c r="H81" s="34">
        <v>50</v>
      </c>
      <c r="I81" s="40">
        <v>596</v>
      </c>
      <c r="J81" s="63">
        <v>-1881</v>
      </c>
      <c r="K81" s="5">
        <v>0.7</v>
      </c>
      <c r="L81" s="85">
        <f t="shared" si="15"/>
        <v>3.1560402684563758</v>
      </c>
      <c r="M81" s="10"/>
      <c r="N81" s="34">
        <v>50</v>
      </c>
      <c r="O81" s="40">
        <v>596</v>
      </c>
      <c r="P81" s="63">
        <v>-2003</v>
      </c>
      <c r="Q81" s="5">
        <v>0.7</v>
      </c>
      <c r="R81" s="99">
        <f t="shared" si="16"/>
        <v>3.3607382550335569</v>
      </c>
      <c r="S81" s="104"/>
    </row>
    <row r="82" spans="2:24" x14ac:dyDescent="0.2">
      <c r="B82" s="89" t="s">
        <v>18</v>
      </c>
      <c r="C82" s="10"/>
      <c r="D82" s="59">
        <f>D80/D77</f>
        <v>3.9921568627450981</v>
      </c>
      <c r="E82" s="10"/>
      <c r="F82" s="5"/>
      <c r="G82" s="10"/>
      <c r="H82" s="93" t="s">
        <v>18</v>
      </c>
      <c r="I82" s="10"/>
      <c r="J82" s="59">
        <f>J80/J77</f>
        <v>3.9946949602122017</v>
      </c>
      <c r="K82" s="10"/>
      <c r="L82" s="5"/>
      <c r="M82" s="10"/>
      <c r="N82" s="93" t="s">
        <v>18</v>
      </c>
      <c r="O82" s="10"/>
      <c r="P82" s="59">
        <f>P80/P77</f>
        <v>3.9875621890547261</v>
      </c>
      <c r="Q82" s="10"/>
      <c r="R82" s="48"/>
      <c r="S82" s="10"/>
    </row>
    <row r="83" spans="2:24" x14ac:dyDescent="0.2">
      <c r="B83" s="90" t="s">
        <v>17</v>
      </c>
      <c r="C83" s="57">
        <f>C81/C77</f>
        <v>3.5903614457831323</v>
      </c>
      <c r="D83" s="10"/>
      <c r="E83" s="10"/>
      <c r="F83" s="5"/>
      <c r="G83" s="10"/>
      <c r="H83" s="94" t="s">
        <v>17</v>
      </c>
      <c r="I83" s="57">
        <f>I81/I77</f>
        <v>3.5903614457831323</v>
      </c>
      <c r="J83" s="10"/>
      <c r="K83" s="10"/>
      <c r="L83" s="5"/>
      <c r="M83" s="10"/>
      <c r="N83" s="94" t="s">
        <v>17</v>
      </c>
      <c r="O83" s="57">
        <f>O81/O77</f>
        <v>3.5903614457831323</v>
      </c>
      <c r="P83" s="10"/>
      <c r="Q83" s="10"/>
      <c r="R83" s="48"/>
      <c r="S83" s="10"/>
    </row>
    <row r="84" spans="2:24" ht="15" x14ac:dyDescent="0.2">
      <c r="B84" s="14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6"/>
      <c r="S84" s="104"/>
      <c r="U84" s="76">
        <v>30</v>
      </c>
      <c r="V84" s="69">
        <v>381</v>
      </c>
      <c r="W84" s="103">
        <f t="shared" ref="W84:W86" si="17">(W$55*(U84)^2)+(W$56*(U84)^1)+(W$57)</f>
        <v>385.59700000000004</v>
      </c>
      <c r="X84" s="53">
        <f t="shared" ref="X84:X86" si="18">(W84*X$59)</f>
        <v>385.59700000000004</v>
      </c>
    </row>
    <row r="85" spans="2:24" ht="15" x14ac:dyDescent="0.2">
      <c r="B85" s="14"/>
      <c r="C85" s="10"/>
      <c r="D85" s="26">
        <v>3.2</v>
      </c>
      <c r="E85" s="10" t="s">
        <v>0</v>
      </c>
      <c r="F85" s="10"/>
      <c r="G85" s="10"/>
      <c r="H85" s="10"/>
      <c r="I85" s="10"/>
      <c r="J85" s="26">
        <v>3.3</v>
      </c>
      <c r="K85" s="10" t="s">
        <v>0</v>
      </c>
      <c r="L85" s="10"/>
      <c r="M85" s="10"/>
      <c r="N85" s="10"/>
      <c r="O85" s="10"/>
      <c r="P85" s="10"/>
      <c r="Q85" s="10"/>
      <c r="R85" s="16"/>
      <c r="S85" s="104"/>
      <c r="U85" s="76">
        <v>40</v>
      </c>
      <c r="V85" s="69">
        <v>489</v>
      </c>
      <c r="W85" s="103">
        <f t="shared" si="17"/>
        <v>491.90699999999998</v>
      </c>
      <c r="X85" s="53">
        <f t="shared" si="18"/>
        <v>491.90699999999998</v>
      </c>
    </row>
    <row r="86" spans="2:24" ht="15" x14ac:dyDescent="0.2">
      <c r="B86" s="14"/>
      <c r="C86" s="10"/>
      <c r="D86" s="26">
        <v>7.34</v>
      </c>
      <c r="E86" s="10" t="s">
        <v>1</v>
      </c>
      <c r="F86" s="10"/>
      <c r="G86" s="10"/>
      <c r="H86" s="10"/>
      <c r="I86" s="10"/>
      <c r="J86" s="26">
        <v>7.77</v>
      </c>
      <c r="K86" s="10" t="s">
        <v>1</v>
      </c>
      <c r="L86" s="10"/>
      <c r="M86" s="10"/>
      <c r="N86" s="10"/>
      <c r="O86" s="10"/>
      <c r="P86" s="10"/>
      <c r="Q86" s="10"/>
      <c r="R86" s="16"/>
      <c r="S86" s="104"/>
      <c r="U86" s="76">
        <v>50</v>
      </c>
      <c r="V86" s="70">
        <v>596</v>
      </c>
      <c r="W86" s="103">
        <f t="shared" si="17"/>
        <v>592.79700000000003</v>
      </c>
      <c r="X86" s="53">
        <f t="shared" si="18"/>
        <v>592.79700000000003</v>
      </c>
    </row>
    <row r="87" spans="2:24" ht="13.5" x14ac:dyDescent="0.2">
      <c r="B87" s="14"/>
      <c r="C87" s="10"/>
      <c r="D87" s="26">
        <v>85</v>
      </c>
      <c r="E87" s="10" t="s">
        <v>8</v>
      </c>
      <c r="F87" s="10"/>
      <c r="G87" s="10"/>
      <c r="H87" s="10"/>
      <c r="I87" s="10"/>
      <c r="J87" s="26">
        <v>85</v>
      </c>
      <c r="K87" s="10" t="s">
        <v>8</v>
      </c>
      <c r="L87" s="10"/>
      <c r="M87" s="10"/>
      <c r="N87" s="10"/>
      <c r="O87" s="10"/>
      <c r="P87" s="10"/>
      <c r="Q87" s="10"/>
      <c r="R87" s="16"/>
      <c r="S87" s="104"/>
      <c r="U87" s="82">
        <v>50.1</v>
      </c>
      <c r="V87" s="83">
        <v>3.9</v>
      </c>
    </row>
    <row r="88" spans="2:24" x14ac:dyDescent="0.2">
      <c r="B88" s="45" t="s">
        <v>9</v>
      </c>
      <c r="C88" s="110" t="s">
        <v>41</v>
      </c>
      <c r="D88" s="31" t="s">
        <v>10</v>
      </c>
      <c r="E88" s="30" t="s">
        <v>11</v>
      </c>
      <c r="F88" s="86" t="s">
        <v>12</v>
      </c>
      <c r="G88" s="10"/>
      <c r="H88" s="30" t="s">
        <v>9</v>
      </c>
      <c r="I88" s="110" t="s">
        <v>41</v>
      </c>
      <c r="J88" s="31" t="s">
        <v>10</v>
      </c>
      <c r="K88" s="30" t="s">
        <v>11</v>
      </c>
      <c r="L88" s="86" t="s">
        <v>12</v>
      </c>
      <c r="M88" s="10"/>
      <c r="N88" s="10"/>
      <c r="O88" s="10"/>
      <c r="P88" s="10"/>
      <c r="Q88" s="10"/>
      <c r="R88" s="16"/>
      <c r="S88" s="104"/>
    </row>
    <row r="89" spans="2:24" x14ac:dyDescent="0.2">
      <c r="B89" s="47">
        <v>1</v>
      </c>
      <c r="C89" s="39">
        <v>40</v>
      </c>
      <c r="D89" s="63">
        <v>-44</v>
      </c>
      <c r="E89" s="5">
        <v>0.7</v>
      </c>
      <c r="F89" s="85">
        <f>(D89/C89)*-1</f>
        <v>1.1000000000000001</v>
      </c>
      <c r="G89" s="10"/>
      <c r="H89" s="34">
        <v>1</v>
      </c>
      <c r="I89" s="39">
        <v>40</v>
      </c>
      <c r="J89" s="63">
        <v>-46</v>
      </c>
      <c r="K89" s="5">
        <v>0.7</v>
      </c>
      <c r="L89" s="85">
        <f>(J89/I89)*-1</f>
        <v>1.1499999999999999</v>
      </c>
      <c r="M89" s="10"/>
      <c r="N89" s="10"/>
      <c r="O89" s="10"/>
      <c r="P89" s="10"/>
      <c r="Q89" s="10"/>
      <c r="R89" s="16"/>
      <c r="S89" s="104"/>
    </row>
    <row r="90" spans="2:24" x14ac:dyDescent="0.2">
      <c r="B90" s="47">
        <v>2</v>
      </c>
      <c r="C90" s="40">
        <v>55</v>
      </c>
      <c r="D90" s="64">
        <v>-85</v>
      </c>
      <c r="E90" s="25">
        <v>0.7</v>
      </c>
      <c r="F90" s="87">
        <f t="shared" ref="F90:F98" si="19">(D90/C90)*-1</f>
        <v>1.5454545454545454</v>
      </c>
      <c r="G90" s="10"/>
      <c r="H90" s="34">
        <v>2</v>
      </c>
      <c r="I90" s="40">
        <v>55</v>
      </c>
      <c r="J90" s="64">
        <v>-91</v>
      </c>
      <c r="K90" s="25">
        <v>0.7</v>
      </c>
      <c r="L90" s="87">
        <f t="shared" ref="L90:L98" si="20">(J90/I90)*-1</f>
        <v>1.6545454545454545</v>
      </c>
      <c r="M90" s="10"/>
      <c r="N90" s="10"/>
      <c r="O90" s="10"/>
      <c r="P90" s="10"/>
      <c r="Q90" s="10"/>
      <c r="R90" s="16"/>
      <c r="S90" s="104"/>
    </row>
    <row r="91" spans="2:24" x14ac:dyDescent="0.2">
      <c r="B91" s="47">
        <v>3</v>
      </c>
      <c r="C91" s="39">
        <v>71</v>
      </c>
      <c r="D91" s="63">
        <v>-127</v>
      </c>
      <c r="E91" s="5">
        <v>0.7</v>
      </c>
      <c r="F91" s="85">
        <f t="shared" si="19"/>
        <v>1.7887323943661972</v>
      </c>
      <c r="G91" s="10"/>
      <c r="H91" s="34">
        <v>3</v>
      </c>
      <c r="I91" s="39">
        <v>71</v>
      </c>
      <c r="J91" s="63">
        <v>-135</v>
      </c>
      <c r="K91" s="5">
        <v>0.7</v>
      </c>
      <c r="L91" s="85">
        <f t="shared" si="20"/>
        <v>1.9014084507042253</v>
      </c>
      <c r="M91" s="10"/>
      <c r="N91" s="10"/>
      <c r="O91" s="10"/>
      <c r="P91" s="10"/>
      <c r="Q91" s="10"/>
      <c r="R91" s="16"/>
      <c r="S91" s="104"/>
    </row>
    <row r="92" spans="2:24" x14ac:dyDescent="0.2">
      <c r="B92" s="47">
        <v>4</v>
      </c>
      <c r="C92" s="39">
        <v>86</v>
      </c>
      <c r="D92" s="63">
        <v>-171</v>
      </c>
      <c r="E92" s="5">
        <v>0.7</v>
      </c>
      <c r="F92" s="85">
        <f t="shared" si="19"/>
        <v>1.9883720930232558</v>
      </c>
      <c r="G92" s="10"/>
      <c r="H92" s="34">
        <v>4</v>
      </c>
      <c r="I92" s="39">
        <v>86</v>
      </c>
      <c r="J92" s="63">
        <v>-181</v>
      </c>
      <c r="K92" s="5">
        <v>0.7</v>
      </c>
      <c r="L92" s="85">
        <f t="shared" si="20"/>
        <v>2.1046511627906979</v>
      </c>
      <c r="M92" s="10"/>
      <c r="N92" s="10"/>
      <c r="O92" s="10"/>
      <c r="P92" s="10"/>
      <c r="Q92" s="10"/>
      <c r="R92" s="16"/>
      <c r="S92" s="104"/>
    </row>
    <row r="93" spans="2:24" x14ac:dyDescent="0.2">
      <c r="B93" s="47">
        <v>5</v>
      </c>
      <c r="C93" s="40">
        <v>101</v>
      </c>
      <c r="D93" s="64">
        <v>-213</v>
      </c>
      <c r="E93" s="25">
        <v>0.7</v>
      </c>
      <c r="F93" s="87">
        <f t="shared" si="19"/>
        <v>2.108910891089109</v>
      </c>
      <c r="G93" s="10"/>
      <c r="H93" s="34">
        <v>5</v>
      </c>
      <c r="I93" s="40">
        <v>101</v>
      </c>
      <c r="J93" s="64">
        <v>-226</v>
      </c>
      <c r="K93" s="25">
        <v>0.7</v>
      </c>
      <c r="L93" s="87">
        <f t="shared" si="20"/>
        <v>2.2376237623762378</v>
      </c>
      <c r="M93" s="10"/>
      <c r="N93" s="10"/>
      <c r="O93" s="10"/>
      <c r="P93" s="10"/>
      <c r="Q93" s="10"/>
      <c r="R93" s="16"/>
      <c r="S93" s="104"/>
    </row>
    <row r="94" spans="2:24" x14ac:dyDescent="0.2">
      <c r="B94" s="47">
        <v>10</v>
      </c>
      <c r="C94" s="39">
        <v>166</v>
      </c>
      <c r="D94" s="63">
        <v>-427</v>
      </c>
      <c r="E94" s="5">
        <v>0.7</v>
      </c>
      <c r="F94" s="85">
        <f t="shared" si="19"/>
        <v>2.572289156626506</v>
      </c>
      <c r="G94" s="10"/>
      <c r="H94" s="34">
        <v>10</v>
      </c>
      <c r="I94" s="39">
        <v>166</v>
      </c>
      <c r="J94" s="63">
        <v>-453</v>
      </c>
      <c r="K94" s="5">
        <v>0.7</v>
      </c>
      <c r="L94" s="85">
        <f t="shared" si="20"/>
        <v>2.7289156626506026</v>
      </c>
      <c r="M94" s="10"/>
      <c r="N94" s="10"/>
      <c r="O94" s="10"/>
      <c r="P94" s="10"/>
      <c r="Q94" s="10"/>
      <c r="R94" s="16"/>
      <c r="S94" s="104"/>
    </row>
    <row r="95" spans="2:24" x14ac:dyDescent="0.2">
      <c r="B95" s="47">
        <v>20</v>
      </c>
      <c r="C95" s="39">
        <v>273</v>
      </c>
      <c r="D95" s="63">
        <v>-852</v>
      </c>
      <c r="E95" s="5">
        <v>0.7</v>
      </c>
      <c r="F95" s="85">
        <f t="shared" si="19"/>
        <v>3.1208791208791209</v>
      </c>
      <c r="G95" s="10"/>
      <c r="H95" s="34">
        <v>20</v>
      </c>
      <c r="I95" s="39">
        <v>273</v>
      </c>
      <c r="J95" s="63">
        <v>-904</v>
      </c>
      <c r="K95" s="5">
        <v>0.7</v>
      </c>
      <c r="L95" s="85">
        <f t="shared" si="20"/>
        <v>3.3113553113553111</v>
      </c>
      <c r="M95" s="10"/>
      <c r="N95" s="10"/>
      <c r="O95" s="10"/>
      <c r="P95" s="10"/>
      <c r="Q95" s="10"/>
      <c r="R95" s="16"/>
      <c r="S95" s="104"/>
    </row>
    <row r="96" spans="2:24" x14ac:dyDescent="0.2">
      <c r="B96" s="47">
        <v>30</v>
      </c>
      <c r="C96" s="39">
        <v>381</v>
      </c>
      <c r="D96" s="63">
        <v>-1279</v>
      </c>
      <c r="E96" s="5">
        <v>0.7</v>
      </c>
      <c r="F96" s="85">
        <f t="shared" si="19"/>
        <v>3.3569553805774279</v>
      </c>
      <c r="G96" s="10"/>
      <c r="H96" s="34">
        <v>30</v>
      </c>
      <c r="I96" s="39">
        <v>381</v>
      </c>
      <c r="J96" s="63">
        <v>-1357</v>
      </c>
      <c r="K96" s="5">
        <v>0.7</v>
      </c>
      <c r="L96" s="85">
        <f t="shared" si="20"/>
        <v>3.5616797900262469</v>
      </c>
      <c r="M96" s="10"/>
      <c r="N96" s="10"/>
      <c r="O96" s="10"/>
      <c r="P96" s="10"/>
      <c r="Q96" s="10"/>
      <c r="R96" s="16"/>
      <c r="S96" s="104"/>
    </row>
    <row r="97" spans="2:19" x14ac:dyDescent="0.2">
      <c r="B97" s="47">
        <v>40</v>
      </c>
      <c r="C97" s="39">
        <v>489</v>
      </c>
      <c r="D97" s="64">
        <v>-1704</v>
      </c>
      <c r="E97" s="25">
        <v>0.7</v>
      </c>
      <c r="F97" s="87">
        <f t="shared" si="19"/>
        <v>3.4846625766871164</v>
      </c>
      <c r="G97" s="10"/>
      <c r="H97" s="34">
        <v>40</v>
      </c>
      <c r="I97" s="39">
        <v>489</v>
      </c>
      <c r="J97" s="64">
        <v>-1808</v>
      </c>
      <c r="K97" s="25">
        <v>0.7</v>
      </c>
      <c r="L97" s="87">
        <f t="shared" si="20"/>
        <v>3.6973415132924337</v>
      </c>
      <c r="M97" s="10"/>
      <c r="N97" s="10"/>
      <c r="O97" s="10"/>
      <c r="P97" s="10"/>
      <c r="Q97" s="10"/>
      <c r="R97" s="16"/>
      <c r="S97" s="104"/>
    </row>
    <row r="98" spans="2:19" x14ac:dyDescent="0.2">
      <c r="B98" s="47">
        <v>50</v>
      </c>
      <c r="C98" s="40">
        <v>596</v>
      </c>
      <c r="D98" s="63">
        <v>-2129</v>
      </c>
      <c r="E98" s="5">
        <v>0.7</v>
      </c>
      <c r="F98" s="85">
        <f t="shared" si="19"/>
        <v>3.5721476510067114</v>
      </c>
      <c r="G98" s="10"/>
      <c r="H98" s="34">
        <v>50</v>
      </c>
      <c r="I98" s="40">
        <v>596</v>
      </c>
      <c r="J98" s="63">
        <v>-2259</v>
      </c>
      <c r="K98" s="5">
        <v>0.7</v>
      </c>
      <c r="L98" s="85">
        <f t="shared" si="20"/>
        <v>3.7902684563758391</v>
      </c>
      <c r="M98" s="10"/>
      <c r="N98" s="10"/>
      <c r="O98" s="10"/>
      <c r="P98" s="10"/>
      <c r="Q98" s="10"/>
      <c r="R98" s="16"/>
      <c r="S98" s="104"/>
    </row>
    <row r="99" spans="2:19" x14ac:dyDescent="0.2">
      <c r="B99" s="89" t="s">
        <v>18</v>
      </c>
      <c r="C99" s="10"/>
      <c r="D99" s="59">
        <f>D97/D94</f>
        <v>3.9906323185011709</v>
      </c>
      <c r="E99" s="10"/>
      <c r="F99" s="5"/>
      <c r="G99" s="10"/>
      <c r="H99" s="93" t="s">
        <v>18</v>
      </c>
      <c r="I99" s="10"/>
      <c r="J99" s="59">
        <f>J97/J94</f>
        <v>3.9911699779249448</v>
      </c>
      <c r="K99" s="10"/>
      <c r="L99" s="5"/>
      <c r="M99" s="10"/>
      <c r="N99" s="10"/>
      <c r="O99" s="10"/>
      <c r="P99" s="10"/>
      <c r="Q99" s="10"/>
      <c r="R99" s="16"/>
      <c r="S99" s="10"/>
    </row>
    <row r="100" spans="2:19" x14ac:dyDescent="0.2">
      <c r="B100" s="95" t="s">
        <v>17</v>
      </c>
      <c r="C100" s="96">
        <f>C98/C94</f>
        <v>3.5903614457831323</v>
      </c>
      <c r="D100" s="3"/>
      <c r="E100" s="3"/>
      <c r="F100" s="51"/>
      <c r="G100" s="3"/>
      <c r="H100" s="124" t="s">
        <v>17</v>
      </c>
      <c r="I100" s="96">
        <f>I98/I94</f>
        <v>3.5903614457831323</v>
      </c>
      <c r="J100" s="3"/>
      <c r="K100" s="3"/>
      <c r="L100" s="51"/>
      <c r="M100" s="3"/>
      <c r="N100" s="3"/>
      <c r="O100" s="3"/>
      <c r="P100" s="3"/>
      <c r="Q100" s="3"/>
      <c r="R100" s="8"/>
      <c r="S100" s="10"/>
    </row>
    <row r="101" spans="2:19" x14ac:dyDescent="0.2">
      <c r="H101" s="14"/>
      <c r="I101" s="10"/>
      <c r="J101" s="10"/>
      <c r="K101" s="10"/>
      <c r="L101" s="10"/>
      <c r="M101" s="10"/>
      <c r="N101" s="10"/>
      <c r="O101" s="10"/>
      <c r="P101" s="10"/>
      <c r="Q101" s="10"/>
      <c r="R101" s="16"/>
    </row>
    <row r="102" spans="2:19" x14ac:dyDescent="0.2">
      <c r="H102" s="55" t="s">
        <v>33</v>
      </c>
      <c r="I102" s="10"/>
      <c r="J102" s="10"/>
      <c r="K102" s="10"/>
      <c r="L102" s="10"/>
      <c r="M102" s="10"/>
      <c r="N102" s="10"/>
      <c r="O102" s="10"/>
      <c r="P102" s="10"/>
      <c r="Q102" s="10"/>
      <c r="R102" s="16"/>
    </row>
    <row r="103" spans="2:19" x14ac:dyDescent="0.2">
      <c r="H103" s="55" t="s">
        <v>34</v>
      </c>
      <c r="I103" s="10"/>
      <c r="J103" s="10"/>
      <c r="K103" s="10"/>
      <c r="L103" s="10"/>
      <c r="M103" s="10"/>
      <c r="N103" s="10"/>
      <c r="O103" s="10"/>
      <c r="P103" s="10"/>
      <c r="Q103" s="10"/>
      <c r="R103" s="16"/>
    </row>
    <row r="104" spans="2:19" x14ac:dyDescent="0.2">
      <c r="H104" s="55" t="s">
        <v>35</v>
      </c>
      <c r="I104" s="10"/>
      <c r="J104" s="10"/>
      <c r="K104" s="10"/>
      <c r="L104" s="10"/>
      <c r="M104" s="10"/>
      <c r="N104" s="10"/>
      <c r="O104" s="10"/>
      <c r="P104" s="10"/>
      <c r="Q104" s="10"/>
      <c r="R104" s="16"/>
    </row>
    <row r="105" spans="2:19" x14ac:dyDescent="0.2">
      <c r="H105" s="91"/>
      <c r="I105" s="10"/>
      <c r="J105" s="10"/>
      <c r="K105" s="10"/>
      <c r="L105" s="10"/>
      <c r="M105" s="10"/>
      <c r="N105" s="10"/>
      <c r="O105" s="10"/>
      <c r="P105" s="10"/>
      <c r="Q105" s="10"/>
      <c r="R105" s="16"/>
    </row>
    <row r="106" spans="2:19" x14ac:dyDescent="0.2">
      <c r="H106" s="92" t="s">
        <v>21</v>
      </c>
      <c r="I106" s="10"/>
      <c r="J106" s="10"/>
      <c r="K106" s="10"/>
      <c r="L106" s="10"/>
      <c r="M106" s="10"/>
      <c r="N106" s="10"/>
      <c r="O106" s="10"/>
      <c r="P106" s="10"/>
      <c r="Q106" s="10"/>
      <c r="R106" s="16"/>
    </row>
    <row r="107" spans="2:19" x14ac:dyDescent="0.2">
      <c r="H107" s="91" t="s">
        <v>30</v>
      </c>
      <c r="I107" s="10"/>
      <c r="J107" s="10"/>
      <c r="K107" s="10"/>
      <c r="L107" s="10"/>
      <c r="M107" s="10"/>
      <c r="N107" s="10"/>
      <c r="O107" s="10"/>
      <c r="P107" s="10"/>
      <c r="Q107" s="10"/>
      <c r="R107" s="16"/>
    </row>
    <row r="108" spans="2:19" x14ac:dyDescent="0.2">
      <c r="H108" s="14"/>
      <c r="I108" s="10"/>
      <c r="J108" s="10"/>
      <c r="K108" s="10"/>
      <c r="L108" s="10"/>
      <c r="M108" s="10"/>
      <c r="N108" s="10"/>
      <c r="O108" s="10"/>
      <c r="P108" s="10"/>
      <c r="Q108" s="10"/>
      <c r="R108" s="16"/>
    </row>
    <row r="109" spans="2:19" x14ac:dyDescent="0.2">
      <c r="H109" s="14"/>
      <c r="I109" s="10"/>
      <c r="J109" s="10"/>
      <c r="K109" s="10"/>
      <c r="L109" s="10"/>
      <c r="M109" s="10"/>
      <c r="N109" s="10"/>
      <c r="O109" s="10"/>
      <c r="P109" s="10"/>
      <c r="Q109" s="10"/>
      <c r="R109" s="16"/>
    </row>
    <row r="110" spans="2:19" x14ac:dyDescent="0.2">
      <c r="H110" s="14"/>
      <c r="I110" s="10"/>
      <c r="J110" s="10"/>
      <c r="K110" s="10"/>
      <c r="L110" s="10"/>
      <c r="M110" s="10"/>
      <c r="N110" s="10"/>
      <c r="O110" s="10"/>
      <c r="P110" s="10"/>
      <c r="Q110" s="10"/>
      <c r="R110" s="16"/>
    </row>
    <row r="111" spans="2:19" x14ac:dyDescent="0.2">
      <c r="H111" s="14"/>
      <c r="I111" s="10"/>
      <c r="J111" s="10"/>
      <c r="K111" s="10"/>
      <c r="L111" s="10"/>
      <c r="M111" s="10"/>
      <c r="N111" s="10"/>
      <c r="O111" s="10"/>
      <c r="P111" s="10"/>
      <c r="Q111" s="10"/>
      <c r="R111" s="16"/>
    </row>
    <row r="112" spans="2:19" x14ac:dyDescent="0.2">
      <c r="H112" s="14"/>
      <c r="I112" s="10"/>
      <c r="J112" s="10"/>
      <c r="K112" s="10"/>
      <c r="L112" s="10"/>
      <c r="M112" s="10"/>
      <c r="N112" s="10"/>
      <c r="O112" s="10"/>
      <c r="P112" s="10"/>
      <c r="Q112" s="10"/>
      <c r="R112" s="16"/>
    </row>
    <row r="113" spans="8:18" x14ac:dyDescent="0.2">
      <c r="H113" s="7"/>
      <c r="I113" s="3"/>
      <c r="J113" s="3"/>
      <c r="K113" s="3"/>
      <c r="L113" s="3"/>
      <c r="M113" s="3"/>
      <c r="N113" s="3"/>
      <c r="O113" s="3"/>
      <c r="P113" s="3"/>
      <c r="Q113" s="3"/>
      <c r="R113" s="8"/>
    </row>
  </sheetData>
  <mergeCells count="1">
    <mergeCell ref="U26:W26"/>
  </mergeCells>
  <pageMargins left="0.45" right="0.45" top="0.5" bottom="0.5" header="0.3" footer="0.3"/>
  <pageSetup scale="88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AS305"/>
  <sheetViews>
    <sheetView showGridLines="0" zoomScale="90" zoomScaleNormal="90" workbookViewId="0">
      <selection activeCell="H22" sqref="H22"/>
    </sheetView>
  </sheetViews>
  <sheetFormatPr defaultRowHeight="12.75" x14ac:dyDescent="0.2"/>
  <cols>
    <col min="3" max="3" width="9.140625" customWidth="1"/>
    <col min="7" max="7" width="5.7109375" customWidth="1"/>
    <col min="9" max="9" width="9.140625" customWidth="1"/>
    <col min="11" max="12" width="9.140625" customWidth="1"/>
    <col min="13" max="13" width="5.7109375" customWidth="1"/>
    <col min="15" max="15" width="9.140625" customWidth="1"/>
    <col min="20" max="20" width="5.7109375" customWidth="1"/>
  </cols>
  <sheetData>
    <row r="1" spans="1:45" x14ac:dyDescent="0.2">
      <c r="T1" s="158" t="s">
        <v>81</v>
      </c>
    </row>
    <row r="2" spans="1:45" x14ac:dyDescent="0.2">
      <c r="A2" t="s">
        <v>6</v>
      </c>
    </row>
    <row r="3" spans="1:45" x14ac:dyDescent="0.2">
      <c r="A3" s="1" t="s">
        <v>62</v>
      </c>
    </row>
    <row r="4" spans="1:45" x14ac:dyDescent="0.2">
      <c r="A4" s="24" t="s">
        <v>23</v>
      </c>
    </row>
    <row r="5" spans="1:45" x14ac:dyDescent="0.2">
      <c r="N5" s="1"/>
      <c r="O5" s="1"/>
    </row>
    <row r="6" spans="1:45" x14ac:dyDescent="0.2">
      <c r="A6" s="21" t="s">
        <v>5</v>
      </c>
    </row>
    <row r="7" spans="1:45" x14ac:dyDescent="0.2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1:45" x14ac:dyDescent="0.2">
      <c r="B8" s="112" t="s">
        <v>44</v>
      </c>
    </row>
    <row r="9" spans="1:45" x14ac:dyDescent="0.2">
      <c r="B9" s="112" t="s">
        <v>45</v>
      </c>
    </row>
    <row r="11" spans="1:45" ht="15.75" x14ac:dyDescent="0.25">
      <c r="A11" s="125" t="s">
        <v>61</v>
      </c>
    </row>
    <row r="12" spans="1:45" x14ac:dyDescent="0.2">
      <c r="A12" s="157" t="s">
        <v>80</v>
      </c>
    </row>
    <row r="13" spans="1:45" ht="15" customHeight="1" x14ac:dyDescent="0.2">
      <c r="B13" s="144" t="s">
        <v>68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44" t="s">
        <v>5</v>
      </c>
      <c r="N13" s="12"/>
      <c r="O13" s="12"/>
      <c r="P13" s="12"/>
      <c r="Q13" s="12"/>
      <c r="R13" s="13"/>
      <c r="S13" s="10"/>
      <c r="AS13" t="s">
        <v>32</v>
      </c>
    </row>
    <row r="14" spans="1:45" ht="15" customHeight="1" x14ac:dyDescent="0.2">
      <c r="B14" s="56" t="s">
        <v>66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52"/>
      <c r="N14" s="10"/>
      <c r="O14" s="10"/>
      <c r="P14" s="10"/>
      <c r="Q14" s="10"/>
      <c r="R14" s="16"/>
      <c r="S14" s="10"/>
    </row>
    <row r="15" spans="1:45" ht="15" customHeight="1" x14ac:dyDescent="0.2">
      <c r="B15" s="56" t="s">
        <v>67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52"/>
      <c r="N15" s="10"/>
      <c r="O15" s="10"/>
      <c r="P15" s="10"/>
      <c r="Q15" s="10"/>
      <c r="R15" s="16"/>
      <c r="S15" s="10"/>
    </row>
    <row r="16" spans="1:45" ht="15" customHeight="1" x14ac:dyDescent="0.2">
      <c r="B16" s="111" t="s">
        <v>64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52"/>
      <c r="N16" s="10"/>
      <c r="O16" s="10"/>
      <c r="P16" s="10"/>
      <c r="Q16" s="10"/>
      <c r="R16" s="16"/>
      <c r="S16" s="10"/>
    </row>
    <row r="17" spans="1:24" ht="15" customHeight="1" x14ac:dyDescent="0.2">
      <c r="B17" s="111" t="s">
        <v>63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6"/>
      <c r="S17" s="10"/>
    </row>
    <row r="18" spans="1:24" ht="15" customHeight="1" x14ac:dyDescent="0.2">
      <c r="B18" s="14"/>
      <c r="C18" s="10"/>
      <c r="D18" s="26">
        <v>2.4500000000000002</v>
      </c>
      <c r="E18" s="10" t="s">
        <v>0</v>
      </c>
      <c r="F18" s="10"/>
      <c r="G18" s="10"/>
      <c r="H18" s="142"/>
      <c r="I18" s="142"/>
      <c r="J18" s="26">
        <v>2.5</v>
      </c>
      <c r="K18" s="10" t="s">
        <v>0</v>
      </c>
      <c r="L18" s="10"/>
      <c r="M18" s="10"/>
      <c r="N18" s="142"/>
      <c r="O18" s="142"/>
      <c r="P18" s="26">
        <v>2.5499999999999998</v>
      </c>
      <c r="Q18" s="10" t="s">
        <v>0</v>
      </c>
      <c r="R18" s="16"/>
      <c r="S18" s="10"/>
    </row>
    <row r="19" spans="1:24" ht="15" customHeight="1" x14ac:dyDescent="0.2">
      <c r="B19" s="14"/>
      <c r="C19" s="10"/>
      <c r="D19" s="26">
        <v>4.47</v>
      </c>
      <c r="E19" s="10" t="s">
        <v>1</v>
      </c>
      <c r="F19" s="10"/>
      <c r="H19" s="10"/>
      <c r="I19" s="142"/>
      <c r="J19" s="26">
        <v>4.6500000000000004</v>
      </c>
      <c r="K19" s="10" t="s">
        <v>1</v>
      </c>
      <c r="L19" s="10"/>
      <c r="M19" s="10"/>
      <c r="N19" s="142"/>
      <c r="O19" s="142"/>
      <c r="P19" s="26">
        <v>4.82</v>
      </c>
      <c r="Q19" s="10" t="s">
        <v>1</v>
      </c>
      <c r="R19" s="16"/>
      <c r="S19" s="10"/>
    </row>
    <row r="20" spans="1:24" ht="15" customHeight="1" x14ac:dyDescent="0.2">
      <c r="B20" s="14"/>
      <c r="C20" s="10"/>
      <c r="D20" s="26">
        <v>85</v>
      </c>
      <c r="E20" s="10" t="s">
        <v>8</v>
      </c>
      <c r="F20" s="10"/>
      <c r="G20" s="10"/>
      <c r="H20" s="10"/>
      <c r="I20" s="10"/>
      <c r="J20" s="26">
        <v>85</v>
      </c>
      <c r="K20" s="10" t="s">
        <v>8</v>
      </c>
      <c r="L20" s="10"/>
      <c r="M20" s="10"/>
      <c r="N20" s="10"/>
      <c r="O20" s="10"/>
      <c r="P20" s="26">
        <v>85</v>
      </c>
      <c r="Q20" s="10" t="s">
        <v>8</v>
      </c>
      <c r="R20" s="16"/>
      <c r="S20" s="104"/>
    </row>
    <row r="21" spans="1:24" ht="15" customHeight="1" x14ac:dyDescent="0.2">
      <c r="B21" s="45" t="s">
        <v>9</v>
      </c>
      <c r="C21" s="110" t="s">
        <v>41</v>
      </c>
      <c r="D21" s="31" t="s">
        <v>10</v>
      </c>
      <c r="E21" s="30" t="s">
        <v>11</v>
      </c>
      <c r="F21" s="86" t="s">
        <v>12</v>
      </c>
      <c r="G21" s="10"/>
      <c r="H21" s="30" t="s">
        <v>9</v>
      </c>
      <c r="I21" s="110" t="s">
        <v>41</v>
      </c>
      <c r="J21" s="31" t="s">
        <v>10</v>
      </c>
      <c r="K21" s="30" t="s">
        <v>11</v>
      </c>
      <c r="L21" s="86" t="s">
        <v>12</v>
      </c>
      <c r="M21" s="10"/>
      <c r="N21" s="30" t="s">
        <v>9</v>
      </c>
      <c r="O21" s="110" t="s">
        <v>41</v>
      </c>
      <c r="P21" s="31" t="s">
        <v>10</v>
      </c>
      <c r="Q21" s="30" t="s">
        <v>11</v>
      </c>
      <c r="R21" s="98" t="s">
        <v>12</v>
      </c>
      <c r="S21" s="105"/>
      <c r="U21" s="73" t="s">
        <v>24</v>
      </c>
      <c r="V21" s="74" t="s">
        <v>25</v>
      </c>
      <c r="W21" s="75" t="s">
        <v>26</v>
      </c>
      <c r="X21" t="s">
        <v>38</v>
      </c>
    </row>
    <row r="22" spans="1:24" ht="15" customHeight="1" x14ac:dyDescent="0.2">
      <c r="B22" s="47">
        <v>1</v>
      </c>
      <c r="C22" s="39">
        <f>$I39*(D$30/$J$47)</f>
        <v>34.353832305968709</v>
      </c>
      <c r="D22" s="138">
        <v>-25.45</v>
      </c>
      <c r="E22" s="136">
        <f>SQRT(12*32.2*(D22/B22)^2/(4*$D$20*($D$19*56)*$D$18^2))</f>
        <v>0.69992745230334086</v>
      </c>
      <c r="F22" s="85">
        <f>(D22/C22)*-1</f>
        <v>0.74081982392334911</v>
      </c>
      <c r="G22" s="10"/>
      <c r="H22" s="34">
        <v>1</v>
      </c>
      <c r="I22" s="39">
        <f>$I39*(J$30/$J$47)</f>
        <v>35.752033280821628</v>
      </c>
      <c r="J22" s="140">
        <f>D22*1.0407</f>
        <v>-26.485814999999999</v>
      </c>
      <c r="K22" s="136">
        <f>SQRT(12*32.2*(J22/H22)^2/(4*$J$20*($J$19*56)*$J$18^2))</f>
        <v>0.69989347225041165</v>
      </c>
      <c r="L22" s="85">
        <f>(J22/I22)*-1</f>
        <v>0.74081982392334922</v>
      </c>
      <c r="M22" s="10"/>
      <c r="N22" s="34">
        <v>1</v>
      </c>
      <c r="O22" s="39">
        <f>$I39*(P$30/$J$47)</f>
        <v>37.128486562133261</v>
      </c>
      <c r="P22" s="140">
        <f>J22*1.0385</f>
        <v>-27.505518877499998</v>
      </c>
      <c r="Q22" s="136">
        <f>SQRT(12*32.2*(P22/N22)^2/(4*$P$20*($P$19*56)*$P$18^2))</f>
        <v>0.69990843809691461</v>
      </c>
      <c r="R22" s="99">
        <f>(P22/O22)*-1</f>
        <v>0.74081982392334922</v>
      </c>
      <c r="S22" s="106"/>
      <c r="U22" s="76">
        <v>1</v>
      </c>
      <c r="V22" s="69">
        <v>52</v>
      </c>
      <c r="W22" s="77">
        <v>37</v>
      </c>
    </row>
    <row r="23" spans="1:24" ht="15" customHeight="1" x14ac:dyDescent="0.2">
      <c r="B23" s="47">
        <v>2</v>
      </c>
      <c r="C23" s="40">
        <f t="shared" ref="C23:C30" si="0">$I40*(D$30/$J$47)</f>
        <v>47.236519420706976</v>
      </c>
      <c r="D23" s="139">
        <f>-50.9</f>
        <v>-50.9</v>
      </c>
      <c r="E23" s="137">
        <f>SQRT(12*32.2*(D23/B23)^2/(4*$D$20*($D$19*56)*$D$18^2))</f>
        <v>0.69992745230334086</v>
      </c>
      <c r="F23" s="87">
        <f t="shared" ref="F23:F31" si="1">(D23/C23)*-1</f>
        <v>1.0775561075248714</v>
      </c>
      <c r="G23" s="10"/>
      <c r="H23" s="34">
        <v>2</v>
      </c>
      <c r="I23" s="40">
        <f t="shared" ref="I23:I30" si="2">$I40*(J$30/$J$47)</f>
        <v>49.15904576112974</v>
      </c>
      <c r="J23" s="141">
        <f t="shared" ref="J23:J31" si="3">D23*1.0407</f>
        <v>-52.971629999999998</v>
      </c>
      <c r="K23" s="137">
        <f t="shared" ref="K23:K31" si="4">SQRT(12*32.2*(J23/H23)^2/(4*$J$20*($J$19*56)*$J$18^2))</f>
        <v>0.69989347225041165</v>
      </c>
      <c r="L23" s="87">
        <f t="shared" ref="L23:L31" si="5">(J23/I23)*-1</f>
        <v>1.0775561075248716</v>
      </c>
      <c r="M23" s="10"/>
      <c r="N23" s="34">
        <v>2</v>
      </c>
      <c r="O23" s="40">
        <f t="shared" ref="O23:O31" si="6">$I40*(P$30/$J$47)</f>
        <v>51.05166902293324</v>
      </c>
      <c r="P23" s="141">
        <f t="shared" ref="P23:P31" si="7">J23*1.0385</f>
        <v>-55.011037754999997</v>
      </c>
      <c r="Q23" s="137">
        <f t="shared" ref="Q23:Q31" si="8">SQRT(12*32.2*(P23/N23)^2/(4*$P$20*($P$19*56)*$P$18^2))</f>
        <v>0.69990843809691461</v>
      </c>
      <c r="R23" s="100">
        <f t="shared" ref="R23:R31" si="9">(P23/O23)*-1</f>
        <v>1.0775561075248714</v>
      </c>
      <c r="S23" s="106"/>
      <c r="T23" s="108">
        <f>V23-V22</f>
        <v>16</v>
      </c>
      <c r="U23" s="76">
        <v>2</v>
      </c>
      <c r="V23" s="69">
        <v>68</v>
      </c>
      <c r="W23" s="77">
        <v>61</v>
      </c>
    </row>
    <row r="24" spans="1:24" ht="15" customHeight="1" x14ac:dyDescent="0.2">
      <c r="B24" s="47">
        <v>3</v>
      </c>
      <c r="C24" s="39">
        <f t="shared" si="0"/>
        <v>60.978052343094454</v>
      </c>
      <c r="D24" s="138">
        <v>-76.36</v>
      </c>
      <c r="E24" s="136">
        <f t="shared" ref="E24:E31" si="10">SQRT(12*32.2*(D24/B24)^2/(4*$D$20*($D$19*56)*$D$18^2))</f>
        <v>0.70001912583998827</v>
      </c>
      <c r="F24" s="85">
        <f t="shared" si="1"/>
        <v>1.252253836681412</v>
      </c>
      <c r="G24" s="10"/>
      <c r="H24" s="34">
        <v>3</v>
      </c>
      <c r="I24" s="39">
        <f t="shared" si="2"/>
        <v>63.459859073458389</v>
      </c>
      <c r="J24" s="140">
        <f t="shared" si="3"/>
        <v>-79.467851999999993</v>
      </c>
      <c r="K24" s="136">
        <f t="shared" si="4"/>
        <v>0.69998514133649548</v>
      </c>
      <c r="L24" s="85">
        <f t="shared" si="5"/>
        <v>1.2522538366814122</v>
      </c>
      <c r="M24" s="10"/>
      <c r="N24" s="34">
        <v>3</v>
      </c>
      <c r="O24" s="39">
        <f t="shared" si="6"/>
        <v>65.903063647786539</v>
      </c>
      <c r="P24" s="140">
        <f t="shared" si="7"/>
        <v>-82.527364301999995</v>
      </c>
      <c r="Q24" s="136">
        <f t="shared" si="8"/>
        <v>0.70000010914316158</v>
      </c>
      <c r="R24" s="99">
        <f t="shared" si="9"/>
        <v>1.2522538366814122</v>
      </c>
      <c r="S24" s="106"/>
      <c r="T24" s="108">
        <f t="shared" ref="T24:T31" si="11">V24-V23</f>
        <v>16</v>
      </c>
      <c r="U24" s="76">
        <v>3</v>
      </c>
      <c r="V24" s="69">
        <v>84</v>
      </c>
      <c r="W24" s="77">
        <v>82</v>
      </c>
    </row>
    <row r="25" spans="1:24" ht="15" customHeight="1" x14ac:dyDescent="0.2">
      <c r="B25" s="47">
        <v>4</v>
      </c>
      <c r="C25" s="39">
        <f t="shared" si="0"/>
        <v>73.860739457832722</v>
      </c>
      <c r="D25" s="138">
        <v>-101.81</v>
      </c>
      <c r="E25" s="136">
        <f t="shared" si="10"/>
        <v>0.69999620745582647</v>
      </c>
      <c r="F25" s="85">
        <f t="shared" si="1"/>
        <v>1.3784048297827236</v>
      </c>
      <c r="G25" s="10"/>
      <c r="H25" s="34">
        <v>4</v>
      </c>
      <c r="I25" s="39">
        <f t="shared" si="2"/>
        <v>76.866871553766501</v>
      </c>
      <c r="J25" s="140">
        <f t="shared" si="3"/>
        <v>-105.953667</v>
      </c>
      <c r="K25" s="136">
        <f t="shared" si="4"/>
        <v>0.69996222406497455</v>
      </c>
      <c r="L25" s="85">
        <f t="shared" si="5"/>
        <v>1.3784048297827236</v>
      </c>
      <c r="M25" s="10"/>
      <c r="N25" s="34">
        <v>4</v>
      </c>
      <c r="O25" s="39">
        <f t="shared" si="6"/>
        <v>79.826246108586517</v>
      </c>
      <c r="P25" s="140">
        <f t="shared" si="7"/>
        <v>-110.03288317949999</v>
      </c>
      <c r="Q25" s="136">
        <f t="shared" si="8"/>
        <v>0.69997719138159986</v>
      </c>
      <c r="R25" s="99">
        <f t="shared" si="9"/>
        <v>1.3784048297827234</v>
      </c>
      <c r="S25" s="106"/>
      <c r="T25" s="108">
        <f t="shared" si="11"/>
        <v>16</v>
      </c>
      <c r="U25" s="76">
        <v>4</v>
      </c>
      <c r="V25" s="69">
        <v>100</v>
      </c>
      <c r="W25" s="77">
        <v>101</v>
      </c>
    </row>
    <row r="26" spans="1:24" ht="15" customHeight="1" x14ac:dyDescent="0.2">
      <c r="B26" s="47">
        <v>5</v>
      </c>
      <c r="C26" s="40">
        <f t="shared" si="0"/>
        <v>86.743426572570982</v>
      </c>
      <c r="D26" s="139">
        <v>-127.27</v>
      </c>
      <c r="E26" s="137">
        <f t="shared" si="10"/>
        <v>0.70003746054731775</v>
      </c>
      <c r="F26" s="87">
        <f t="shared" si="1"/>
        <v>1.4672005133844213</v>
      </c>
      <c r="G26" s="10"/>
      <c r="H26" s="34">
        <v>5</v>
      </c>
      <c r="I26" s="40">
        <f t="shared" si="2"/>
        <v>90.273884034074612</v>
      </c>
      <c r="J26" s="141">
        <f t="shared" si="3"/>
        <v>-132.44988899999998</v>
      </c>
      <c r="K26" s="137">
        <f t="shared" si="4"/>
        <v>0.7000034751537122</v>
      </c>
      <c r="L26" s="87">
        <f t="shared" si="5"/>
        <v>1.4672005133844213</v>
      </c>
      <c r="M26" s="10"/>
      <c r="N26" s="34">
        <v>5</v>
      </c>
      <c r="O26" s="40">
        <f t="shared" si="6"/>
        <v>93.749428569386495</v>
      </c>
      <c r="P26" s="141">
        <f t="shared" si="7"/>
        <v>-137.54920972649998</v>
      </c>
      <c r="Q26" s="137">
        <f t="shared" si="8"/>
        <v>0.70001844335241104</v>
      </c>
      <c r="R26" s="100">
        <f t="shared" si="9"/>
        <v>1.467200513384421</v>
      </c>
      <c r="S26" s="106"/>
      <c r="T26" s="108">
        <f t="shared" si="11"/>
        <v>16</v>
      </c>
      <c r="U26" s="76">
        <v>5</v>
      </c>
      <c r="V26" s="70">
        <v>116</v>
      </c>
      <c r="W26" s="78">
        <v>119</v>
      </c>
    </row>
    <row r="27" spans="1:24" ht="15" customHeight="1" x14ac:dyDescent="0.2">
      <c r="B27" s="47">
        <v>10</v>
      </c>
      <c r="C27" s="39">
        <f t="shared" si="0"/>
        <v>142.56840406977014</v>
      </c>
      <c r="D27" s="138">
        <v>-254.53</v>
      </c>
      <c r="E27" s="136">
        <f t="shared" si="10"/>
        <v>0.70000995848632352</v>
      </c>
      <c r="F27" s="85">
        <f>(D27/C27)*-1</f>
        <v>1.7853184347594864</v>
      </c>
      <c r="G27" s="54"/>
      <c r="H27" s="34">
        <v>10</v>
      </c>
      <c r="I27" s="39">
        <f t="shared" si="2"/>
        <v>148.37093811540976</v>
      </c>
      <c r="J27" s="140">
        <f t="shared" si="3"/>
        <v>-264.88937099999998</v>
      </c>
      <c r="K27" s="136">
        <f t="shared" si="4"/>
        <v>0.69997597442788706</v>
      </c>
      <c r="L27" s="85">
        <f t="shared" si="5"/>
        <v>1.7853184347594866</v>
      </c>
      <c r="M27" s="10"/>
      <c r="N27" s="34">
        <v>10</v>
      </c>
      <c r="O27" s="39">
        <f t="shared" si="6"/>
        <v>154.08321923285305</v>
      </c>
      <c r="P27" s="140">
        <f t="shared" si="7"/>
        <v>-275.08761178349999</v>
      </c>
      <c r="Q27" s="136">
        <f t="shared" si="8"/>
        <v>0.69999094203853696</v>
      </c>
      <c r="R27" s="99">
        <f t="shared" si="9"/>
        <v>1.7853184347594864</v>
      </c>
      <c r="S27" s="106"/>
      <c r="T27" s="108">
        <f t="shared" si="11"/>
        <v>65</v>
      </c>
      <c r="U27" s="76">
        <v>10</v>
      </c>
      <c r="V27" s="69">
        <v>181</v>
      </c>
      <c r="W27" s="77">
        <v>186</v>
      </c>
    </row>
    <row r="28" spans="1:24" ht="15" customHeight="1" x14ac:dyDescent="0.2">
      <c r="B28" s="47">
        <v>20</v>
      </c>
      <c r="C28" s="39">
        <f t="shared" si="0"/>
        <v>234.46490548823644</v>
      </c>
      <c r="D28" s="138">
        <v>-509.05</v>
      </c>
      <c r="E28" s="136">
        <f t="shared" si="10"/>
        <v>0.69999620745582647</v>
      </c>
      <c r="F28" s="85">
        <f t="shared" si="1"/>
        <v>2.1711138344563041</v>
      </c>
      <c r="G28" s="10"/>
      <c r="H28" s="34">
        <v>20</v>
      </c>
      <c r="I28" s="39">
        <f t="shared" si="2"/>
        <v>244.00762714160763</v>
      </c>
      <c r="J28" s="140">
        <f t="shared" si="3"/>
        <v>-529.76833499999998</v>
      </c>
      <c r="K28" s="136">
        <f t="shared" si="4"/>
        <v>0.69996222406497455</v>
      </c>
      <c r="L28" s="85">
        <f t="shared" si="5"/>
        <v>2.1711138344563046</v>
      </c>
      <c r="M28" s="10"/>
      <c r="N28" s="34">
        <v>20</v>
      </c>
      <c r="O28" s="39">
        <f t="shared" si="6"/>
        <v>253.40192078655954</v>
      </c>
      <c r="P28" s="140">
        <f t="shared" si="7"/>
        <v>-550.16441589750002</v>
      </c>
      <c r="Q28" s="136">
        <f t="shared" si="8"/>
        <v>0.69997719138159986</v>
      </c>
      <c r="R28" s="99">
        <f t="shared" si="9"/>
        <v>2.1711138344563046</v>
      </c>
      <c r="S28" s="106"/>
      <c r="T28" s="108">
        <f t="shared" si="11"/>
        <v>104</v>
      </c>
      <c r="U28" s="76">
        <v>20</v>
      </c>
      <c r="V28" s="69">
        <v>285</v>
      </c>
      <c r="W28" s="77">
        <v>297</v>
      </c>
    </row>
    <row r="29" spans="1:24" ht="15" customHeight="1" x14ac:dyDescent="0.2">
      <c r="B29" s="47">
        <v>30</v>
      </c>
      <c r="C29" s="39">
        <f t="shared" si="0"/>
        <v>327.22025271435194</v>
      </c>
      <c r="D29" s="138">
        <v>-763.6</v>
      </c>
      <c r="E29" s="136">
        <f t="shared" si="10"/>
        <v>0.70001912583998827</v>
      </c>
      <c r="F29" s="85">
        <f t="shared" si="1"/>
        <v>2.3335963885664111</v>
      </c>
      <c r="G29" s="10"/>
      <c r="H29" s="34">
        <v>30</v>
      </c>
      <c r="I29" s="39">
        <f t="shared" si="2"/>
        <v>340.538116999826</v>
      </c>
      <c r="J29" s="140">
        <f t="shared" si="3"/>
        <v>-794.67852000000005</v>
      </c>
      <c r="K29" s="136">
        <f t="shared" si="4"/>
        <v>0.69998514133649548</v>
      </c>
      <c r="L29" s="85">
        <f t="shared" si="5"/>
        <v>2.3335963885664115</v>
      </c>
      <c r="M29" s="10"/>
      <c r="N29" s="34">
        <v>30</v>
      </c>
      <c r="O29" s="39">
        <f t="shared" si="6"/>
        <v>353.64883450431932</v>
      </c>
      <c r="P29" s="140">
        <f t="shared" si="7"/>
        <v>-825.27364302000001</v>
      </c>
      <c r="Q29" s="136">
        <f t="shared" si="8"/>
        <v>0.70000010914316169</v>
      </c>
      <c r="R29" s="99">
        <f t="shared" si="9"/>
        <v>2.3335963885664111</v>
      </c>
      <c r="S29" s="106"/>
      <c r="T29" s="108">
        <f t="shared" si="11"/>
        <v>104</v>
      </c>
      <c r="U29" s="76">
        <v>30</v>
      </c>
      <c r="V29" s="69">
        <v>389</v>
      </c>
      <c r="W29" s="77">
        <v>398</v>
      </c>
    </row>
    <row r="30" spans="1:24" ht="15" customHeight="1" x14ac:dyDescent="0.2">
      <c r="A30">
        <f>J47/D30</f>
        <v>1.1643533578363052</v>
      </c>
      <c r="B30" s="47">
        <v>40</v>
      </c>
      <c r="C30" s="39">
        <f t="shared" si="0"/>
        <v>419.97559994046748</v>
      </c>
      <c r="D30" s="139">
        <v>-1018.1</v>
      </c>
      <c r="E30" s="137">
        <f t="shared" si="10"/>
        <v>0.69999620745582647</v>
      </c>
      <c r="F30" s="87">
        <f t="shared" si="1"/>
        <v>2.4241884531966096</v>
      </c>
      <c r="G30" s="10"/>
      <c r="H30" s="34">
        <v>40</v>
      </c>
      <c r="I30" s="39">
        <f t="shared" si="2"/>
        <v>437.0686068580444</v>
      </c>
      <c r="J30" s="141">
        <f t="shared" si="3"/>
        <v>-1059.53667</v>
      </c>
      <c r="K30" s="137">
        <f t="shared" si="4"/>
        <v>0.69996222406497455</v>
      </c>
      <c r="L30" s="87">
        <f t="shared" si="5"/>
        <v>2.42418845319661</v>
      </c>
      <c r="M30" s="10"/>
      <c r="N30" s="34">
        <v>40</v>
      </c>
      <c r="O30" s="39">
        <f t="shared" si="6"/>
        <v>453.89574822207919</v>
      </c>
      <c r="P30" s="141">
        <f t="shared" si="7"/>
        <v>-1100.328831795</v>
      </c>
      <c r="Q30" s="137">
        <f t="shared" si="8"/>
        <v>0.69997719138159986</v>
      </c>
      <c r="R30" s="100">
        <f t="shared" si="9"/>
        <v>2.42418845319661</v>
      </c>
      <c r="S30" s="106"/>
      <c r="T30" s="108">
        <f t="shared" si="11"/>
        <v>103</v>
      </c>
      <c r="U30" s="76">
        <v>40</v>
      </c>
      <c r="V30" s="69">
        <v>492</v>
      </c>
      <c r="W30" s="77">
        <v>489</v>
      </c>
    </row>
    <row r="31" spans="1:24" ht="15" customHeight="1" x14ac:dyDescent="0.2">
      <c r="B31" s="47">
        <v>50</v>
      </c>
      <c r="C31" s="40">
        <f>$I48*(D$30/$J$47)</f>
        <v>511.87210135893372</v>
      </c>
      <c r="D31" s="138">
        <v>-1272.6099999999999</v>
      </c>
      <c r="E31" s="136">
        <f t="shared" si="10"/>
        <v>0.69998795683752812</v>
      </c>
      <c r="F31" s="85">
        <f t="shared" si="1"/>
        <v>2.486187460932987</v>
      </c>
      <c r="G31" s="10"/>
      <c r="H31" s="34">
        <v>50</v>
      </c>
      <c r="I31" s="40">
        <f>$I48*(J$30/$J$47)</f>
        <v>532.70529588424222</v>
      </c>
      <c r="J31" s="140">
        <f t="shared" si="3"/>
        <v>-1324.4052269999997</v>
      </c>
      <c r="K31" s="136">
        <f t="shared" si="4"/>
        <v>0.6999539738472268</v>
      </c>
      <c r="L31" s="85">
        <f t="shared" si="5"/>
        <v>2.486187460932987</v>
      </c>
      <c r="M31" s="10"/>
      <c r="N31" s="34">
        <v>50</v>
      </c>
      <c r="O31" s="40">
        <f t="shared" si="6"/>
        <v>553.21444977578562</v>
      </c>
      <c r="P31" s="140">
        <f t="shared" si="7"/>
        <v>-1375.3948282394997</v>
      </c>
      <c r="Q31" s="136">
        <f t="shared" si="8"/>
        <v>0.69996894098743756</v>
      </c>
      <c r="R31" s="99">
        <f t="shared" si="9"/>
        <v>2.4861874609329866</v>
      </c>
      <c r="S31" s="106"/>
      <c r="T31" s="108">
        <f t="shared" si="11"/>
        <v>104</v>
      </c>
      <c r="U31" s="76">
        <v>50</v>
      </c>
      <c r="V31" s="70">
        <v>596</v>
      </c>
      <c r="W31" s="78">
        <v>578</v>
      </c>
    </row>
    <row r="32" spans="1:24" ht="15" customHeight="1" x14ac:dyDescent="0.2">
      <c r="B32" s="89" t="s">
        <v>18</v>
      </c>
      <c r="C32" s="10"/>
      <c r="D32" s="59">
        <f>D30/D27</f>
        <v>3.999921423800731</v>
      </c>
      <c r="E32" s="10"/>
      <c r="F32" s="10"/>
      <c r="G32" s="10"/>
      <c r="H32" s="93" t="s">
        <v>18</v>
      </c>
      <c r="I32" s="10"/>
      <c r="J32" s="59">
        <f>J30/J27</f>
        <v>3.999921423800731</v>
      </c>
      <c r="K32" s="10"/>
      <c r="L32" s="10"/>
      <c r="M32" s="10"/>
      <c r="N32" s="93" t="s">
        <v>18</v>
      </c>
      <c r="O32" s="10"/>
      <c r="P32" s="59">
        <f>P30/P27</f>
        <v>3.999921423800731</v>
      </c>
      <c r="Q32" s="5"/>
      <c r="R32" s="16"/>
      <c r="S32" s="104"/>
      <c r="U32" s="79">
        <v>50.1</v>
      </c>
      <c r="V32" s="117">
        <v>3.3</v>
      </c>
      <c r="W32" s="77"/>
    </row>
    <row r="33" spans="2:24" ht="15" customHeight="1" x14ac:dyDescent="0.2">
      <c r="B33" s="90" t="s">
        <v>17</v>
      </c>
      <c r="C33" s="57">
        <f>C31/C27</f>
        <v>3.5903614457831323</v>
      </c>
      <c r="D33" s="10"/>
      <c r="E33" s="10"/>
      <c r="F33" s="10"/>
      <c r="G33" s="10"/>
      <c r="H33" s="94" t="s">
        <v>17</v>
      </c>
      <c r="I33" s="57">
        <f>I31/I27</f>
        <v>3.5903614457831323</v>
      </c>
      <c r="J33" s="10"/>
      <c r="K33" s="10"/>
      <c r="L33" s="10"/>
      <c r="M33" s="10"/>
      <c r="N33" s="94" t="s">
        <v>17</v>
      </c>
      <c r="O33" s="57">
        <f>O31/O27</f>
        <v>3.5903614457831323</v>
      </c>
      <c r="P33" s="10"/>
      <c r="Q33" s="5"/>
      <c r="R33" s="48"/>
      <c r="S33" s="107"/>
      <c r="U33" s="128" t="s">
        <v>27</v>
      </c>
      <c r="V33" s="126"/>
      <c r="W33" s="127"/>
    </row>
    <row r="34" spans="2:24" ht="15" customHeight="1" x14ac:dyDescent="0.2">
      <c r="B34" s="14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6"/>
      <c r="S34" s="104"/>
      <c r="U34" s="76" t="s">
        <v>24</v>
      </c>
      <c r="V34" s="68" t="s">
        <v>25</v>
      </c>
      <c r="W34" s="80" t="s">
        <v>26</v>
      </c>
      <c r="X34" t="s">
        <v>37</v>
      </c>
    </row>
    <row r="35" spans="2:24" ht="15" customHeight="1" x14ac:dyDescent="0.2">
      <c r="B35" s="143"/>
      <c r="C35" s="142"/>
      <c r="D35" s="26">
        <v>2.6</v>
      </c>
      <c r="E35" s="10" t="s">
        <v>0</v>
      </c>
      <c r="F35" s="10"/>
      <c r="G35" s="10"/>
      <c r="H35" s="142"/>
      <c r="I35" s="142"/>
      <c r="J35" s="26">
        <v>2.65</v>
      </c>
      <c r="K35" s="10" t="s">
        <v>0</v>
      </c>
      <c r="L35" s="10"/>
      <c r="M35" s="10"/>
      <c r="N35" s="142"/>
      <c r="O35" s="142"/>
      <c r="P35" s="26">
        <v>2.7</v>
      </c>
      <c r="Q35" s="10" t="s">
        <v>0</v>
      </c>
      <c r="R35" s="16"/>
      <c r="S35" s="104"/>
      <c r="T35" s="108">
        <f>V35-V34</f>
        <v>40</v>
      </c>
      <c r="U35" s="76">
        <v>1</v>
      </c>
      <c r="V35" s="69">
        <v>40</v>
      </c>
      <c r="W35" s="77">
        <v>25</v>
      </c>
    </row>
    <row r="36" spans="2:24" ht="15" customHeight="1" x14ac:dyDescent="0.2">
      <c r="B36" s="143"/>
      <c r="C36" s="142"/>
      <c r="D36" s="42">
        <v>5</v>
      </c>
      <c r="E36" s="10" t="s">
        <v>1</v>
      </c>
      <c r="F36" s="10"/>
      <c r="G36" s="10"/>
      <c r="H36" s="142"/>
      <c r="I36" s="142"/>
      <c r="J36" s="26">
        <v>5.18</v>
      </c>
      <c r="K36" s="10" t="s">
        <v>1</v>
      </c>
      <c r="L36" s="10"/>
      <c r="M36" s="10"/>
      <c r="N36" s="142"/>
      <c r="O36" s="142"/>
      <c r="P36" s="26">
        <v>5.36</v>
      </c>
      <c r="Q36" s="10" t="s">
        <v>1</v>
      </c>
      <c r="R36" s="16"/>
      <c r="S36" s="104"/>
      <c r="T36" s="108">
        <f t="shared" ref="T36:T43" si="12">V36-V35</f>
        <v>15</v>
      </c>
      <c r="U36" s="76">
        <v>2</v>
      </c>
      <c r="V36" s="69">
        <v>55</v>
      </c>
      <c r="W36" s="77">
        <v>42</v>
      </c>
    </row>
    <row r="37" spans="2:24" ht="15" customHeight="1" x14ac:dyDescent="0.2">
      <c r="B37" s="14"/>
      <c r="C37" s="10"/>
      <c r="D37" s="26">
        <v>85</v>
      </c>
      <c r="E37" s="10" t="s">
        <v>8</v>
      </c>
      <c r="F37" s="10"/>
      <c r="G37" s="10"/>
      <c r="H37" s="10"/>
      <c r="I37" s="10"/>
      <c r="J37" s="26">
        <v>85</v>
      </c>
      <c r="K37" s="10" t="s">
        <v>8</v>
      </c>
      <c r="L37" s="10"/>
      <c r="M37" s="10"/>
      <c r="N37" s="10"/>
      <c r="O37" s="10"/>
      <c r="P37" s="26">
        <v>85</v>
      </c>
      <c r="Q37" s="10" t="s">
        <v>8</v>
      </c>
      <c r="R37" s="16"/>
      <c r="S37" s="104"/>
      <c r="T37" s="108">
        <f t="shared" si="12"/>
        <v>16</v>
      </c>
      <c r="U37" s="76">
        <v>3</v>
      </c>
      <c r="V37" s="69">
        <v>71</v>
      </c>
      <c r="W37" s="77">
        <v>61</v>
      </c>
    </row>
    <row r="38" spans="2:24" ht="15" customHeight="1" x14ac:dyDescent="0.2">
      <c r="B38" s="45" t="s">
        <v>9</v>
      </c>
      <c r="C38" s="110" t="s">
        <v>41</v>
      </c>
      <c r="D38" s="31" t="s">
        <v>10</v>
      </c>
      <c r="E38" s="30" t="s">
        <v>11</v>
      </c>
      <c r="F38" s="86" t="s">
        <v>12</v>
      </c>
      <c r="G38" s="10"/>
      <c r="H38" s="30" t="s">
        <v>9</v>
      </c>
      <c r="I38" s="110" t="s">
        <v>41</v>
      </c>
      <c r="J38" s="31" t="s">
        <v>10</v>
      </c>
      <c r="K38" s="30" t="s">
        <v>11</v>
      </c>
      <c r="L38" s="86" t="s">
        <v>12</v>
      </c>
      <c r="M38" s="10"/>
      <c r="N38" s="30" t="s">
        <v>9</v>
      </c>
      <c r="O38" s="110" t="s">
        <v>41</v>
      </c>
      <c r="P38" s="31" t="s">
        <v>10</v>
      </c>
      <c r="Q38" s="30" t="s">
        <v>11</v>
      </c>
      <c r="R38" s="98" t="s">
        <v>12</v>
      </c>
      <c r="S38" s="105"/>
      <c r="T38" s="108">
        <f t="shared" si="12"/>
        <v>15</v>
      </c>
      <c r="U38" s="76">
        <v>4</v>
      </c>
      <c r="V38" s="69">
        <v>86</v>
      </c>
      <c r="W38" s="77">
        <v>80</v>
      </c>
    </row>
    <row r="39" spans="2:24" ht="15" customHeight="1" x14ac:dyDescent="0.2">
      <c r="B39" s="47">
        <v>1</v>
      </c>
      <c r="C39" s="39">
        <f>$I39*(D$47/$J$47)</f>
        <v>38.557933294775395</v>
      </c>
      <c r="D39" s="140">
        <f>P22*1.0385</f>
        <v>-28.564481354283746</v>
      </c>
      <c r="E39" s="136">
        <f>SQRT(12*32.2*(D39/B39)^2/(4*$D$37*($D$36*56)*$D$35^2))</f>
        <v>0.6999275362628804</v>
      </c>
      <c r="F39" s="85">
        <f>(D39/C39)*-1</f>
        <v>0.740819823923349</v>
      </c>
      <c r="G39" s="10"/>
      <c r="H39" s="34">
        <v>1</v>
      </c>
      <c r="I39" s="39">
        <v>40</v>
      </c>
      <c r="J39" s="140">
        <f>D39*1.0374</f>
        <v>-29.632792956933962</v>
      </c>
      <c r="K39" s="136">
        <f>SQRT(12*32.2*(J39/H39)^2/(4*$J$37*($J$36*56)*$J$35^2))</f>
        <v>0.69991760859318564</v>
      </c>
      <c r="L39" s="85">
        <f>(J39/I39)*-1</f>
        <v>0.740819823923349</v>
      </c>
      <c r="M39" s="10"/>
      <c r="N39" s="34">
        <v>1</v>
      </c>
      <c r="O39" s="39">
        <f>$I39*(P$47/$J$47)</f>
        <v>41.456000000000003</v>
      </c>
      <c r="P39" s="140">
        <f>J39*1.0364</f>
        <v>-30.711426620566357</v>
      </c>
      <c r="Q39" s="136">
        <f>SQRT(12*32.2*(P39/N39)^2/(4*$P$37*($P$36*56)*$P$35^2))</f>
        <v>0.69990471433143686</v>
      </c>
      <c r="R39" s="99">
        <f>(P39/O39)*-1</f>
        <v>0.740819823923349</v>
      </c>
      <c r="S39" s="106"/>
      <c r="T39" s="108">
        <f t="shared" si="12"/>
        <v>15</v>
      </c>
      <c r="U39" s="76">
        <v>5</v>
      </c>
      <c r="V39" s="70">
        <v>101</v>
      </c>
      <c r="W39" s="78">
        <v>97</v>
      </c>
    </row>
    <row r="40" spans="2:24" ht="15" customHeight="1" x14ac:dyDescent="0.2">
      <c r="B40" s="47">
        <v>2</v>
      </c>
      <c r="C40" s="40">
        <f t="shared" ref="C40:C48" si="13">$I40*(D$47/$J$47)</f>
        <v>53.017158280316174</v>
      </c>
      <c r="D40" s="141">
        <f t="shared" ref="D40:D48" si="14">P23*1.0385</f>
        <v>-57.128962708567492</v>
      </c>
      <c r="E40" s="137">
        <f t="shared" ref="E40:E48" si="15">SQRT(12*32.2*(D40/B40)^2/(4*$D$37*($D$36*56)*$D$35^2))</f>
        <v>0.6999275362628804</v>
      </c>
      <c r="F40" s="87">
        <f t="shared" ref="F40:F48" si="16">(D40/C40)*-1</f>
        <v>1.0775561075248712</v>
      </c>
      <c r="G40" s="10"/>
      <c r="H40" s="34">
        <v>2</v>
      </c>
      <c r="I40" s="40">
        <v>55</v>
      </c>
      <c r="J40" s="141">
        <f t="shared" ref="J40:J48" si="17">D40*1.0374</f>
        <v>-59.265585913867923</v>
      </c>
      <c r="K40" s="137">
        <f t="shared" ref="K40:K48" si="18">SQRT(12*32.2*(J40/H40)^2/(4*$J$37*($J$36*56)*$J$35^2))</f>
        <v>0.69991760859318564</v>
      </c>
      <c r="L40" s="87">
        <f t="shared" ref="L40:L48" si="19">(J40/I40)*-1</f>
        <v>1.0775561075248714</v>
      </c>
      <c r="M40" s="10"/>
      <c r="N40" s="34">
        <v>2</v>
      </c>
      <c r="O40" s="40">
        <f t="shared" ref="O40:O47" si="20">$I40*(P$47/$J$47)</f>
        <v>57.002000000000002</v>
      </c>
      <c r="P40" s="140">
        <f t="shared" ref="P40:P48" si="21">J40*1.0364</f>
        <v>-61.422853241132714</v>
      </c>
      <c r="Q40" s="136">
        <f t="shared" ref="Q40:Q48" si="22">SQRT(12*32.2*(P40/N40)^2/(4*$P$37*($P$36*56)*$P$35^2))</f>
        <v>0.69990471433143686</v>
      </c>
      <c r="R40" s="100">
        <f t="shared" ref="R40:R48" si="23">(P40/O40)*-1</f>
        <v>1.0775561075248712</v>
      </c>
      <c r="S40" s="106"/>
      <c r="T40" s="108">
        <f t="shared" si="12"/>
        <v>65</v>
      </c>
      <c r="U40" s="76">
        <v>10</v>
      </c>
      <c r="V40" s="69">
        <v>166</v>
      </c>
      <c r="W40" s="77">
        <v>175</v>
      </c>
    </row>
    <row r="41" spans="2:24" ht="15" customHeight="1" x14ac:dyDescent="0.2">
      <c r="B41" s="47">
        <v>3</v>
      </c>
      <c r="C41" s="39">
        <f t="shared" si="13"/>
        <v>68.440331598226336</v>
      </c>
      <c r="D41" s="140">
        <f t="shared" si="14"/>
        <v>-85.704667827626992</v>
      </c>
      <c r="E41" s="136">
        <f t="shared" si="15"/>
        <v>0.70001920981052457</v>
      </c>
      <c r="F41" s="85">
        <f t="shared" si="16"/>
        <v>1.2522538366814118</v>
      </c>
      <c r="G41" s="10"/>
      <c r="H41" s="34">
        <v>3</v>
      </c>
      <c r="I41" s="39">
        <v>71</v>
      </c>
      <c r="J41" s="140">
        <f t="shared" si="17"/>
        <v>-88.910022404380243</v>
      </c>
      <c r="K41" s="136">
        <f t="shared" si="18"/>
        <v>0.70000928084054559</v>
      </c>
      <c r="L41" s="85">
        <f t="shared" si="19"/>
        <v>1.2522538366814118</v>
      </c>
      <c r="M41" s="10"/>
      <c r="N41" s="34">
        <v>3</v>
      </c>
      <c r="O41" s="39">
        <f t="shared" si="20"/>
        <v>73.584400000000002</v>
      </c>
      <c r="P41" s="140">
        <f t="shared" si="21"/>
        <v>-92.146347219899681</v>
      </c>
      <c r="Q41" s="136">
        <f t="shared" si="22"/>
        <v>0.69999638488996085</v>
      </c>
      <c r="R41" s="99">
        <f t="shared" si="23"/>
        <v>1.2522538366814118</v>
      </c>
      <c r="S41" s="106"/>
      <c r="T41" s="108">
        <f t="shared" si="12"/>
        <v>107</v>
      </c>
      <c r="U41" s="76">
        <v>20</v>
      </c>
      <c r="V41" s="69">
        <v>273</v>
      </c>
      <c r="W41" s="77">
        <v>307</v>
      </c>
    </row>
    <row r="42" spans="2:24" ht="15" customHeight="1" x14ac:dyDescent="0.2">
      <c r="B42" s="47">
        <v>4</v>
      </c>
      <c r="C42" s="39">
        <f t="shared" si="13"/>
        <v>82.899556583767108</v>
      </c>
      <c r="D42" s="140">
        <f t="shared" si="14"/>
        <v>-114.26914918191073</v>
      </c>
      <c r="E42" s="136">
        <f t="shared" si="15"/>
        <v>0.69999629142361341</v>
      </c>
      <c r="F42" s="85">
        <f t="shared" si="16"/>
        <v>1.3784048297827232</v>
      </c>
      <c r="G42" s="10"/>
      <c r="H42" s="34">
        <v>4</v>
      </c>
      <c r="I42" s="39">
        <v>86</v>
      </c>
      <c r="J42" s="140">
        <f t="shared" si="17"/>
        <v>-118.54281536131421</v>
      </c>
      <c r="K42" s="136">
        <f t="shared" si="18"/>
        <v>0.69998636277870563</v>
      </c>
      <c r="L42" s="85">
        <f t="shared" si="19"/>
        <v>1.3784048297827234</v>
      </c>
      <c r="M42" s="10"/>
      <c r="N42" s="34">
        <v>4</v>
      </c>
      <c r="O42" s="39">
        <f t="shared" si="20"/>
        <v>89.130399999999995</v>
      </c>
      <c r="P42" s="140">
        <f t="shared" si="21"/>
        <v>-122.85777384046605</v>
      </c>
      <c r="Q42" s="136">
        <f t="shared" si="22"/>
        <v>0.69997346725032994</v>
      </c>
      <c r="R42" s="99">
        <f t="shared" si="23"/>
        <v>1.3784048297827236</v>
      </c>
      <c r="S42" s="106"/>
      <c r="T42" s="108">
        <f t="shared" si="12"/>
        <v>108</v>
      </c>
      <c r="U42" s="76">
        <v>30</v>
      </c>
      <c r="V42" s="69">
        <v>381</v>
      </c>
      <c r="W42" s="77">
        <v>425</v>
      </c>
    </row>
    <row r="43" spans="2:24" ht="15" customHeight="1" x14ac:dyDescent="0.2">
      <c r="B43" s="47">
        <v>5</v>
      </c>
      <c r="C43" s="40">
        <f t="shared" si="13"/>
        <v>97.35878156930788</v>
      </c>
      <c r="D43" s="141">
        <f t="shared" si="14"/>
        <v>-142.84485430097024</v>
      </c>
      <c r="E43" s="137">
        <f t="shared" si="15"/>
        <v>0.7000375445200534</v>
      </c>
      <c r="F43" s="87">
        <f t="shared" si="16"/>
        <v>1.4672005133844213</v>
      </c>
      <c r="G43" s="10"/>
      <c r="H43" s="34">
        <v>5</v>
      </c>
      <c r="I43" s="40">
        <v>101</v>
      </c>
      <c r="J43" s="141">
        <f t="shared" si="17"/>
        <v>-148.18725185182655</v>
      </c>
      <c r="K43" s="137">
        <f t="shared" si="18"/>
        <v>0.70002761529001767</v>
      </c>
      <c r="L43" s="87">
        <f t="shared" si="19"/>
        <v>1.4672005133844213</v>
      </c>
      <c r="M43" s="10"/>
      <c r="N43" s="34">
        <v>5</v>
      </c>
      <c r="O43" s="40">
        <f t="shared" si="20"/>
        <v>104.6764</v>
      </c>
      <c r="P43" s="140">
        <f t="shared" si="21"/>
        <v>-153.58126781923303</v>
      </c>
      <c r="Q43" s="136">
        <f t="shared" si="22"/>
        <v>0.70001471900166579</v>
      </c>
      <c r="R43" s="100">
        <f t="shared" si="23"/>
        <v>1.4672005133844213</v>
      </c>
      <c r="S43" s="106"/>
      <c r="T43" s="108">
        <f t="shared" si="12"/>
        <v>108</v>
      </c>
      <c r="U43" s="76">
        <v>40</v>
      </c>
      <c r="V43" s="69">
        <v>489</v>
      </c>
      <c r="W43" s="77">
        <v>530</v>
      </c>
    </row>
    <row r="44" spans="2:24" ht="15" customHeight="1" x14ac:dyDescent="0.2">
      <c r="B44" s="47">
        <v>10</v>
      </c>
      <c r="C44" s="39">
        <f t="shared" si="13"/>
        <v>160.01542317331788</v>
      </c>
      <c r="D44" s="140">
        <f t="shared" si="14"/>
        <v>-285.67848483716472</v>
      </c>
      <c r="E44" s="136">
        <f t="shared" si="15"/>
        <v>0.70001004245576004</v>
      </c>
      <c r="F44" s="85">
        <f t="shared" si="16"/>
        <v>1.7853184347594864</v>
      </c>
      <c r="G44" s="10"/>
      <c r="H44" s="34">
        <v>10</v>
      </c>
      <c r="I44" s="39">
        <v>166</v>
      </c>
      <c r="J44" s="140">
        <f t="shared" si="17"/>
        <v>-296.36286017007473</v>
      </c>
      <c r="K44" s="136">
        <f t="shared" si="18"/>
        <v>0.7000001136158096</v>
      </c>
      <c r="L44" s="85">
        <f t="shared" si="19"/>
        <v>1.7853184347594864</v>
      </c>
      <c r="M44" s="10"/>
      <c r="N44" s="34">
        <v>10</v>
      </c>
      <c r="O44" s="39">
        <f t="shared" si="20"/>
        <v>172.04239999999999</v>
      </c>
      <c r="P44" s="140">
        <f t="shared" si="21"/>
        <v>-307.15046828026544</v>
      </c>
      <c r="Q44" s="136">
        <f t="shared" si="22"/>
        <v>0.69998721783410855</v>
      </c>
      <c r="R44" s="99">
        <f t="shared" si="23"/>
        <v>1.7853184347594864</v>
      </c>
      <c r="S44" s="106"/>
      <c r="U44" s="76">
        <v>50</v>
      </c>
      <c r="V44" s="70">
        <v>596</v>
      </c>
      <c r="W44" s="78">
        <v>627</v>
      </c>
    </row>
    <row r="45" spans="2:24" ht="15" customHeight="1" x14ac:dyDescent="0.2">
      <c r="B45" s="47">
        <v>20</v>
      </c>
      <c r="C45" s="39">
        <f t="shared" si="13"/>
        <v>263.15789473684208</v>
      </c>
      <c r="D45" s="140">
        <f t="shared" si="14"/>
        <v>-571.34574590955378</v>
      </c>
      <c r="E45" s="136">
        <f t="shared" si="15"/>
        <v>0.69999629142361364</v>
      </c>
      <c r="F45" s="85">
        <f t="shared" si="16"/>
        <v>2.1711138344563046</v>
      </c>
      <c r="G45" s="10"/>
      <c r="H45" s="34">
        <v>20</v>
      </c>
      <c r="I45" s="39">
        <v>273</v>
      </c>
      <c r="J45" s="140">
        <f t="shared" si="17"/>
        <v>-592.71407680657114</v>
      </c>
      <c r="K45" s="136">
        <f t="shared" si="18"/>
        <v>0.69998636277870574</v>
      </c>
      <c r="L45" s="85">
        <f t="shared" si="19"/>
        <v>2.1711138344563046</v>
      </c>
      <c r="M45" s="10"/>
      <c r="N45" s="34">
        <v>20</v>
      </c>
      <c r="O45" s="39">
        <f t="shared" si="20"/>
        <v>282.93720000000002</v>
      </c>
      <c r="P45" s="140">
        <f t="shared" si="21"/>
        <v>-614.28886920233037</v>
      </c>
      <c r="Q45" s="136">
        <f t="shared" si="22"/>
        <v>0.69997346725033016</v>
      </c>
      <c r="R45" s="99">
        <f t="shared" si="23"/>
        <v>2.1711138344563046</v>
      </c>
      <c r="S45" s="106"/>
      <c r="U45" s="79">
        <v>50.1</v>
      </c>
      <c r="V45" s="117">
        <v>3.6</v>
      </c>
      <c r="W45" s="77"/>
    </row>
    <row r="46" spans="2:24" ht="15" customHeight="1" x14ac:dyDescent="0.2">
      <c r="B46" s="47">
        <v>30</v>
      </c>
      <c r="C46" s="39">
        <f t="shared" si="13"/>
        <v>367.26431463273565</v>
      </c>
      <c r="D46" s="140">
        <f t="shared" si="14"/>
        <v>-857.04667827626997</v>
      </c>
      <c r="E46" s="136">
        <f t="shared" si="15"/>
        <v>0.70001920981052457</v>
      </c>
      <c r="F46" s="85">
        <f t="shared" si="16"/>
        <v>2.3335963885664111</v>
      </c>
      <c r="G46" s="10"/>
      <c r="H46" s="34">
        <v>30</v>
      </c>
      <c r="I46" s="39">
        <v>381</v>
      </c>
      <c r="J46" s="140">
        <f t="shared" si="17"/>
        <v>-889.10022404380254</v>
      </c>
      <c r="K46" s="136">
        <f t="shared" si="18"/>
        <v>0.7000092808405457</v>
      </c>
      <c r="L46" s="85">
        <f t="shared" si="19"/>
        <v>2.3335963885664111</v>
      </c>
      <c r="M46" s="10"/>
      <c r="N46" s="34">
        <v>30</v>
      </c>
      <c r="O46" s="39">
        <f t="shared" si="20"/>
        <v>394.86840000000001</v>
      </c>
      <c r="P46" s="140">
        <f t="shared" si="21"/>
        <v>-921.4634721989969</v>
      </c>
      <c r="Q46" s="136">
        <f t="shared" si="22"/>
        <v>0.69999638488996097</v>
      </c>
      <c r="R46" s="99">
        <f t="shared" si="23"/>
        <v>2.3335963885664106</v>
      </c>
      <c r="S46" s="106"/>
      <c r="U46" s="116"/>
      <c r="V46" s="117"/>
      <c r="W46" s="77"/>
    </row>
    <row r="47" spans="2:24" ht="15" customHeight="1" x14ac:dyDescent="0.2">
      <c r="B47" s="47">
        <v>40</v>
      </c>
      <c r="C47" s="39">
        <f t="shared" si="13"/>
        <v>471.37073452862921</v>
      </c>
      <c r="D47" s="141">
        <f t="shared" si="14"/>
        <v>-1142.6914918191076</v>
      </c>
      <c r="E47" s="137">
        <f t="shared" si="15"/>
        <v>0.69999629142361364</v>
      </c>
      <c r="F47" s="87">
        <f t="shared" si="16"/>
        <v>2.42418845319661</v>
      </c>
      <c r="G47" s="10"/>
      <c r="H47" s="34">
        <v>40</v>
      </c>
      <c r="I47" s="39">
        <v>489</v>
      </c>
      <c r="J47" s="141">
        <f t="shared" si="17"/>
        <v>-1185.4281536131423</v>
      </c>
      <c r="K47" s="137">
        <f t="shared" si="18"/>
        <v>0.69998636277870574</v>
      </c>
      <c r="L47" s="87">
        <f t="shared" si="19"/>
        <v>2.42418845319661</v>
      </c>
      <c r="M47" s="10"/>
      <c r="N47" s="34">
        <v>40</v>
      </c>
      <c r="O47" s="39">
        <f t="shared" si="20"/>
        <v>506.7996</v>
      </c>
      <c r="P47" s="140">
        <f t="shared" si="21"/>
        <v>-1228.5777384046607</v>
      </c>
      <c r="Q47" s="136">
        <f t="shared" si="22"/>
        <v>0.69997346725033016</v>
      </c>
      <c r="R47" s="100">
        <f t="shared" si="23"/>
        <v>2.42418845319661</v>
      </c>
      <c r="S47" s="106"/>
      <c r="U47" s="76" t="s">
        <v>24</v>
      </c>
      <c r="V47" s="68" t="s">
        <v>25</v>
      </c>
      <c r="W47" s="80" t="s">
        <v>26</v>
      </c>
      <c r="X47" s="1" t="s">
        <v>36</v>
      </c>
    </row>
    <row r="48" spans="2:24" ht="15" customHeight="1" x14ac:dyDescent="0.2">
      <c r="B48" s="47">
        <v>50</v>
      </c>
      <c r="C48" s="40">
        <f t="shared" si="13"/>
        <v>574.51320609215338</v>
      </c>
      <c r="D48" s="140">
        <f t="shared" si="14"/>
        <v>-1428.3475291267205</v>
      </c>
      <c r="E48" s="136">
        <f t="shared" si="15"/>
        <v>0.69998804080432542</v>
      </c>
      <c r="F48" s="85">
        <f t="shared" si="16"/>
        <v>2.4861874609329866</v>
      </c>
      <c r="G48" s="10"/>
      <c r="H48" s="34">
        <v>50</v>
      </c>
      <c r="I48" s="40">
        <v>596</v>
      </c>
      <c r="J48" s="140">
        <f t="shared" si="17"/>
        <v>-1481.76772671606</v>
      </c>
      <c r="K48" s="136">
        <f t="shared" si="18"/>
        <v>0.69997811227644313</v>
      </c>
      <c r="L48" s="85">
        <f t="shared" si="19"/>
        <v>2.4861874609329866</v>
      </c>
      <c r="M48" s="10"/>
      <c r="N48" s="34">
        <v>50</v>
      </c>
      <c r="O48" s="40">
        <f>$I48*(P$47/$J$47)</f>
        <v>617.69439999999997</v>
      </c>
      <c r="P48" s="140">
        <f t="shared" si="21"/>
        <v>-1535.7040719685247</v>
      </c>
      <c r="Q48" s="136">
        <f t="shared" si="22"/>
        <v>0.69996521690006275</v>
      </c>
      <c r="R48" s="99">
        <f t="shared" si="23"/>
        <v>2.4861874609329866</v>
      </c>
      <c r="S48" s="106"/>
      <c r="T48" s="108">
        <f>V48-V47</f>
        <v>30</v>
      </c>
      <c r="U48" s="76">
        <v>1</v>
      </c>
      <c r="V48" s="69">
        <v>30</v>
      </c>
      <c r="W48" s="77">
        <v>23</v>
      </c>
    </row>
    <row r="49" spans="2:32" ht="15" customHeight="1" x14ac:dyDescent="0.2">
      <c r="B49" s="89" t="s">
        <v>18</v>
      </c>
      <c r="C49" s="10"/>
      <c r="D49" s="59">
        <f>D47/D44</f>
        <v>3.9999214238007315</v>
      </c>
      <c r="E49" s="10"/>
      <c r="F49" s="10"/>
      <c r="G49" s="10"/>
      <c r="H49" s="93" t="s">
        <v>18</v>
      </c>
      <c r="I49" s="10"/>
      <c r="J49" s="59">
        <f>J47/J44</f>
        <v>3.999921423800731</v>
      </c>
      <c r="K49" s="10"/>
      <c r="L49" s="10"/>
      <c r="M49" s="10"/>
      <c r="N49" s="93" t="s">
        <v>18</v>
      </c>
      <c r="O49" s="10"/>
      <c r="P49" s="59">
        <f>P47/P44</f>
        <v>3.9999214238007315</v>
      </c>
      <c r="Q49" s="5"/>
      <c r="R49" s="16"/>
      <c r="S49" s="104"/>
      <c r="T49" s="108">
        <f t="shared" ref="T49:T56" si="24">V49-V48</f>
        <v>14</v>
      </c>
      <c r="U49" s="76">
        <v>2</v>
      </c>
      <c r="V49" s="69">
        <v>44</v>
      </c>
      <c r="W49" s="77">
        <v>43</v>
      </c>
    </row>
    <row r="50" spans="2:32" ht="15" customHeight="1" x14ac:dyDescent="0.2">
      <c r="B50" s="90" t="s">
        <v>17</v>
      </c>
      <c r="C50" s="57">
        <f>C48/C44</f>
        <v>3.5903614457831328</v>
      </c>
      <c r="D50" s="10"/>
      <c r="E50" s="10"/>
      <c r="F50" s="10"/>
      <c r="G50" s="10"/>
      <c r="H50" s="94" t="s">
        <v>17</v>
      </c>
      <c r="I50" s="57">
        <f>I48/I44</f>
        <v>3.5903614457831323</v>
      </c>
      <c r="J50" s="10"/>
      <c r="K50" s="10"/>
      <c r="L50" s="10"/>
      <c r="M50" s="10"/>
      <c r="N50" s="94" t="s">
        <v>17</v>
      </c>
      <c r="O50" s="57">
        <f>O48/O44</f>
        <v>3.5903614457831328</v>
      </c>
      <c r="P50" s="10"/>
      <c r="Q50" s="5"/>
      <c r="R50" s="48"/>
      <c r="S50" s="107"/>
      <c r="T50" s="108">
        <f t="shared" si="24"/>
        <v>15</v>
      </c>
      <c r="U50" s="76">
        <v>3</v>
      </c>
      <c r="V50" s="69">
        <v>59</v>
      </c>
      <c r="W50" s="77">
        <v>61</v>
      </c>
    </row>
    <row r="51" spans="2:32" ht="15" customHeight="1" x14ac:dyDescent="0.2">
      <c r="B51" s="14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6"/>
      <c r="S51" s="104"/>
      <c r="T51" s="108">
        <f t="shared" si="24"/>
        <v>15</v>
      </c>
      <c r="U51" s="76">
        <v>4</v>
      </c>
      <c r="V51" s="69">
        <v>74</v>
      </c>
      <c r="W51" s="77">
        <v>76</v>
      </c>
    </row>
    <row r="52" spans="2:32" ht="15" customHeight="1" x14ac:dyDescent="0.2">
      <c r="B52" s="14"/>
      <c r="C52" s="10"/>
      <c r="D52" s="26">
        <v>2.75</v>
      </c>
      <c r="E52" s="10" t="s">
        <v>0</v>
      </c>
      <c r="F52" s="10"/>
      <c r="G52" s="10"/>
      <c r="H52" s="10"/>
      <c r="I52" s="10"/>
      <c r="J52" s="26">
        <v>2.8</v>
      </c>
      <c r="K52" s="10" t="s">
        <v>0</v>
      </c>
      <c r="L52" s="10"/>
      <c r="M52" s="10"/>
      <c r="N52" s="10"/>
      <c r="O52" s="10"/>
      <c r="P52" s="26">
        <v>2.85</v>
      </c>
      <c r="Q52" s="10" t="s">
        <v>0</v>
      </c>
      <c r="R52" s="16"/>
      <c r="S52" s="104"/>
      <c r="T52" s="108">
        <f t="shared" si="24"/>
        <v>15</v>
      </c>
      <c r="U52" s="76">
        <v>5</v>
      </c>
      <c r="V52" s="70">
        <v>89</v>
      </c>
      <c r="W52" s="78">
        <v>90</v>
      </c>
    </row>
    <row r="53" spans="2:32" ht="15" customHeight="1" x14ac:dyDescent="0.2">
      <c r="B53" s="14"/>
      <c r="C53" s="10"/>
      <c r="D53" s="26">
        <v>5.55</v>
      </c>
      <c r="E53" s="10" t="s">
        <v>1</v>
      </c>
      <c r="F53" s="10"/>
      <c r="G53" s="10"/>
      <c r="H53" s="10"/>
      <c r="I53" s="10"/>
      <c r="J53" s="26">
        <v>5.74</v>
      </c>
      <c r="K53" s="10" t="s">
        <v>1</v>
      </c>
      <c r="L53" s="10"/>
      <c r="M53" s="10"/>
      <c r="N53" s="10"/>
      <c r="O53" s="10"/>
      <c r="P53" s="42">
        <v>5.93</v>
      </c>
      <c r="Q53" s="10" t="s">
        <v>1</v>
      </c>
      <c r="R53" s="16"/>
      <c r="S53" s="104"/>
      <c r="T53" s="108">
        <f t="shared" si="24"/>
        <v>64</v>
      </c>
      <c r="U53" s="76">
        <v>10</v>
      </c>
      <c r="V53" s="69">
        <v>153</v>
      </c>
      <c r="W53" s="77">
        <v>151</v>
      </c>
    </row>
    <row r="54" spans="2:32" ht="15" customHeight="1" x14ac:dyDescent="0.2">
      <c r="B54" s="14"/>
      <c r="C54" s="10"/>
      <c r="D54" s="26">
        <v>85</v>
      </c>
      <c r="E54" s="10" t="s">
        <v>8</v>
      </c>
      <c r="F54" s="10"/>
      <c r="G54" s="10"/>
      <c r="H54" s="10"/>
      <c r="I54" s="10"/>
      <c r="J54" s="26">
        <v>85</v>
      </c>
      <c r="K54" s="10" t="s">
        <v>8</v>
      </c>
      <c r="L54" s="10"/>
      <c r="M54" s="10"/>
      <c r="N54" s="10"/>
      <c r="O54" s="10"/>
      <c r="P54" s="26">
        <v>85</v>
      </c>
      <c r="Q54" s="10" t="s">
        <v>8</v>
      </c>
      <c r="R54" s="16"/>
      <c r="S54" s="104"/>
      <c r="T54" s="108">
        <f t="shared" si="24"/>
        <v>111</v>
      </c>
      <c r="U54" s="76">
        <v>20</v>
      </c>
      <c r="V54" s="69">
        <v>264</v>
      </c>
      <c r="W54" s="77">
        <v>259</v>
      </c>
    </row>
    <row r="55" spans="2:32" ht="15" customHeight="1" x14ac:dyDescent="0.2">
      <c r="B55" s="45" t="s">
        <v>9</v>
      </c>
      <c r="C55" s="110" t="s">
        <v>41</v>
      </c>
      <c r="D55" s="31" t="s">
        <v>10</v>
      </c>
      <c r="E55" s="30" t="s">
        <v>11</v>
      </c>
      <c r="F55" s="86" t="s">
        <v>12</v>
      </c>
      <c r="G55" s="10"/>
      <c r="H55" s="30" t="s">
        <v>9</v>
      </c>
      <c r="I55" s="110" t="s">
        <v>41</v>
      </c>
      <c r="J55" s="31" t="s">
        <v>10</v>
      </c>
      <c r="K55" s="30" t="s">
        <v>11</v>
      </c>
      <c r="L55" s="86" t="s">
        <v>12</v>
      </c>
      <c r="M55" s="10"/>
      <c r="N55" s="30" t="s">
        <v>9</v>
      </c>
      <c r="O55" s="110" t="s">
        <v>41</v>
      </c>
      <c r="P55" s="31" t="s">
        <v>10</v>
      </c>
      <c r="Q55" s="30" t="s">
        <v>11</v>
      </c>
      <c r="R55" s="98" t="s">
        <v>12</v>
      </c>
      <c r="S55" s="105"/>
      <c r="T55" s="108">
        <f t="shared" si="24"/>
        <v>111</v>
      </c>
      <c r="U55" s="76">
        <v>30</v>
      </c>
      <c r="V55" s="69">
        <v>375</v>
      </c>
      <c r="W55" s="77">
        <v>358</v>
      </c>
    </row>
    <row r="56" spans="2:32" ht="15" customHeight="1" x14ac:dyDescent="0.2">
      <c r="B56" s="47">
        <v>1</v>
      </c>
      <c r="C56" s="39">
        <f>$I39*(D$64/$J$47)</f>
        <v>42.964998399999999</v>
      </c>
      <c r="D56" s="140">
        <f>P39*1.0364</f>
        <v>-31.829322549554973</v>
      </c>
      <c r="E56" s="136">
        <f>SQRT(12*32.2*(D56/B56)^2/(4*$D$54*($D$53*56)*$D$52^2))</f>
        <v>0.6998956539134471</v>
      </c>
      <c r="F56" s="85">
        <f>(D56/C56)*-1</f>
        <v>0.74081982392334911</v>
      </c>
      <c r="G56" s="10"/>
      <c r="H56" s="34">
        <v>1</v>
      </c>
      <c r="I56" s="39">
        <f>$I39*(J$64/$J$47)</f>
        <v>44.490255843200011</v>
      </c>
      <c r="J56" s="140">
        <f>D56*1.0355</f>
        <v>-32.959263500064175</v>
      </c>
      <c r="K56" s="136">
        <f>SQRT(12*32.2*(J56/H56)^2/(4*$J$54*($J$53*56)*$J$52^2))</f>
        <v>0.69992032921466152</v>
      </c>
      <c r="L56" s="85">
        <f>(J56/I56)*-1</f>
        <v>0.74081982392334889</v>
      </c>
      <c r="M56" s="10"/>
      <c r="N56" s="34">
        <v>1</v>
      </c>
      <c r="O56" s="39">
        <f>$I39*(P$64/$J$47)</f>
        <v>46.029618695374729</v>
      </c>
      <c r="P56" s="140">
        <f>J56*1.0346</f>
        <v>-34.099654017166394</v>
      </c>
      <c r="Q56" s="136">
        <f>SQRT(12*32.2*(P56/N56)^2/(4*$P$54*($P$53*56)*$P$52^2))</f>
        <v>0.69994328708211451</v>
      </c>
      <c r="R56" s="99">
        <f>(P56/O56)*-1</f>
        <v>0.74081982392334889</v>
      </c>
      <c r="S56" s="106"/>
      <c r="T56" s="108">
        <f t="shared" si="24"/>
        <v>110</v>
      </c>
      <c r="U56" s="76">
        <v>40</v>
      </c>
      <c r="V56" s="69">
        <v>485</v>
      </c>
      <c r="W56" s="77">
        <v>446</v>
      </c>
    </row>
    <row r="57" spans="2:32" ht="15" customHeight="1" x14ac:dyDescent="0.2">
      <c r="B57" s="47">
        <v>2</v>
      </c>
      <c r="C57" s="40">
        <f t="shared" ref="C57:C64" si="25">$I40*(D$64/$J$47)</f>
        <v>59.076872800000004</v>
      </c>
      <c r="D57" s="141">
        <f t="shared" ref="D57:D64" si="26">P40*1.0364</f>
        <v>-63.658645099109947</v>
      </c>
      <c r="E57" s="137">
        <f t="shared" ref="E57:E64" si="27">SQRT(12*32.2*(D57/B57)^2/(4*$D$54*($D$53*56)*$D$52^2))</f>
        <v>0.6998956539134471</v>
      </c>
      <c r="F57" s="87">
        <f t="shared" ref="F57:F65" si="28">(D57/C57)*-1</f>
        <v>1.0775561075248712</v>
      </c>
      <c r="G57" s="10"/>
      <c r="H57" s="34">
        <v>2</v>
      </c>
      <c r="I57" s="40">
        <f t="shared" ref="I57:I65" si="29">$I40*(J$64/$J$47)</f>
        <v>61.174101784400015</v>
      </c>
      <c r="J57" s="141">
        <f t="shared" ref="J57:J65" si="30">D57*1.0355</f>
        <v>-65.91852700012835</v>
      </c>
      <c r="K57" s="137">
        <f t="shared" ref="K57:K65" si="31">SQRT(12*32.2*(J57/H57)^2/(4*$J$54*($J$53*56)*$J$52^2))</f>
        <v>0.69992032921466152</v>
      </c>
      <c r="L57" s="87">
        <f t="shared" ref="L57:L65" si="32">(J57/I57)*-1</f>
        <v>1.077556107524871</v>
      </c>
      <c r="M57" s="10"/>
      <c r="N57" s="34">
        <v>2</v>
      </c>
      <c r="O57" s="40">
        <f t="shared" ref="O57:O65" si="33">$I40*(P$64/$J$47)</f>
        <v>63.29072570614025</v>
      </c>
      <c r="P57" s="140">
        <f t="shared" ref="P57:P65" si="34">J57*1.0346</f>
        <v>-68.199308034332788</v>
      </c>
      <c r="Q57" s="136">
        <f t="shared" ref="Q57:Q65" si="35">SQRT(12*32.2*(P57/N57)^2/(4*$P$54*($P$53*56)*$P$52^2))</f>
        <v>0.69994328708211451</v>
      </c>
      <c r="R57" s="100">
        <f t="shared" ref="R57:R65" si="36">(P57/O57)*-1</f>
        <v>1.0775561075248712</v>
      </c>
      <c r="S57" s="106"/>
      <c r="U57" s="76">
        <v>50</v>
      </c>
      <c r="V57" s="70">
        <v>596</v>
      </c>
      <c r="W57" s="78">
        <v>527</v>
      </c>
    </row>
    <row r="58" spans="2:32" ht="15" customHeight="1" x14ac:dyDescent="0.2">
      <c r="B58" s="47">
        <v>3</v>
      </c>
      <c r="C58" s="39">
        <f t="shared" si="25"/>
        <v>76.262872160000001</v>
      </c>
      <c r="D58" s="140">
        <f t="shared" si="26"/>
        <v>-95.500474258704031</v>
      </c>
      <c r="E58" s="136">
        <f t="shared" si="27"/>
        <v>0.69998732328527591</v>
      </c>
      <c r="F58" s="85">
        <f t="shared" si="28"/>
        <v>1.2522538366814118</v>
      </c>
      <c r="G58" s="10"/>
      <c r="H58" s="34">
        <v>3</v>
      </c>
      <c r="I58" s="39">
        <f t="shared" si="29"/>
        <v>78.970204121680013</v>
      </c>
      <c r="J58" s="140">
        <f t="shared" si="30"/>
        <v>-98.890741094888028</v>
      </c>
      <c r="K58" s="136">
        <f t="shared" si="31"/>
        <v>0.70001200181835688</v>
      </c>
      <c r="L58" s="85">
        <f t="shared" si="32"/>
        <v>1.2522538366814118</v>
      </c>
      <c r="M58" s="10"/>
      <c r="N58" s="34">
        <v>3</v>
      </c>
      <c r="O58" s="39">
        <f t="shared" si="33"/>
        <v>81.702573184290145</v>
      </c>
      <c r="P58" s="140">
        <f t="shared" si="34"/>
        <v>-102.31236073677115</v>
      </c>
      <c r="Q58" s="136">
        <f t="shared" si="35"/>
        <v>0.70003496269273435</v>
      </c>
      <c r="R58" s="99">
        <f t="shared" si="36"/>
        <v>1.2522538366814115</v>
      </c>
      <c r="S58" s="106"/>
      <c r="U58" s="82">
        <v>50.1</v>
      </c>
      <c r="V58" s="83">
        <v>3.9</v>
      </c>
      <c r="W58" s="84"/>
    </row>
    <row r="59" spans="2:32" ht="15" customHeight="1" x14ac:dyDescent="0.2">
      <c r="B59" s="47">
        <v>4</v>
      </c>
      <c r="C59" s="39">
        <f t="shared" si="25"/>
        <v>92.374746560000006</v>
      </c>
      <c r="D59" s="140">
        <f t="shared" si="26"/>
        <v>-127.32979680825902</v>
      </c>
      <c r="E59" s="136">
        <f t="shared" si="27"/>
        <v>0.69996440594231879</v>
      </c>
      <c r="F59" s="85">
        <f t="shared" si="28"/>
        <v>1.3784048297827234</v>
      </c>
      <c r="G59" s="10"/>
      <c r="H59" s="34">
        <v>4</v>
      </c>
      <c r="I59" s="39">
        <f t="shared" si="29"/>
        <v>95.654050062880017</v>
      </c>
      <c r="J59" s="140">
        <f t="shared" si="30"/>
        <v>-131.85000459495222</v>
      </c>
      <c r="K59" s="136">
        <f t="shared" si="31"/>
        <v>0.69998908366743318</v>
      </c>
      <c r="L59" s="85">
        <f t="shared" si="32"/>
        <v>1.3784048297827234</v>
      </c>
      <c r="M59" s="10"/>
      <c r="N59" s="34">
        <v>4</v>
      </c>
      <c r="O59" s="39">
        <f t="shared" si="33"/>
        <v>98.963680195055659</v>
      </c>
      <c r="P59" s="140">
        <f t="shared" si="34"/>
        <v>-136.41201475393757</v>
      </c>
      <c r="Q59" s="136">
        <f t="shared" si="35"/>
        <v>0.70001204379007953</v>
      </c>
      <c r="R59" s="99">
        <f t="shared" si="36"/>
        <v>1.3784048297827234</v>
      </c>
      <c r="S59" s="106"/>
    </row>
    <row r="60" spans="2:32" ht="15" customHeight="1" x14ac:dyDescent="0.2">
      <c r="B60" s="47">
        <v>5</v>
      </c>
      <c r="C60" s="40">
        <f t="shared" si="25"/>
        <v>108.48662096</v>
      </c>
      <c r="D60" s="141">
        <f t="shared" si="26"/>
        <v>-159.17162596785312</v>
      </c>
      <c r="E60" s="137">
        <f t="shared" si="27"/>
        <v>0.7000056571596418</v>
      </c>
      <c r="F60" s="87">
        <f t="shared" si="28"/>
        <v>1.4672005133844213</v>
      </c>
      <c r="G60" s="10"/>
      <c r="H60" s="34">
        <v>5</v>
      </c>
      <c r="I60" s="40">
        <f t="shared" si="29"/>
        <v>112.33789600408002</v>
      </c>
      <c r="J60" s="141">
        <f t="shared" si="30"/>
        <v>-164.82221868971192</v>
      </c>
      <c r="K60" s="137">
        <f t="shared" si="31"/>
        <v>0.70003033633909617</v>
      </c>
      <c r="L60" s="87">
        <f t="shared" si="32"/>
        <v>1.467200513384421</v>
      </c>
      <c r="M60" s="10"/>
      <c r="N60" s="34">
        <v>5</v>
      </c>
      <c r="O60" s="40">
        <f t="shared" si="33"/>
        <v>116.22478720582119</v>
      </c>
      <c r="P60" s="140">
        <f t="shared" si="34"/>
        <v>-170.52506745637595</v>
      </c>
      <c r="Q60" s="136">
        <f t="shared" si="35"/>
        <v>0.70005329781485837</v>
      </c>
      <c r="R60" s="100">
        <f t="shared" si="36"/>
        <v>1.4672005133844213</v>
      </c>
      <c r="S60" s="106"/>
    </row>
    <row r="61" spans="2:32" ht="15" customHeight="1" x14ac:dyDescent="0.2">
      <c r="B61" s="47">
        <v>10</v>
      </c>
      <c r="C61" s="39">
        <f t="shared" si="25"/>
        <v>178.30474336</v>
      </c>
      <c r="D61" s="140">
        <f t="shared" si="26"/>
        <v>-318.33074532566712</v>
      </c>
      <c r="E61" s="136">
        <f t="shared" si="27"/>
        <v>0.69997815634809313</v>
      </c>
      <c r="F61" s="85">
        <f t="shared" si="28"/>
        <v>1.7853184347594864</v>
      </c>
      <c r="G61" s="10"/>
      <c r="H61" s="34">
        <v>10</v>
      </c>
      <c r="I61" s="39">
        <f t="shared" si="29"/>
        <v>184.63456174928004</v>
      </c>
      <c r="J61" s="140">
        <f t="shared" si="30"/>
        <v>-329.63148678472834</v>
      </c>
      <c r="K61" s="136">
        <f t="shared" si="31"/>
        <v>0.70000283455798751</v>
      </c>
      <c r="L61" s="85">
        <f t="shared" si="32"/>
        <v>1.7853184347594862</v>
      </c>
      <c r="M61" s="10"/>
      <c r="N61" s="34">
        <v>10</v>
      </c>
      <c r="O61" s="39">
        <f t="shared" si="33"/>
        <v>191.02291758580512</v>
      </c>
      <c r="P61" s="140">
        <f t="shared" si="34"/>
        <v>-341.03673622747993</v>
      </c>
      <c r="Q61" s="136">
        <f t="shared" si="35"/>
        <v>0.7000257951316724</v>
      </c>
      <c r="R61" s="99">
        <f t="shared" si="36"/>
        <v>1.7853184347594862</v>
      </c>
      <c r="S61" s="106"/>
      <c r="AF61" s="102" t="s">
        <v>39</v>
      </c>
    </row>
    <row r="62" spans="2:32" ht="15" customHeight="1" x14ac:dyDescent="0.2">
      <c r="B62" s="47">
        <v>20</v>
      </c>
      <c r="C62" s="39">
        <f t="shared" si="25"/>
        <v>293.23611407999999</v>
      </c>
      <c r="D62" s="140">
        <f t="shared" si="26"/>
        <v>-636.64898404129519</v>
      </c>
      <c r="E62" s="136">
        <f t="shared" si="27"/>
        <v>0.69996440594231879</v>
      </c>
      <c r="F62" s="85">
        <f t="shared" si="28"/>
        <v>2.1711138344563046</v>
      </c>
      <c r="G62" s="10"/>
      <c r="H62" s="34">
        <v>20</v>
      </c>
      <c r="I62" s="39">
        <f t="shared" si="29"/>
        <v>303.64599612984006</v>
      </c>
      <c r="J62" s="140">
        <f t="shared" si="30"/>
        <v>-659.25002297476124</v>
      </c>
      <c r="K62" s="136">
        <f t="shared" si="31"/>
        <v>0.6999890836674334</v>
      </c>
      <c r="L62" s="85">
        <f t="shared" si="32"/>
        <v>2.1711138344563046</v>
      </c>
      <c r="M62" s="10"/>
      <c r="N62" s="34">
        <v>20</v>
      </c>
      <c r="O62" s="39">
        <f t="shared" si="33"/>
        <v>314.15214759593249</v>
      </c>
      <c r="P62" s="140">
        <f t="shared" si="34"/>
        <v>-682.06007376968796</v>
      </c>
      <c r="Q62" s="136">
        <f t="shared" si="35"/>
        <v>0.70001204379007964</v>
      </c>
      <c r="R62" s="99">
        <f t="shared" si="36"/>
        <v>2.1711138344563046</v>
      </c>
      <c r="S62" s="106"/>
      <c r="W62" s="102">
        <v>-2.7099999999999999E-2</v>
      </c>
      <c r="AF62" s="102">
        <v>-2.2700000000000001E-2</v>
      </c>
    </row>
    <row r="63" spans="2:32" ht="15" customHeight="1" x14ac:dyDescent="0.2">
      <c r="B63" s="47">
        <v>30</v>
      </c>
      <c r="C63" s="39">
        <f t="shared" si="25"/>
        <v>409.24160976000002</v>
      </c>
      <c r="D63" s="140">
        <f t="shared" si="26"/>
        <v>-955.00474258704037</v>
      </c>
      <c r="E63" s="136">
        <f t="shared" si="27"/>
        <v>0.69998732328527602</v>
      </c>
      <c r="F63" s="85">
        <f t="shared" si="28"/>
        <v>2.3335963885664106</v>
      </c>
      <c r="G63" s="10"/>
      <c r="H63" s="34">
        <v>30</v>
      </c>
      <c r="I63" s="39">
        <f t="shared" si="29"/>
        <v>423.7696869064801</v>
      </c>
      <c r="J63" s="140">
        <f t="shared" si="30"/>
        <v>-988.9074109488804</v>
      </c>
      <c r="K63" s="136">
        <f t="shared" si="31"/>
        <v>0.7000120018183571</v>
      </c>
      <c r="L63" s="85">
        <f t="shared" si="32"/>
        <v>2.3335963885664102</v>
      </c>
      <c r="M63" s="10"/>
      <c r="N63" s="34">
        <v>30</v>
      </c>
      <c r="O63" s="39">
        <f t="shared" si="33"/>
        <v>438.43211807344426</v>
      </c>
      <c r="P63" s="140">
        <f t="shared" si="34"/>
        <v>-1023.1236073677117</v>
      </c>
      <c r="Q63" s="136">
        <f t="shared" si="35"/>
        <v>0.70003496269273435</v>
      </c>
      <c r="R63" s="99">
        <f t="shared" si="36"/>
        <v>2.3335963885664106</v>
      </c>
      <c r="S63" s="106"/>
      <c r="W63" s="102">
        <v>12.528</v>
      </c>
      <c r="AF63" s="102">
        <v>12.547000000000001</v>
      </c>
    </row>
    <row r="64" spans="2:32" ht="15" customHeight="1" x14ac:dyDescent="0.2">
      <c r="B64" s="47">
        <v>40</v>
      </c>
      <c r="C64" s="39">
        <f t="shared" si="25"/>
        <v>525.24710544000004</v>
      </c>
      <c r="D64" s="141">
        <f t="shared" si="26"/>
        <v>-1273.2979680825904</v>
      </c>
      <c r="E64" s="137">
        <f t="shared" si="27"/>
        <v>0.69996440594231879</v>
      </c>
      <c r="F64" s="87">
        <f t="shared" si="28"/>
        <v>2.42418845319661</v>
      </c>
      <c r="G64" s="10"/>
      <c r="H64" s="34">
        <v>40</v>
      </c>
      <c r="I64" s="39">
        <f t="shared" si="29"/>
        <v>543.89337768312009</v>
      </c>
      <c r="J64" s="141">
        <f t="shared" si="30"/>
        <v>-1318.5000459495225</v>
      </c>
      <c r="K64" s="137">
        <f t="shared" si="31"/>
        <v>0.6999890836674334</v>
      </c>
      <c r="L64" s="87">
        <f t="shared" si="32"/>
        <v>2.42418845319661</v>
      </c>
      <c r="M64" s="10"/>
      <c r="N64" s="34">
        <v>40</v>
      </c>
      <c r="O64" s="39">
        <f t="shared" si="33"/>
        <v>562.71208855095608</v>
      </c>
      <c r="P64" s="140">
        <f t="shared" si="34"/>
        <v>-1364.1201475393759</v>
      </c>
      <c r="Q64" s="136">
        <f t="shared" si="35"/>
        <v>0.70001204379007964</v>
      </c>
      <c r="R64" s="100">
        <f t="shared" si="36"/>
        <v>2.4241884531966096</v>
      </c>
      <c r="S64" s="106"/>
      <c r="W64" s="102">
        <v>34.146999999999998</v>
      </c>
      <c r="AF64" s="102">
        <v>22.481999999999999</v>
      </c>
    </row>
    <row r="65" spans="2:24" ht="15" customHeight="1" x14ac:dyDescent="0.2">
      <c r="B65" s="47">
        <v>50</v>
      </c>
      <c r="C65" s="40">
        <f>$I48*(D$64/$J$47)</f>
        <v>640.17847616000006</v>
      </c>
      <c r="D65" s="140">
        <f>P48*1.0364</f>
        <v>-1591.6037001881789</v>
      </c>
      <c r="E65" s="136">
        <f>SQRT(12*32.2*(D65/B65)^2/(4*$D$54*($D$53*56)*$D$52^2))</f>
        <v>0.69995615569885405</v>
      </c>
      <c r="F65" s="85">
        <f t="shared" si="28"/>
        <v>2.4861874609329861</v>
      </c>
      <c r="G65" s="10"/>
      <c r="H65" s="34">
        <v>50</v>
      </c>
      <c r="I65" s="40">
        <f t="shared" si="29"/>
        <v>662.9048120636802</v>
      </c>
      <c r="J65" s="140">
        <f t="shared" si="30"/>
        <v>-1648.1056315448593</v>
      </c>
      <c r="K65" s="136">
        <f t="shared" si="31"/>
        <v>0.69998083313310056</v>
      </c>
      <c r="L65" s="85">
        <f t="shared" si="32"/>
        <v>2.4861874609329861</v>
      </c>
      <c r="M65" s="10"/>
      <c r="N65" s="34">
        <v>50</v>
      </c>
      <c r="O65" s="40">
        <f t="shared" si="33"/>
        <v>685.84131856108343</v>
      </c>
      <c r="P65" s="140">
        <f t="shared" si="34"/>
        <v>-1705.1300863963113</v>
      </c>
      <c r="Q65" s="136">
        <f t="shared" si="35"/>
        <v>0.70000379298512361</v>
      </c>
      <c r="R65" s="99">
        <f t="shared" si="36"/>
        <v>2.4861874609329861</v>
      </c>
      <c r="S65" s="106"/>
      <c r="W65" s="102"/>
    </row>
    <row r="66" spans="2:24" ht="15" customHeight="1" x14ac:dyDescent="0.2">
      <c r="B66" s="89" t="s">
        <v>18</v>
      </c>
      <c r="C66" s="10"/>
      <c r="D66" s="59">
        <f>D64/D61</f>
        <v>3.999921423800731</v>
      </c>
      <c r="E66" s="10"/>
      <c r="F66" s="10"/>
      <c r="G66" s="10"/>
      <c r="H66" s="93" t="s">
        <v>18</v>
      </c>
      <c r="I66" s="10"/>
      <c r="J66" s="59">
        <f>J64/J61</f>
        <v>3.999921423800731</v>
      </c>
      <c r="K66" s="10"/>
      <c r="L66" s="10"/>
      <c r="M66" s="10"/>
      <c r="N66" s="93" t="s">
        <v>18</v>
      </c>
      <c r="O66" s="10"/>
      <c r="P66" s="59">
        <f>P64/P61</f>
        <v>3.999921423800731</v>
      </c>
      <c r="Q66" s="5"/>
      <c r="R66" s="48"/>
      <c r="S66" s="107"/>
      <c r="U66" s="76" t="s">
        <v>24</v>
      </c>
      <c r="V66" s="68" t="s">
        <v>25</v>
      </c>
      <c r="W66" s="102"/>
      <c r="X66" s="101">
        <v>1</v>
      </c>
    </row>
    <row r="67" spans="2:24" ht="15" customHeight="1" x14ac:dyDescent="0.2">
      <c r="B67" s="90" t="s">
        <v>17</v>
      </c>
      <c r="C67" s="57">
        <f>C65/C61</f>
        <v>3.5903614457831328</v>
      </c>
      <c r="D67" s="10"/>
      <c r="E67" s="10"/>
      <c r="F67" s="10"/>
      <c r="G67" s="10"/>
      <c r="H67" s="94" t="s">
        <v>17</v>
      </c>
      <c r="I67" s="57">
        <f>I65/I61</f>
        <v>3.5903614457831328</v>
      </c>
      <c r="J67" s="10"/>
      <c r="K67" s="10"/>
      <c r="L67" s="10"/>
      <c r="M67" s="10"/>
      <c r="N67" s="94" t="s">
        <v>17</v>
      </c>
      <c r="O67" s="57">
        <f>O65/O61</f>
        <v>3.5903614457831323</v>
      </c>
      <c r="P67" s="10"/>
      <c r="Q67" s="5"/>
      <c r="R67" s="48"/>
      <c r="S67" s="107"/>
      <c r="U67" s="76">
        <v>1</v>
      </c>
      <c r="V67" s="69">
        <v>40</v>
      </c>
      <c r="W67" s="103">
        <f t="shared" ref="W67:W76" si="37">(W$62*(U67)^2)+(W$63*(U67)^1)+(W$64)</f>
        <v>46.6479</v>
      </c>
      <c r="X67" s="53">
        <f t="shared" ref="X67:X76" si="38">(W67*X$66)</f>
        <v>46.6479</v>
      </c>
    </row>
    <row r="68" spans="2:24" ht="15" customHeight="1" x14ac:dyDescent="0.2">
      <c r="B68" s="14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6"/>
      <c r="S68" s="104"/>
      <c r="U68" s="76">
        <v>2</v>
      </c>
      <c r="V68" s="69">
        <v>55</v>
      </c>
      <c r="W68" s="103">
        <f t="shared" si="37"/>
        <v>59.0946</v>
      </c>
      <c r="X68" s="53">
        <f t="shared" si="38"/>
        <v>59.0946</v>
      </c>
    </row>
    <row r="69" spans="2:24" ht="15" customHeight="1" x14ac:dyDescent="0.2">
      <c r="B69" s="14"/>
      <c r="C69" s="10"/>
      <c r="D69" s="26">
        <v>2.9</v>
      </c>
      <c r="E69" s="10" t="s">
        <v>0</v>
      </c>
      <c r="F69" s="10"/>
      <c r="G69" s="10"/>
      <c r="H69" s="10"/>
      <c r="I69" s="10"/>
      <c r="J69" s="26">
        <v>3</v>
      </c>
      <c r="K69" s="10" t="s">
        <v>0</v>
      </c>
      <c r="L69" s="10"/>
      <c r="M69" s="10"/>
      <c r="N69" s="10"/>
      <c r="O69" s="10"/>
      <c r="P69" s="26">
        <v>3.1</v>
      </c>
      <c r="Q69" s="10" t="s">
        <v>0</v>
      </c>
      <c r="R69" s="16"/>
      <c r="S69" s="104"/>
      <c r="U69" s="76">
        <v>3</v>
      </c>
      <c r="V69" s="69">
        <v>71</v>
      </c>
      <c r="W69" s="103">
        <f t="shared" si="37"/>
        <v>71.487099999999998</v>
      </c>
      <c r="X69" s="53">
        <f t="shared" si="38"/>
        <v>71.487099999999998</v>
      </c>
    </row>
    <row r="70" spans="2:24" ht="15" customHeight="1" x14ac:dyDescent="0.2">
      <c r="B70" s="14"/>
      <c r="C70" s="10"/>
      <c r="D70" s="26">
        <v>6.12</v>
      </c>
      <c r="E70" s="10" t="s">
        <v>1</v>
      </c>
      <c r="F70" s="10"/>
      <c r="G70" s="10"/>
      <c r="H70" s="10"/>
      <c r="I70" s="10"/>
      <c r="J70" s="26">
        <v>6.52</v>
      </c>
      <c r="K70" s="10" t="s">
        <v>1</v>
      </c>
      <c r="L70" s="10"/>
      <c r="M70" s="10"/>
      <c r="N70" s="10"/>
      <c r="O70" s="10"/>
      <c r="P70" s="26">
        <v>6.92</v>
      </c>
      <c r="Q70" s="10" t="s">
        <v>1</v>
      </c>
      <c r="R70" s="16"/>
      <c r="S70" s="104"/>
      <c r="U70" s="76">
        <v>4</v>
      </c>
      <c r="V70" s="69">
        <v>86</v>
      </c>
      <c r="W70" s="103">
        <f t="shared" si="37"/>
        <v>83.825400000000002</v>
      </c>
      <c r="X70" s="53">
        <f t="shared" si="38"/>
        <v>83.825400000000002</v>
      </c>
    </row>
    <row r="71" spans="2:24" ht="15" customHeight="1" x14ac:dyDescent="0.2">
      <c r="B71" s="14"/>
      <c r="C71" s="10"/>
      <c r="D71" s="26">
        <v>85</v>
      </c>
      <c r="E71" s="10" t="s">
        <v>8</v>
      </c>
      <c r="F71" s="10"/>
      <c r="G71" s="10"/>
      <c r="H71" s="10"/>
      <c r="I71" s="10"/>
      <c r="J71" s="26">
        <v>85</v>
      </c>
      <c r="K71" s="10" t="s">
        <v>8</v>
      </c>
      <c r="L71" s="10"/>
      <c r="M71" s="10"/>
      <c r="N71" s="10"/>
      <c r="O71" s="10"/>
      <c r="P71" s="26">
        <v>85</v>
      </c>
      <c r="Q71" s="10" t="s">
        <v>8</v>
      </c>
      <c r="R71" s="16"/>
      <c r="S71" s="104"/>
      <c r="U71" s="76">
        <v>5</v>
      </c>
      <c r="V71" s="70">
        <v>101</v>
      </c>
      <c r="W71" s="103">
        <f t="shared" si="37"/>
        <v>96.109499999999997</v>
      </c>
      <c r="X71" s="53">
        <f t="shared" si="38"/>
        <v>96.109499999999997</v>
      </c>
    </row>
    <row r="72" spans="2:24" ht="15" customHeight="1" x14ac:dyDescent="0.2">
      <c r="B72" s="45" t="s">
        <v>9</v>
      </c>
      <c r="C72" s="110" t="s">
        <v>41</v>
      </c>
      <c r="D72" s="31" t="s">
        <v>10</v>
      </c>
      <c r="E72" s="30" t="s">
        <v>11</v>
      </c>
      <c r="F72" s="86" t="s">
        <v>12</v>
      </c>
      <c r="G72" s="10"/>
      <c r="H72" s="30" t="s">
        <v>9</v>
      </c>
      <c r="I72" s="110" t="s">
        <v>41</v>
      </c>
      <c r="J72" s="31" t="s">
        <v>10</v>
      </c>
      <c r="K72" s="30" t="s">
        <v>11</v>
      </c>
      <c r="L72" s="86" t="s">
        <v>12</v>
      </c>
      <c r="M72" s="10"/>
      <c r="N72" s="30" t="s">
        <v>9</v>
      </c>
      <c r="O72" s="110" t="s">
        <v>41</v>
      </c>
      <c r="P72" s="31" t="s">
        <v>10</v>
      </c>
      <c r="Q72" s="30" t="s">
        <v>11</v>
      </c>
      <c r="R72" s="98" t="s">
        <v>12</v>
      </c>
      <c r="S72" s="104"/>
      <c r="U72" s="76">
        <v>10</v>
      </c>
      <c r="V72" s="69">
        <v>166</v>
      </c>
      <c r="W72" s="103">
        <f t="shared" si="37"/>
        <v>156.71700000000001</v>
      </c>
      <c r="X72" s="53">
        <f t="shared" si="38"/>
        <v>156.71700000000001</v>
      </c>
    </row>
    <row r="73" spans="2:24" ht="15" customHeight="1" x14ac:dyDescent="0.2">
      <c r="B73" s="47">
        <v>1</v>
      </c>
      <c r="C73" s="39">
        <f>$I39*(D$81/$J$47)</f>
        <v>47.580816845408847</v>
      </c>
      <c r="D73" s="140">
        <f>P56*1.0337</f>
        <v>-35.248812357544907</v>
      </c>
      <c r="E73" s="136">
        <f>SQRT(12*32.2*(D73/B73)^2/(4*$D$71*($D$70*56)*$D$69^2))</f>
        <v>0.69993202797114096</v>
      </c>
      <c r="F73" s="85">
        <f>(D73/C73)*-1</f>
        <v>0.74081982392334911</v>
      </c>
      <c r="G73" s="10"/>
      <c r="H73" s="34">
        <v>1</v>
      </c>
      <c r="I73" s="39">
        <f>$I39*(J$81/$J$47)</f>
        <v>50.802038145843042</v>
      </c>
      <c r="J73" s="140">
        <f>D73*1.0677</f>
        <v>-37.635156954150702</v>
      </c>
      <c r="K73" s="136">
        <f>SQRT(12*32.2*(J73/H73)^2/(4*$J$71*($J$70*56)*$J$69^2))</f>
        <v>0.69989640990996904</v>
      </c>
      <c r="L73" s="85">
        <f>(J73/I73)*-1</f>
        <v>0.740819823923349</v>
      </c>
      <c r="M73" s="10"/>
      <c r="N73" s="34">
        <v>1</v>
      </c>
      <c r="O73" s="39">
        <f>$I39*(P$81/$J$47)</f>
        <v>54.0838498100645</v>
      </c>
      <c r="P73" s="140">
        <f>J73*1.0646</f>
        <v>-40.066388093388838</v>
      </c>
      <c r="Q73" s="136">
        <f>SQRT(12*32.2*(P73/N73)^2/(4*$P$71*($P$70*56)*$P$69^2))</f>
        <v>0.69992344189273048</v>
      </c>
      <c r="R73" s="99">
        <f>(P73/O73)*-1</f>
        <v>0.74081982392334911</v>
      </c>
      <c r="S73" s="104"/>
      <c r="U73" s="76">
        <v>20</v>
      </c>
      <c r="V73" s="69">
        <v>273</v>
      </c>
      <c r="W73" s="103">
        <f t="shared" si="37"/>
        <v>273.86700000000002</v>
      </c>
      <c r="X73" s="53">
        <f t="shared" si="38"/>
        <v>273.86700000000002</v>
      </c>
    </row>
    <row r="74" spans="2:24" ht="15" customHeight="1" x14ac:dyDescent="0.2">
      <c r="B74" s="47">
        <v>2</v>
      </c>
      <c r="C74" s="40">
        <f t="shared" ref="C74:C81" si="39">$I40*(D$81/$J$47)</f>
        <v>65.423623162437167</v>
      </c>
      <c r="D74" s="141">
        <f t="shared" ref="D74:D82" si="40">P57*1.0337</f>
        <v>-70.497624715089813</v>
      </c>
      <c r="E74" s="137">
        <f t="shared" ref="E74:E82" si="41">SQRT(12*32.2*(D74/B74)^2/(4*$D$71*($D$70*56)*$D$69^2))</f>
        <v>0.69993202797114096</v>
      </c>
      <c r="F74" s="87">
        <f t="shared" ref="F74:F82" si="42">(D74/C74)*-1</f>
        <v>1.0775561075248714</v>
      </c>
      <c r="G74" s="10"/>
      <c r="H74" s="34">
        <v>2</v>
      </c>
      <c r="I74" s="40">
        <f t="shared" ref="I74:I81" si="43">$I40*(J$81/$J$47)</f>
        <v>69.852802450534185</v>
      </c>
      <c r="J74" s="141">
        <f t="shared" ref="J74:J82" si="44">D74*1.0677</f>
        <v>-75.270313908301404</v>
      </c>
      <c r="K74" s="137">
        <f t="shared" ref="K74:K82" si="45">SQRT(12*32.2*(J74/H74)^2/(4*$J$71*($J$70*56)*$J$69^2))</f>
        <v>0.69989640990996904</v>
      </c>
      <c r="L74" s="87">
        <f t="shared" ref="L74:L82" si="46">(J74/I74)*-1</f>
        <v>1.0775561075248712</v>
      </c>
      <c r="M74" s="10"/>
      <c r="N74" s="34">
        <v>2</v>
      </c>
      <c r="O74" s="40">
        <f t="shared" ref="O74:O81" si="47">$I40*(P$81/$J$47)</f>
        <v>74.365293488838688</v>
      </c>
      <c r="P74" s="141">
        <f t="shared" ref="P74:P82" si="48">J74*1.0646</f>
        <v>-80.132776186777676</v>
      </c>
      <c r="Q74" s="137">
        <f t="shared" ref="Q74:Q82" si="49">SQRT(12*32.2*(P74/N74)^2/(4*$P$71*($P$70*56)*$P$69^2))</f>
        <v>0.69992344189273048</v>
      </c>
      <c r="R74" s="100">
        <f t="shared" ref="R74:R82" si="50">(P74/O74)*-1</f>
        <v>1.0775561075248714</v>
      </c>
      <c r="S74" s="104"/>
      <c r="U74" s="76">
        <v>30</v>
      </c>
      <c r="V74" s="69">
        <v>381</v>
      </c>
      <c r="W74" s="103">
        <f t="shared" si="37"/>
        <v>385.59700000000004</v>
      </c>
      <c r="X74" s="53">
        <f t="shared" si="38"/>
        <v>385.59700000000004</v>
      </c>
    </row>
    <row r="75" spans="2:24" ht="15" customHeight="1" x14ac:dyDescent="0.2">
      <c r="B75" s="47">
        <v>3</v>
      </c>
      <c r="C75" s="39">
        <f t="shared" si="39"/>
        <v>84.455949900600714</v>
      </c>
      <c r="D75" s="140">
        <f t="shared" si="40"/>
        <v>-105.76028729360034</v>
      </c>
      <c r="E75" s="136">
        <f t="shared" si="41"/>
        <v>0.70002370210708986</v>
      </c>
      <c r="F75" s="85">
        <f t="shared" si="42"/>
        <v>1.2522538366814118</v>
      </c>
      <c r="G75" s="10"/>
      <c r="H75" s="34">
        <v>3</v>
      </c>
      <c r="I75" s="39">
        <f t="shared" si="43"/>
        <v>90.17361770887139</v>
      </c>
      <c r="J75" s="140">
        <f t="shared" si="44"/>
        <v>-112.92025874337709</v>
      </c>
      <c r="K75" s="136">
        <f t="shared" si="45"/>
        <v>0.69998807938081486</v>
      </c>
      <c r="L75" s="85">
        <f t="shared" si="46"/>
        <v>1.2522538366814118</v>
      </c>
      <c r="M75" s="10"/>
      <c r="N75" s="34">
        <v>3</v>
      </c>
      <c r="O75" s="39">
        <f t="shared" si="47"/>
        <v>95.998833412864485</v>
      </c>
      <c r="P75" s="140">
        <f t="shared" si="48"/>
        <v>-120.21490745819925</v>
      </c>
      <c r="Q75" s="136">
        <f t="shared" si="49"/>
        <v>0.70001511490411117</v>
      </c>
      <c r="R75" s="99">
        <f t="shared" si="50"/>
        <v>1.2522538366814118</v>
      </c>
      <c r="S75" s="104"/>
      <c r="U75" s="76">
        <v>40</v>
      </c>
      <c r="V75" s="69">
        <v>489</v>
      </c>
      <c r="W75" s="103">
        <f t="shared" si="37"/>
        <v>491.90699999999998</v>
      </c>
      <c r="X75" s="53">
        <f t="shared" si="38"/>
        <v>491.90699999999998</v>
      </c>
    </row>
    <row r="76" spans="2:24" ht="15" customHeight="1" x14ac:dyDescent="0.2">
      <c r="B76" s="47">
        <v>4</v>
      </c>
      <c r="C76" s="39">
        <f t="shared" si="39"/>
        <v>102.29875621762903</v>
      </c>
      <c r="D76" s="140">
        <f t="shared" si="40"/>
        <v>-141.00909965114528</v>
      </c>
      <c r="E76" s="136">
        <f t="shared" si="41"/>
        <v>0.7000007835731028</v>
      </c>
      <c r="F76" s="85">
        <f t="shared" si="42"/>
        <v>1.3784048297827236</v>
      </c>
      <c r="G76" s="10"/>
      <c r="H76" s="34">
        <v>4</v>
      </c>
      <c r="I76" s="39">
        <f t="shared" si="43"/>
        <v>109.22438201356253</v>
      </c>
      <c r="J76" s="140">
        <f t="shared" si="44"/>
        <v>-150.55541569752782</v>
      </c>
      <c r="K76" s="136">
        <f t="shared" si="45"/>
        <v>0.69996516201310366</v>
      </c>
      <c r="L76" s="85">
        <f t="shared" si="46"/>
        <v>1.3784048297827234</v>
      </c>
      <c r="M76" s="10"/>
      <c r="N76" s="34">
        <v>4</v>
      </c>
      <c r="O76" s="39">
        <f t="shared" si="47"/>
        <v>116.28027709163868</v>
      </c>
      <c r="P76" s="140">
        <f t="shared" si="48"/>
        <v>-160.28129555158813</v>
      </c>
      <c r="Q76" s="136">
        <f t="shared" si="49"/>
        <v>0.69999219665126611</v>
      </c>
      <c r="R76" s="99">
        <f t="shared" si="50"/>
        <v>1.3784048297827234</v>
      </c>
      <c r="S76" s="104"/>
      <c r="U76" s="76">
        <v>50</v>
      </c>
      <c r="V76" s="70">
        <v>596</v>
      </c>
      <c r="W76" s="103">
        <f t="shared" si="37"/>
        <v>592.79700000000003</v>
      </c>
      <c r="X76" s="53">
        <f t="shared" si="38"/>
        <v>592.79700000000003</v>
      </c>
    </row>
    <row r="77" spans="2:24" ht="15" customHeight="1" x14ac:dyDescent="0.2">
      <c r="B77" s="47">
        <v>5</v>
      </c>
      <c r="C77" s="40">
        <f t="shared" si="39"/>
        <v>120.14156253465735</v>
      </c>
      <c r="D77" s="141">
        <f t="shared" si="40"/>
        <v>-176.27176222965582</v>
      </c>
      <c r="E77" s="137">
        <f t="shared" si="41"/>
        <v>0.70004203693427991</v>
      </c>
      <c r="F77" s="87">
        <f t="shared" si="42"/>
        <v>1.4672005133844213</v>
      </c>
      <c r="G77" s="10"/>
      <c r="H77" s="34">
        <v>5</v>
      </c>
      <c r="I77" s="40">
        <f t="shared" si="43"/>
        <v>128.27514631825369</v>
      </c>
      <c r="J77" s="141">
        <f t="shared" si="44"/>
        <v>-188.20536053260355</v>
      </c>
      <c r="K77" s="137">
        <f t="shared" si="45"/>
        <v>0.70000641327498447</v>
      </c>
      <c r="L77" s="87">
        <f t="shared" si="46"/>
        <v>1.467200513384421</v>
      </c>
      <c r="M77" s="10"/>
      <c r="N77" s="34">
        <v>5</v>
      </c>
      <c r="O77" s="40">
        <f t="shared" si="47"/>
        <v>136.56172077041288</v>
      </c>
      <c r="P77" s="141">
        <f t="shared" si="48"/>
        <v>-200.36342682300975</v>
      </c>
      <c r="Q77" s="137">
        <f t="shared" si="49"/>
        <v>0.70003344950638757</v>
      </c>
      <c r="R77" s="100">
        <f t="shared" si="50"/>
        <v>1.4672005133844213</v>
      </c>
      <c r="S77" s="104"/>
      <c r="U77" s="82">
        <v>50.1</v>
      </c>
      <c r="V77" s="83">
        <v>3.9</v>
      </c>
    </row>
    <row r="78" spans="2:24" ht="15" customHeight="1" x14ac:dyDescent="0.2">
      <c r="B78" s="47">
        <v>10</v>
      </c>
      <c r="C78" s="39">
        <f t="shared" si="39"/>
        <v>197.46038990844673</v>
      </c>
      <c r="D78" s="140">
        <f t="shared" si="40"/>
        <v>-352.52967423834605</v>
      </c>
      <c r="E78" s="136">
        <f t="shared" si="41"/>
        <v>0.70001453469349528</v>
      </c>
      <c r="F78" s="85">
        <f t="shared" si="42"/>
        <v>1.7853184347594866</v>
      </c>
      <c r="G78" s="10"/>
      <c r="H78" s="34">
        <v>10</v>
      </c>
      <c r="I78" s="39">
        <f t="shared" si="43"/>
        <v>210.82845830524863</v>
      </c>
      <c r="J78" s="140">
        <f t="shared" si="44"/>
        <v>-376.39593318428211</v>
      </c>
      <c r="K78" s="136">
        <f t="shared" si="45"/>
        <v>0.69997891243373067</v>
      </c>
      <c r="L78" s="85">
        <f t="shared" si="46"/>
        <v>1.7853184347594864</v>
      </c>
      <c r="M78" s="10"/>
      <c r="N78" s="34">
        <v>10</v>
      </c>
      <c r="O78" s="39">
        <f t="shared" si="47"/>
        <v>224.44797671176769</v>
      </c>
      <c r="P78" s="140">
        <f t="shared" si="48"/>
        <v>-400.71111046798671</v>
      </c>
      <c r="Q78" s="136">
        <f t="shared" si="49"/>
        <v>0.7000059476029733</v>
      </c>
      <c r="R78" s="99">
        <f t="shared" si="50"/>
        <v>1.7853184347594862</v>
      </c>
      <c r="S78" s="104"/>
    </row>
    <row r="79" spans="2:24" ht="15" customHeight="1" x14ac:dyDescent="0.2">
      <c r="B79" s="47">
        <v>20</v>
      </c>
      <c r="C79" s="39">
        <f t="shared" si="39"/>
        <v>324.73907496991541</v>
      </c>
      <c r="D79" s="140">
        <f t="shared" si="40"/>
        <v>-705.04549825572644</v>
      </c>
      <c r="E79" s="136">
        <f t="shared" si="41"/>
        <v>0.7000007835731028</v>
      </c>
      <c r="F79" s="85">
        <f t="shared" si="42"/>
        <v>2.1711138344563046</v>
      </c>
      <c r="G79" s="10"/>
      <c r="H79" s="34">
        <v>20</v>
      </c>
      <c r="I79" s="39">
        <f t="shared" si="43"/>
        <v>346.72391034537873</v>
      </c>
      <c r="J79" s="140">
        <f t="shared" si="44"/>
        <v>-752.77707848763919</v>
      </c>
      <c r="K79" s="136">
        <f t="shared" si="45"/>
        <v>0.69996516201310377</v>
      </c>
      <c r="L79" s="85">
        <f t="shared" si="46"/>
        <v>2.1711138344563046</v>
      </c>
      <c r="M79" s="10"/>
      <c r="N79" s="34">
        <v>20</v>
      </c>
      <c r="O79" s="39">
        <f t="shared" si="47"/>
        <v>369.12227495369024</v>
      </c>
      <c r="P79" s="140">
        <f t="shared" si="48"/>
        <v>-801.40647775794071</v>
      </c>
      <c r="Q79" s="136">
        <f t="shared" si="49"/>
        <v>0.69999219665126611</v>
      </c>
      <c r="R79" s="99">
        <f t="shared" si="50"/>
        <v>2.1711138344563046</v>
      </c>
      <c r="S79" s="104"/>
    </row>
    <row r="80" spans="2:24" ht="15" customHeight="1" x14ac:dyDescent="0.2">
      <c r="B80" s="47">
        <v>30</v>
      </c>
      <c r="C80" s="39">
        <f t="shared" si="39"/>
        <v>453.20728045251929</v>
      </c>
      <c r="D80" s="140">
        <f t="shared" si="40"/>
        <v>-1057.6028729360037</v>
      </c>
      <c r="E80" s="136">
        <f t="shared" si="41"/>
        <v>0.7000237021070902</v>
      </c>
      <c r="F80" s="85">
        <f t="shared" si="42"/>
        <v>2.3335963885664111</v>
      </c>
      <c r="G80" s="10"/>
      <c r="H80" s="34">
        <v>30</v>
      </c>
      <c r="I80" s="39">
        <f t="shared" si="43"/>
        <v>483.88941333915494</v>
      </c>
      <c r="J80" s="140">
        <f t="shared" si="44"/>
        <v>-1129.2025874337712</v>
      </c>
      <c r="K80" s="136">
        <f t="shared" si="45"/>
        <v>0.6999880793808152</v>
      </c>
      <c r="L80" s="85">
        <f t="shared" si="46"/>
        <v>2.3335963885664111</v>
      </c>
      <c r="M80" s="10"/>
      <c r="N80" s="34">
        <v>30</v>
      </c>
      <c r="O80" s="39">
        <f t="shared" si="47"/>
        <v>515.14866944086441</v>
      </c>
      <c r="P80" s="140">
        <f t="shared" si="48"/>
        <v>-1202.1490745819929</v>
      </c>
      <c r="Q80" s="136">
        <f t="shared" si="49"/>
        <v>0.70001511490411128</v>
      </c>
      <c r="R80" s="99">
        <f t="shared" si="50"/>
        <v>2.3335963885664106</v>
      </c>
      <c r="S80" s="104"/>
    </row>
    <row r="81" spans="2:19" ht="15" customHeight="1" x14ac:dyDescent="0.2">
      <c r="B81" s="47">
        <v>40</v>
      </c>
      <c r="C81" s="39">
        <f t="shared" si="39"/>
        <v>581.67548593512322</v>
      </c>
      <c r="D81" s="141">
        <f t="shared" si="40"/>
        <v>-1410.0909965114529</v>
      </c>
      <c r="E81" s="137">
        <f t="shared" si="41"/>
        <v>0.7000007835731028</v>
      </c>
      <c r="F81" s="87">
        <f t="shared" si="42"/>
        <v>2.42418845319661</v>
      </c>
      <c r="G81" s="10"/>
      <c r="H81" s="34">
        <v>40</v>
      </c>
      <c r="I81" s="39">
        <f t="shared" si="43"/>
        <v>621.05491633293116</v>
      </c>
      <c r="J81" s="141">
        <f t="shared" si="44"/>
        <v>-1505.5541569752784</v>
      </c>
      <c r="K81" s="137">
        <f t="shared" si="45"/>
        <v>0.69996516201310377</v>
      </c>
      <c r="L81" s="87">
        <f t="shared" si="46"/>
        <v>2.42418845319661</v>
      </c>
      <c r="M81" s="10"/>
      <c r="N81" s="34">
        <v>40</v>
      </c>
      <c r="O81" s="39">
        <f t="shared" si="47"/>
        <v>661.17506392803853</v>
      </c>
      <c r="P81" s="141">
        <f t="shared" si="48"/>
        <v>-1602.8129555158814</v>
      </c>
      <c r="Q81" s="137">
        <f t="shared" si="49"/>
        <v>0.69999219665126611</v>
      </c>
      <c r="R81" s="100">
        <f t="shared" si="50"/>
        <v>2.42418845319661</v>
      </c>
      <c r="S81" s="104"/>
    </row>
    <row r="82" spans="2:19" ht="15" customHeight="1" x14ac:dyDescent="0.2">
      <c r="B82" s="47">
        <v>50</v>
      </c>
      <c r="C82" s="40">
        <f>$I48*(D$81/$J$47)</f>
        <v>708.95417099659187</v>
      </c>
      <c r="D82" s="140">
        <f t="shared" si="40"/>
        <v>-1762.5929703078671</v>
      </c>
      <c r="E82" s="136">
        <f t="shared" si="41"/>
        <v>0.69999253290086727</v>
      </c>
      <c r="F82" s="85">
        <f t="shared" si="42"/>
        <v>2.4861874609329866</v>
      </c>
      <c r="G82" s="10"/>
      <c r="H82" s="34">
        <v>50</v>
      </c>
      <c r="I82" s="40">
        <f>$I48*(J$81/$J$47)</f>
        <v>756.95036837306134</v>
      </c>
      <c r="J82" s="140">
        <f t="shared" si="44"/>
        <v>-1881.9205143977099</v>
      </c>
      <c r="K82" s="136">
        <f t="shared" si="45"/>
        <v>0.69995691176072738</v>
      </c>
      <c r="L82" s="85">
        <f t="shared" si="46"/>
        <v>2.4861874609329861</v>
      </c>
      <c r="M82" s="10"/>
      <c r="N82" s="34">
        <v>50</v>
      </c>
      <c r="O82" s="40">
        <f>$I48*(P$81/$J$47)</f>
        <v>805.84936216996107</v>
      </c>
      <c r="P82" s="140">
        <f t="shared" si="48"/>
        <v>-2003.4925796278019</v>
      </c>
      <c r="Q82" s="136">
        <f t="shared" si="49"/>
        <v>0.69998394608024161</v>
      </c>
      <c r="R82" s="99">
        <f t="shared" si="50"/>
        <v>2.4861874609329861</v>
      </c>
      <c r="S82" s="104"/>
    </row>
    <row r="83" spans="2:19" ht="15" customHeight="1" x14ac:dyDescent="0.2">
      <c r="B83" s="89" t="s">
        <v>18</v>
      </c>
      <c r="C83" s="10"/>
      <c r="D83" s="59">
        <f>D81/D78</f>
        <v>3.9999214238007306</v>
      </c>
      <c r="E83" s="10"/>
      <c r="F83" s="5"/>
      <c r="G83" s="10"/>
      <c r="H83" s="93" t="s">
        <v>18</v>
      </c>
      <c r="I83" s="10"/>
      <c r="J83" s="59">
        <f>J81/J78</f>
        <v>3.9999214238007306</v>
      </c>
      <c r="K83" s="10"/>
      <c r="L83" s="5"/>
      <c r="M83" s="10"/>
      <c r="N83" s="93" t="s">
        <v>18</v>
      </c>
      <c r="O83" s="10"/>
      <c r="P83" s="59">
        <f>P81/P78</f>
        <v>3.999921423800731</v>
      </c>
      <c r="Q83" s="10"/>
      <c r="R83" s="48"/>
      <c r="S83" s="10"/>
    </row>
    <row r="84" spans="2:19" ht="15" customHeight="1" x14ac:dyDescent="0.2">
      <c r="B84" s="90" t="s">
        <v>17</v>
      </c>
      <c r="C84" s="57">
        <f>C82/C78</f>
        <v>3.5903614457831323</v>
      </c>
      <c r="D84" s="10"/>
      <c r="E84" s="10"/>
      <c r="F84" s="5"/>
      <c r="G84" s="10"/>
      <c r="H84" s="94" t="s">
        <v>17</v>
      </c>
      <c r="I84" s="57">
        <f>I82/I78</f>
        <v>3.5903614457831323</v>
      </c>
      <c r="J84" s="10"/>
      <c r="K84" s="10"/>
      <c r="L84" s="5"/>
      <c r="M84" s="10"/>
      <c r="N84" s="94" t="s">
        <v>17</v>
      </c>
      <c r="O84" s="57">
        <f>O82/O78</f>
        <v>3.5903614457831323</v>
      </c>
      <c r="P84" s="10"/>
      <c r="Q84" s="10"/>
      <c r="R84" s="48"/>
      <c r="S84" s="10"/>
    </row>
    <row r="85" spans="2:19" ht="15" customHeight="1" x14ac:dyDescent="0.2">
      <c r="B85" s="14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6"/>
    </row>
    <row r="86" spans="2:19" ht="15" customHeight="1" x14ac:dyDescent="0.2">
      <c r="B86" s="14"/>
      <c r="C86" s="10"/>
      <c r="D86" s="26">
        <v>3.2</v>
      </c>
      <c r="E86" s="10" t="s">
        <v>0</v>
      </c>
      <c r="F86" s="10"/>
      <c r="G86" s="10"/>
      <c r="H86" s="10"/>
      <c r="I86" s="10"/>
      <c r="J86" s="26">
        <v>3.3</v>
      </c>
      <c r="K86" s="10" t="s">
        <v>0</v>
      </c>
      <c r="L86" s="10"/>
      <c r="M86" s="10"/>
      <c r="N86" s="10"/>
      <c r="O86" s="10"/>
      <c r="P86" s="10"/>
      <c r="Q86" s="10"/>
      <c r="R86" s="16"/>
    </row>
    <row r="87" spans="2:19" ht="15" customHeight="1" x14ac:dyDescent="0.2">
      <c r="B87" s="14"/>
      <c r="C87" s="10"/>
      <c r="D87" s="26">
        <v>7.34</v>
      </c>
      <c r="E87" s="10" t="s">
        <v>1</v>
      </c>
      <c r="F87" s="10"/>
      <c r="G87" s="10"/>
      <c r="H87" s="10"/>
      <c r="I87" s="10"/>
      <c r="J87" s="26">
        <v>7.77</v>
      </c>
      <c r="K87" s="10" t="s">
        <v>1</v>
      </c>
      <c r="L87" s="10"/>
      <c r="M87" s="10"/>
      <c r="N87" s="10"/>
      <c r="O87" s="10"/>
      <c r="P87" s="10"/>
      <c r="Q87" s="10"/>
      <c r="R87" s="16"/>
    </row>
    <row r="88" spans="2:19" ht="15" customHeight="1" x14ac:dyDescent="0.2">
      <c r="B88" s="14"/>
      <c r="C88" s="10"/>
      <c r="D88" s="26">
        <v>85</v>
      </c>
      <c r="E88" s="10" t="s">
        <v>8</v>
      </c>
      <c r="F88" s="10"/>
      <c r="G88" s="10"/>
      <c r="H88" s="10"/>
      <c r="I88" s="10"/>
      <c r="J88" s="26">
        <v>85</v>
      </c>
      <c r="K88" s="10" t="s">
        <v>8</v>
      </c>
      <c r="L88" s="10"/>
      <c r="M88" s="10"/>
      <c r="N88" s="10"/>
      <c r="O88" s="10"/>
      <c r="P88" s="10"/>
      <c r="Q88" s="10"/>
      <c r="R88" s="16"/>
    </row>
    <row r="89" spans="2:19" ht="15" customHeight="1" x14ac:dyDescent="0.2">
      <c r="B89" s="45" t="s">
        <v>9</v>
      </c>
      <c r="C89" s="110" t="s">
        <v>41</v>
      </c>
      <c r="D89" s="31" t="s">
        <v>10</v>
      </c>
      <c r="E89" s="30" t="s">
        <v>11</v>
      </c>
      <c r="F89" s="86" t="s">
        <v>12</v>
      </c>
      <c r="G89" s="10"/>
      <c r="H89" s="30" t="s">
        <v>9</v>
      </c>
      <c r="I89" s="110" t="s">
        <v>41</v>
      </c>
      <c r="J89" s="31" t="s">
        <v>10</v>
      </c>
      <c r="K89" s="30" t="s">
        <v>11</v>
      </c>
      <c r="L89" s="86" t="s">
        <v>12</v>
      </c>
      <c r="M89" s="10"/>
      <c r="N89" s="10"/>
      <c r="O89" s="10"/>
      <c r="P89" s="10"/>
      <c r="Q89" s="10"/>
      <c r="R89" s="16"/>
    </row>
    <row r="90" spans="2:19" ht="15" customHeight="1" x14ac:dyDescent="0.2">
      <c r="B90" s="47">
        <v>1</v>
      </c>
      <c r="C90" s="63">
        <f>$I39*(D$98/$J$47)</f>
        <v>57.49654073307957</v>
      </c>
      <c r="D90" s="140">
        <f>P73*1.0631</f>
        <v>-42.594577182081672</v>
      </c>
      <c r="E90" s="136">
        <f>SQRT(12*32.2*(D90/B90)^2/(4*$D$88*($D$87*56)*$D$86^2))</f>
        <v>0.69990869711044623</v>
      </c>
      <c r="F90" s="85">
        <f>(D90/C90)*-1</f>
        <v>0.740819823923349</v>
      </c>
      <c r="G90" s="10"/>
      <c r="H90" s="34">
        <v>1</v>
      </c>
      <c r="I90" s="63">
        <f>$I39*(J$98/$J$47)</f>
        <v>61.003829717797416</v>
      </c>
      <c r="J90" s="140">
        <f>D90*1.061</f>
        <v>-45.192846390188649</v>
      </c>
      <c r="K90" s="136">
        <f>SQRT(12*32.2*(J90/H90)^2/(4*$J$88*($J$87*56)*$J$86^2))</f>
        <v>0.6998908777238193</v>
      </c>
      <c r="L90" s="85">
        <f>(J90/I90)*-1</f>
        <v>0.740819823923349</v>
      </c>
      <c r="M90" s="10"/>
      <c r="N90" s="10"/>
      <c r="O90" s="10"/>
      <c r="P90" s="10"/>
      <c r="Q90" s="10"/>
      <c r="R90" s="16"/>
    </row>
    <row r="91" spans="2:19" ht="15" customHeight="1" x14ac:dyDescent="0.2">
      <c r="B91" s="47">
        <v>2</v>
      </c>
      <c r="C91" s="64">
        <f t="shared" ref="C91:C99" si="51">$I40*(D$98/$J$47)</f>
        <v>79.057743507984398</v>
      </c>
      <c r="D91" s="141">
        <f t="shared" ref="D91:D99" si="52">P74*1.0631</f>
        <v>-85.189154364163343</v>
      </c>
      <c r="E91" s="137">
        <f t="shared" ref="E91:E99" si="53">SQRT(12*32.2*(D91/B91)^2/(4*$D$88*($D$87*56)*$D$86^2))</f>
        <v>0.69990869711044623</v>
      </c>
      <c r="F91" s="87">
        <f t="shared" ref="F91:F99" si="54">(D91/C91)*-1</f>
        <v>1.0775561075248714</v>
      </c>
      <c r="G91" s="10"/>
      <c r="H91" s="34">
        <v>2</v>
      </c>
      <c r="I91" s="64">
        <f t="shared" ref="I91:I99" si="55">$I40*(J$98/$J$47)</f>
        <v>83.880265861971452</v>
      </c>
      <c r="J91" s="141">
        <f t="shared" ref="J91:J99" si="56">D91*1.061</f>
        <v>-90.385692780377298</v>
      </c>
      <c r="K91" s="137">
        <f t="shared" ref="K91:K99" si="57">SQRT(12*32.2*(J91/H91)^2/(4*$J$88*($J$87*56)*$J$86^2))</f>
        <v>0.6998908777238193</v>
      </c>
      <c r="L91" s="87">
        <f t="shared" ref="L91:L99" si="58">(J91/I91)*-1</f>
        <v>1.0775561075248712</v>
      </c>
      <c r="M91" s="10"/>
      <c r="N91" s="10"/>
      <c r="O91" s="10"/>
      <c r="P91" s="10"/>
      <c r="Q91" s="10"/>
      <c r="R91" s="16"/>
    </row>
    <row r="92" spans="2:19" ht="15" customHeight="1" x14ac:dyDescent="0.2">
      <c r="B92" s="47">
        <v>3</v>
      </c>
      <c r="C92" s="63">
        <f t="shared" si="51"/>
        <v>102.05635980121623</v>
      </c>
      <c r="D92" s="140">
        <f t="shared" si="52"/>
        <v>-127.80046811881161</v>
      </c>
      <c r="E92" s="136">
        <f t="shared" si="53"/>
        <v>0.70000036819061762</v>
      </c>
      <c r="F92" s="85">
        <f t="shared" si="54"/>
        <v>1.2522538366814115</v>
      </c>
      <c r="G92" s="10"/>
      <c r="H92" s="34">
        <v>3</v>
      </c>
      <c r="I92" s="63">
        <f t="shared" si="55"/>
        <v>108.28179774909042</v>
      </c>
      <c r="J92" s="140">
        <f t="shared" si="56"/>
        <v>-135.59629667405912</v>
      </c>
      <c r="K92" s="136">
        <f t="shared" si="57"/>
        <v>0.69998254647008296</v>
      </c>
      <c r="L92" s="85">
        <f t="shared" si="58"/>
        <v>1.2522538366814118</v>
      </c>
      <c r="M92" s="10"/>
      <c r="N92" s="10"/>
      <c r="O92" s="10"/>
      <c r="P92" s="10"/>
      <c r="Q92" s="10"/>
      <c r="R92" s="16"/>
    </row>
    <row r="93" spans="2:19" ht="15" customHeight="1" x14ac:dyDescent="0.2">
      <c r="B93" s="47">
        <v>4</v>
      </c>
      <c r="C93" s="63">
        <f t="shared" si="51"/>
        <v>123.61756257612107</v>
      </c>
      <c r="D93" s="140">
        <f t="shared" si="52"/>
        <v>-170.39504530089334</v>
      </c>
      <c r="E93" s="136">
        <f t="shared" si="53"/>
        <v>0.69997745042057513</v>
      </c>
      <c r="F93" s="85">
        <f t="shared" si="54"/>
        <v>1.3784048297827236</v>
      </c>
      <c r="G93" s="10"/>
      <c r="H93" s="34">
        <v>4</v>
      </c>
      <c r="I93" s="63">
        <f t="shared" si="55"/>
        <v>131.15823389326445</v>
      </c>
      <c r="J93" s="140">
        <f t="shared" si="56"/>
        <v>-180.78914306424784</v>
      </c>
      <c r="K93" s="136">
        <f t="shared" si="57"/>
        <v>0.69995962928351729</v>
      </c>
      <c r="L93" s="85">
        <f t="shared" si="58"/>
        <v>1.3784048297827236</v>
      </c>
      <c r="M93" s="10"/>
      <c r="N93" s="10"/>
      <c r="O93" s="10"/>
      <c r="P93" s="10"/>
      <c r="Q93" s="10"/>
      <c r="R93" s="16"/>
    </row>
    <row r="94" spans="2:19" ht="15" customHeight="1" x14ac:dyDescent="0.2">
      <c r="B94" s="47">
        <v>5</v>
      </c>
      <c r="C94" s="64">
        <f t="shared" si="51"/>
        <v>145.1787653510259</v>
      </c>
      <c r="D94" s="141">
        <f t="shared" si="52"/>
        <v>-213.00635905554165</v>
      </c>
      <c r="E94" s="137">
        <f t="shared" si="53"/>
        <v>0.70001870240665243</v>
      </c>
      <c r="F94" s="87">
        <f t="shared" si="54"/>
        <v>1.4672005133844215</v>
      </c>
      <c r="G94" s="10"/>
      <c r="H94" s="34">
        <v>5</v>
      </c>
      <c r="I94" s="64">
        <f t="shared" si="55"/>
        <v>154.03467003743847</v>
      </c>
      <c r="J94" s="141">
        <f t="shared" si="56"/>
        <v>-225.99974695792969</v>
      </c>
      <c r="K94" s="137">
        <f t="shared" si="57"/>
        <v>0.70000088021933593</v>
      </c>
      <c r="L94" s="87">
        <f t="shared" si="58"/>
        <v>1.4672005133844215</v>
      </c>
      <c r="M94" s="10"/>
      <c r="N94" s="10"/>
      <c r="O94" s="10"/>
      <c r="P94" s="10"/>
      <c r="Q94" s="10"/>
      <c r="R94" s="16"/>
    </row>
    <row r="95" spans="2:19" ht="15" customHeight="1" x14ac:dyDescent="0.2">
      <c r="B95" s="47">
        <v>10</v>
      </c>
      <c r="C95" s="63">
        <f t="shared" si="51"/>
        <v>238.6106440422802</v>
      </c>
      <c r="D95" s="140">
        <f t="shared" si="52"/>
        <v>-425.99598153851667</v>
      </c>
      <c r="E95" s="136">
        <f t="shared" si="53"/>
        <v>0.69999120108260082</v>
      </c>
      <c r="F95" s="85">
        <f t="shared" si="54"/>
        <v>1.7853184347594864</v>
      </c>
      <c r="G95" s="10"/>
      <c r="H95" s="34">
        <v>10</v>
      </c>
      <c r="I95" s="63">
        <f t="shared" si="55"/>
        <v>253.16589332885928</v>
      </c>
      <c r="J95" s="140">
        <f t="shared" si="56"/>
        <v>-451.98173641236616</v>
      </c>
      <c r="K95" s="136">
        <f t="shared" si="57"/>
        <v>0.69997337959545669</v>
      </c>
      <c r="L95" s="85">
        <f t="shared" si="58"/>
        <v>1.7853184347594864</v>
      </c>
      <c r="M95" s="10"/>
      <c r="N95" s="10"/>
      <c r="O95" s="10"/>
      <c r="P95" s="10"/>
      <c r="Q95" s="10"/>
      <c r="R95" s="16"/>
    </row>
    <row r="96" spans="2:19" ht="15" customHeight="1" x14ac:dyDescent="0.2">
      <c r="B96" s="47">
        <v>20</v>
      </c>
      <c r="C96" s="63">
        <f t="shared" si="51"/>
        <v>392.41389050326802</v>
      </c>
      <c r="D96" s="140">
        <f t="shared" si="52"/>
        <v>-851.97522650446672</v>
      </c>
      <c r="E96" s="136">
        <f t="shared" si="53"/>
        <v>0.69997745042057513</v>
      </c>
      <c r="F96" s="85">
        <f t="shared" si="54"/>
        <v>2.1711138344563046</v>
      </c>
      <c r="G96" s="10"/>
      <c r="H96" s="34">
        <v>20</v>
      </c>
      <c r="I96" s="63">
        <f t="shared" si="55"/>
        <v>416.35113782396735</v>
      </c>
      <c r="J96" s="140">
        <f t="shared" si="56"/>
        <v>-903.94571532123916</v>
      </c>
      <c r="K96" s="136">
        <f t="shared" si="57"/>
        <v>0.69995962928351729</v>
      </c>
      <c r="L96" s="85">
        <f t="shared" si="58"/>
        <v>2.1711138344563046</v>
      </c>
      <c r="M96" s="10"/>
      <c r="N96" s="10"/>
      <c r="O96" s="10"/>
      <c r="P96" s="10"/>
      <c r="Q96" s="10"/>
      <c r="R96" s="16"/>
    </row>
    <row r="97" spans="2:18" ht="15" customHeight="1" x14ac:dyDescent="0.2">
      <c r="B97" s="47">
        <v>30</v>
      </c>
      <c r="C97" s="63">
        <f t="shared" si="51"/>
        <v>547.65455048258286</v>
      </c>
      <c r="D97" s="140">
        <f t="shared" si="52"/>
        <v>-1278.0046811881166</v>
      </c>
      <c r="E97" s="136">
        <f t="shared" si="53"/>
        <v>0.70000036819061806</v>
      </c>
      <c r="F97" s="85">
        <f t="shared" si="54"/>
        <v>2.3335963885664111</v>
      </c>
      <c r="G97" s="10"/>
      <c r="H97" s="34">
        <v>30</v>
      </c>
      <c r="I97" s="63">
        <f t="shared" si="55"/>
        <v>581.06147806202046</v>
      </c>
      <c r="J97" s="140">
        <f t="shared" si="56"/>
        <v>-1355.9629667405916</v>
      </c>
      <c r="K97" s="136">
        <f t="shared" si="57"/>
        <v>0.69998254647008307</v>
      </c>
      <c r="L97" s="85">
        <f t="shared" si="58"/>
        <v>2.3335963885664106</v>
      </c>
      <c r="M97" s="10"/>
      <c r="N97" s="10"/>
      <c r="O97" s="10"/>
      <c r="P97" s="10"/>
      <c r="Q97" s="10"/>
      <c r="R97" s="16"/>
    </row>
    <row r="98" spans="2:18" ht="15" customHeight="1" x14ac:dyDescent="0.2">
      <c r="B98" s="47">
        <v>40</v>
      </c>
      <c r="C98" s="64">
        <f t="shared" si="51"/>
        <v>702.8952104618977</v>
      </c>
      <c r="D98" s="141">
        <f t="shared" si="52"/>
        <v>-1703.9504530089334</v>
      </c>
      <c r="E98" s="137">
        <f t="shared" si="53"/>
        <v>0.69997745042057513</v>
      </c>
      <c r="F98" s="87">
        <f t="shared" si="54"/>
        <v>2.42418845319661</v>
      </c>
      <c r="G98" s="10"/>
      <c r="H98" s="34">
        <v>40</v>
      </c>
      <c r="I98" s="64">
        <f t="shared" si="55"/>
        <v>745.77181830007339</v>
      </c>
      <c r="J98" s="141">
        <f t="shared" si="56"/>
        <v>-1807.8914306424783</v>
      </c>
      <c r="K98" s="137">
        <f t="shared" si="57"/>
        <v>0.69995962928351729</v>
      </c>
      <c r="L98" s="87">
        <f t="shared" si="58"/>
        <v>2.42418845319661</v>
      </c>
      <c r="M98" s="10"/>
      <c r="N98" s="10"/>
      <c r="O98" s="10"/>
      <c r="P98" s="10"/>
      <c r="Q98" s="10"/>
      <c r="R98" s="16"/>
    </row>
    <row r="99" spans="2:18" ht="15" customHeight="1" x14ac:dyDescent="0.2">
      <c r="B99" s="47">
        <v>50</v>
      </c>
      <c r="C99" s="63">
        <f t="shared" si="51"/>
        <v>856.6984569228855</v>
      </c>
      <c r="D99" s="140">
        <f t="shared" si="52"/>
        <v>-2129.9129614023159</v>
      </c>
      <c r="E99" s="136">
        <f t="shared" si="53"/>
        <v>0.69996920002335927</v>
      </c>
      <c r="F99" s="85">
        <f t="shared" si="54"/>
        <v>2.4861874609329861</v>
      </c>
      <c r="G99" s="10"/>
      <c r="H99" s="34">
        <v>50</v>
      </c>
      <c r="I99" s="63">
        <f t="shared" si="55"/>
        <v>908.95706279518151</v>
      </c>
      <c r="J99" s="140">
        <f t="shared" si="56"/>
        <v>-2259.8376520478569</v>
      </c>
      <c r="K99" s="136">
        <f t="shared" si="57"/>
        <v>0.69995137909635308</v>
      </c>
      <c r="L99" s="85">
        <f t="shared" si="58"/>
        <v>2.4861874609329857</v>
      </c>
      <c r="M99" s="10"/>
      <c r="N99" s="10"/>
      <c r="O99" s="10"/>
      <c r="P99" s="10"/>
      <c r="Q99" s="10"/>
      <c r="R99" s="16"/>
    </row>
    <row r="100" spans="2:18" ht="15" customHeight="1" x14ac:dyDescent="0.2">
      <c r="B100" s="89" t="s">
        <v>18</v>
      </c>
      <c r="C100" s="10"/>
      <c r="D100" s="59">
        <f>D98/D95</f>
        <v>3.9999214238007306</v>
      </c>
      <c r="E100" s="10"/>
      <c r="F100" s="5"/>
      <c r="G100" s="10"/>
      <c r="H100" s="93" t="s">
        <v>18</v>
      </c>
      <c r="I100" s="10"/>
      <c r="J100" s="59">
        <f>J98/J95</f>
        <v>3.999921423800731</v>
      </c>
      <c r="K100" s="10"/>
      <c r="L100" s="5"/>
      <c r="M100" s="10"/>
      <c r="N100" s="10"/>
      <c r="O100" s="10"/>
      <c r="P100" s="10"/>
      <c r="Q100" s="10"/>
      <c r="R100" s="16"/>
    </row>
    <row r="101" spans="2:18" ht="15" customHeight="1" x14ac:dyDescent="0.2">
      <c r="B101" s="95" t="s">
        <v>17</v>
      </c>
      <c r="C101" s="96">
        <f>C99/C95</f>
        <v>3.5903614457831323</v>
      </c>
      <c r="D101" s="3"/>
      <c r="E101" s="3"/>
      <c r="F101" s="51"/>
      <c r="G101" s="3"/>
      <c r="H101" s="124" t="s">
        <v>17</v>
      </c>
      <c r="I101" s="96">
        <f>I99/I95</f>
        <v>3.5903614457831323</v>
      </c>
      <c r="J101" s="3"/>
      <c r="K101" s="3"/>
      <c r="L101" s="51"/>
      <c r="M101" s="3"/>
      <c r="N101" s="3"/>
      <c r="O101" s="3"/>
      <c r="P101" s="3"/>
      <c r="Q101" s="3"/>
      <c r="R101" s="8"/>
    </row>
    <row r="102" spans="2:18" ht="15" customHeight="1" x14ac:dyDescent="0.2">
      <c r="H102" s="14"/>
      <c r="I102" s="10"/>
      <c r="J102" s="10"/>
      <c r="K102" s="10"/>
      <c r="L102" s="10"/>
      <c r="M102" s="10"/>
      <c r="N102" s="10"/>
      <c r="O102" s="10"/>
      <c r="P102" s="10"/>
      <c r="Q102" s="10"/>
      <c r="R102" s="16"/>
    </row>
    <row r="103" spans="2:18" ht="15" customHeight="1" x14ac:dyDescent="0.2">
      <c r="H103" s="55" t="s">
        <v>33</v>
      </c>
      <c r="I103" s="10"/>
      <c r="J103" s="10"/>
      <c r="K103" s="10"/>
      <c r="L103" s="10"/>
      <c r="M103" s="10"/>
      <c r="N103" s="10"/>
      <c r="O103" s="10"/>
      <c r="P103" s="10"/>
      <c r="Q103" s="10"/>
      <c r="R103" s="16"/>
    </row>
    <row r="104" spans="2:18" ht="15" customHeight="1" x14ac:dyDescent="0.2">
      <c r="H104" s="55" t="s">
        <v>34</v>
      </c>
      <c r="I104" s="10"/>
      <c r="J104" s="10"/>
      <c r="K104" s="10"/>
      <c r="L104" s="10"/>
      <c r="M104" s="10"/>
      <c r="N104" s="10"/>
      <c r="O104" s="10"/>
      <c r="P104" s="10"/>
      <c r="Q104" s="10"/>
      <c r="R104" s="16"/>
    </row>
    <row r="105" spans="2:18" ht="15" customHeight="1" x14ac:dyDescent="0.2">
      <c r="H105" s="55" t="s">
        <v>35</v>
      </c>
      <c r="I105" s="10"/>
      <c r="J105" s="10"/>
      <c r="K105" s="10"/>
      <c r="L105" s="10"/>
      <c r="M105" s="10"/>
      <c r="N105" s="10"/>
      <c r="O105" s="10"/>
      <c r="P105" s="10"/>
      <c r="Q105" s="10"/>
      <c r="R105" s="16"/>
    </row>
    <row r="106" spans="2:18" ht="15" customHeight="1" x14ac:dyDescent="0.2">
      <c r="H106" s="91"/>
      <c r="I106" s="10"/>
      <c r="J106" s="10"/>
      <c r="K106" s="10"/>
      <c r="L106" s="10"/>
      <c r="M106" s="10"/>
      <c r="N106" s="10"/>
      <c r="O106" s="10"/>
      <c r="P106" s="10"/>
      <c r="Q106" s="10"/>
      <c r="R106" s="16"/>
    </row>
    <row r="107" spans="2:18" ht="15" customHeight="1" x14ac:dyDescent="0.2">
      <c r="H107" s="92" t="s">
        <v>21</v>
      </c>
      <c r="I107" s="10"/>
      <c r="J107" s="10"/>
      <c r="K107" s="10"/>
      <c r="L107" s="10"/>
      <c r="M107" s="10"/>
      <c r="N107" s="10"/>
      <c r="O107" s="10"/>
      <c r="P107" s="10"/>
      <c r="Q107" s="10"/>
      <c r="R107" s="16"/>
    </row>
    <row r="108" spans="2:18" ht="15" customHeight="1" x14ac:dyDescent="0.2">
      <c r="H108" s="91" t="s">
        <v>30</v>
      </c>
      <c r="I108" s="10"/>
      <c r="J108" s="10"/>
      <c r="K108" s="10"/>
      <c r="L108" s="10"/>
      <c r="M108" s="10"/>
      <c r="N108" s="10"/>
      <c r="O108" s="10"/>
      <c r="P108" s="10"/>
      <c r="Q108" s="10"/>
      <c r="R108" s="16"/>
    </row>
    <row r="109" spans="2:18" ht="15" customHeight="1" x14ac:dyDescent="0.2">
      <c r="H109" s="14"/>
      <c r="I109" s="10"/>
      <c r="J109" s="10"/>
      <c r="K109" s="10"/>
      <c r="L109" s="10"/>
      <c r="M109" s="10"/>
      <c r="N109" s="10"/>
      <c r="O109" s="10"/>
      <c r="P109" s="10"/>
      <c r="Q109" s="10"/>
      <c r="R109" s="16"/>
    </row>
    <row r="110" spans="2:18" ht="15" customHeight="1" x14ac:dyDescent="0.2">
      <c r="H110" s="14"/>
      <c r="I110" s="10"/>
      <c r="J110" s="10"/>
      <c r="K110" s="10"/>
      <c r="L110" s="10"/>
      <c r="M110" s="10"/>
      <c r="N110" s="10"/>
      <c r="O110" s="10"/>
      <c r="P110" s="10"/>
      <c r="Q110" s="10"/>
      <c r="R110" s="16"/>
    </row>
    <row r="111" spans="2:18" ht="15" customHeight="1" x14ac:dyDescent="0.2">
      <c r="H111" s="14"/>
      <c r="I111" s="10"/>
      <c r="J111" s="10"/>
      <c r="K111" s="10"/>
      <c r="L111" s="10"/>
      <c r="M111" s="10"/>
      <c r="N111" s="10"/>
      <c r="O111" s="10"/>
      <c r="P111" s="10"/>
      <c r="Q111" s="10"/>
      <c r="R111" s="16"/>
    </row>
    <row r="112" spans="2:18" ht="15" customHeight="1" x14ac:dyDescent="0.2">
      <c r="H112" s="14"/>
      <c r="I112" s="10"/>
      <c r="J112" s="10"/>
      <c r="K112" s="10"/>
      <c r="L112" s="10"/>
      <c r="M112" s="10"/>
      <c r="N112" s="10"/>
      <c r="O112" s="10"/>
      <c r="P112" s="10"/>
      <c r="Q112" s="10"/>
      <c r="R112" s="16"/>
    </row>
    <row r="113" spans="2:18" ht="15" customHeight="1" x14ac:dyDescent="0.2">
      <c r="H113" s="14"/>
      <c r="I113" s="10"/>
      <c r="J113" s="10"/>
      <c r="K113" s="10"/>
      <c r="L113" s="10"/>
      <c r="M113" s="10"/>
      <c r="N113" s="10"/>
      <c r="O113" s="10"/>
      <c r="P113" s="10"/>
      <c r="Q113" s="10"/>
      <c r="R113" s="16"/>
    </row>
    <row r="114" spans="2:18" ht="15" customHeight="1" x14ac:dyDescent="0.2">
      <c r="H114" s="7"/>
      <c r="I114" s="3"/>
      <c r="J114" s="3"/>
      <c r="K114" s="3"/>
      <c r="L114" s="3"/>
      <c r="M114" s="3"/>
      <c r="N114" s="3"/>
      <c r="O114" s="3"/>
      <c r="P114" s="3"/>
      <c r="Q114" s="3"/>
      <c r="R114" s="8"/>
    </row>
    <row r="115" spans="2:18" ht="15" customHeight="1" x14ac:dyDescent="0.2"/>
    <row r="116" spans="2:18" ht="15" customHeight="1" x14ac:dyDescent="0.2"/>
    <row r="117" spans="2:18" ht="15" customHeight="1" x14ac:dyDescent="0.2">
      <c r="D117" s="102">
        <v>3.8658000000000001</v>
      </c>
    </row>
    <row r="118" spans="2:18" ht="15" customHeight="1" x14ac:dyDescent="0.2">
      <c r="D118" s="102">
        <v>-5.0534999999999997</v>
      </c>
    </row>
    <row r="119" spans="2:18" ht="15" customHeight="1" x14ac:dyDescent="0.2">
      <c r="D119" s="102"/>
    </row>
    <row r="120" spans="2:18" ht="15" customHeight="1" x14ac:dyDescent="0.2">
      <c r="B120" s="19" t="s">
        <v>2</v>
      </c>
      <c r="C120" s="28" t="s">
        <v>77</v>
      </c>
      <c r="D120" s="152" t="s">
        <v>76</v>
      </c>
      <c r="G120" s="41">
        <v>2.4500000000000002</v>
      </c>
      <c r="H120" s="15" t="s">
        <v>72</v>
      </c>
    </row>
    <row r="121" spans="2:18" ht="15" customHeight="1" x14ac:dyDescent="0.2">
      <c r="B121" s="5">
        <v>2.4500000000000002</v>
      </c>
      <c r="C121" s="6">
        <v>4.47</v>
      </c>
      <c r="D121" s="153">
        <f>(D$117*B121)+(D$118)</f>
        <v>4.4177100000000014</v>
      </c>
      <c r="G121" s="154">
        <v>4.4000000000000004</v>
      </c>
      <c r="H121" t="s">
        <v>74</v>
      </c>
    </row>
    <row r="122" spans="2:18" ht="15" customHeight="1" x14ac:dyDescent="0.2">
      <c r="B122" s="5">
        <v>2.5</v>
      </c>
      <c r="C122" s="6">
        <v>4.6500000000000004</v>
      </c>
      <c r="D122" s="153">
        <f t="shared" ref="D122:D134" si="59">(D$117*B122)+(D$118)</f>
        <v>4.6110000000000007</v>
      </c>
      <c r="G122" s="155">
        <v>2.9</v>
      </c>
      <c r="H122" s="10" t="s">
        <v>73</v>
      </c>
    </row>
    <row r="123" spans="2:18" ht="15" customHeight="1" x14ac:dyDescent="0.2">
      <c r="B123" s="5">
        <v>2.5499999999999998</v>
      </c>
      <c r="C123" s="6">
        <v>4.82</v>
      </c>
      <c r="D123" s="153">
        <f t="shared" si="59"/>
        <v>4.8042899999999999</v>
      </c>
      <c r="G123" s="156">
        <f>G122/G120</f>
        <v>1.1836734693877551</v>
      </c>
      <c r="H123" s="10" t="s">
        <v>71</v>
      </c>
    </row>
    <row r="124" spans="2:18" ht="15" customHeight="1" x14ac:dyDescent="0.2">
      <c r="B124" s="5">
        <v>2.6</v>
      </c>
      <c r="C124" s="6">
        <v>5</v>
      </c>
      <c r="D124" s="153">
        <f t="shared" si="59"/>
        <v>4.997580000000001</v>
      </c>
      <c r="G124" s="41">
        <f>G121*G123</f>
        <v>5.2081632653061227</v>
      </c>
      <c r="H124" s="151" t="s">
        <v>75</v>
      </c>
    </row>
    <row r="125" spans="2:18" ht="15" customHeight="1" x14ac:dyDescent="0.2">
      <c r="B125" s="5">
        <v>2.65</v>
      </c>
      <c r="C125" s="6">
        <v>5.18</v>
      </c>
      <c r="D125" s="153">
        <f t="shared" si="59"/>
        <v>5.1908700000000003</v>
      </c>
      <c r="G125" s="154"/>
    </row>
    <row r="126" spans="2:18" ht="15" customHeight="1" x14ac:dyDescent="0.2">
      <c r="B126" s="5">
        <v>2.7</v>
      </c>
      <c r="C126" s="6">
        <v>5.36</v>
      </c>
      <c r="D126" s="153">
        <f t="shared" si="59"/>
        <v>5.3841600000000014</v>
      </c>
      <c r="G126">
        <f>G124*9.8</f>
        <v>51.040000000000006</v>
      </c>
      <c r="H126" s="104" t="s">
        <v>78</v>
      </c>
    </row>
    <row r="127" spans="2:18" ht="15" customHeight="1" x14ac:dyDescent="0.2">
      <c r="B127" s="5">
        <v>2.75</v>
      </c>
      <c r="C127" s="6">
        <v>5.55</v>
      </c>
      <c r="D127" s="153">
        <f t="shared" si="59"/>
        <v>5.5774500000000007</v>
      </c>
    </row>
    <row r="128" spans="2:18" ht="15" customHeight="1" x14ac:dyDescent="0.2">
      <c r="B128" s="5">
        <v>2.8</v>
      </c>
      <c r="C128" s="6">
        <v>5.74</v>
      </c>
      <c r="D128" s="153">
        <f t="shared" si="59"/>
        <v>5.77074</v>
      </c>
    </row>
    <row r="129" spans="1:6" ht="15" customHeight="1" x14ac:dyDescent="0.2">
      <c r="B129" s="5">
        <v>2.85</v>
      </c>
      <c r="C129" s="6">
        <v>5.93</v>
      </c>
      <c r="D129" s="153">
        <f t="shared" si="59"/>
        <v>5.9640300000000011</v>
      </c>
    </row>
    <row r="130" spans="1:6" ht="15" customHeight="1" x14ac:dyDescent="0.2">
      <c r="B130" s="5">
        <v>2.9</v>
      </c>
      <c r="C130" s="6">
        <v>6.12</v>
      </c>
      <c r="D130" s="153">
        <f t="shared" si="59"/>
        <v>6.1573200000000003</v>
      </c>
    </row>
    <row r="131" spans="1:6" ht="15" customHeight="1" x14ac:dyDescent="0.2">
      <c r="B131" s="5">
        <v>3</v>
      </c>
      <c r="C131" s="6">
        <v>6.52</v>
      </c>
      <c r="D131" s="153">
        <f t="shared" si="59"/>
        <v>6.5439000000000007</v>
      </c>
    </row>
    <row r="132" spans="1:6" ht="15" customHeight="1" x14ac:dyDescent="0.2">
      <c r="B132" s="5">
        <v>3.1</v>
      </c>
      <c r="C132" s="6">
        <v>6.92</v>
      </c>
      <c r="D132" s="153">
        <f t="shared" si="59"/>
        <v>6.9304800000000011</v>
      </c>
    </row>
    <row r="133" spans="1:6" ht="15" customHeight="1" x14ac:dyDescent="0.2">
      <c r="B133" s="5">
        <v>3.2</v>
      </c>
      <c r="C133" s="6">
        <v>7.34</v>
      </c>
      <c r="D133" s="153">
        <f t="shared" si="59"/>
        <v>7.3170600000000015</v>
      </c>
    </row>
    <row r="134" spans="1:6" ht="15" customHeight="1" x14ac:dyDescent="0.2">
      <c r="B134" s="5">
        <v>3.3</v>
      </c>
      <c r="C134" s="6">
        <v>7.77</v>
      </c>
      <c r="D134" s="153">
        <f t="shared" si="59"/>
        <v>7.70364</v>
      </c>
    </row>
    <row r="135" spans="1:6" ht="15" customHeight="1" x14ac:dyDescent="0.2">
      <c r="D135" s="102"/>
    </row>
    <row r="136" spans="1:6" ht="15" customHeight="1" x14ac:dyDescent="0.2"/>
    <row r="137" spans="1:6" ht="15" customHeight="1" x14ac:dyDescent="0.2"/>
    <row r="138" spans="1:6" ht="15" customHeight="1" x14ac:dyDescent="0.2"/>
    <row r="139" spans="1:6" ht="15" customHeight="1" x14ac:dyDescent="0.2"/>
    <row r="140" spans="1:6" ht="15" customHeight="1" x14ac:dyDescent="0.2">
      <c r="B140" s="157" t="s">
        <v>79</v>
      </c>
    </row>
    <row r="141" spans="1:6" ht="15" customHeight="1" x14ac:dyDescent="0.2"/>
    <row r="142" spans="1:6" ht="15" customHeight="1" x14ac:dyDescent="0.2">
      <c r="B142" s="18">
        <v>2.4500000000000002</v>
      </c>
      <c r="C142" s="15" t="s">
        <v>70</v>
      </c>
      <c r="E142" s="101" t="s">
        <v>57</v>
      </c>
      <c r="F142" s="10"/>
    </row>
    <row r="143" spans="1:6" ht="15" customHeight="1" x14ac:dyDescent="0.2">
      <c r="B143" s="18">
        <v>4.47</v>
      </c>
      <c r="C143" s="10" t="s">
        <v>1</v>
      </c>
      <c r="F143" s="10"/>
    </row>
    <row r="144" spans="1:6" ht="15" customHeight="1" x14ac:dyDescent="0.2">
      <c r="A144" t="s">
        <v>53</v>
      </c>
      <c r="B144" s="18">
        <v>85</v>
      </c>
      <c r="C144" s="15" t="s">
        <v>8</v>
      </c>
      <c r="F144" s="10"/>
    </row>
    <row r="145" spans="1:6" ht="15" customHeight="1" x14ac:dyDescent="0.2">
      <c r="A145" t="s">
        <v>54</v>
      </c>
      <c r="C145" s="10"/>
      <c r="D145" s="129"/>
      <c r="E145" s="10"/>
      <c r="F145" s="10"/>
    </row>
    <row r="146" spans="1:6" ht="15" customHeight="1" x14ac:dyDescent="0.2">
      <c r="A146" t="s">
        <v>55</v>
      </c>
      <c r="C146" s="131"/>
      <c r="D146" s="130">
        <v>1</v>
      </c>
      <c r="E146" s="10"/>
      <c r="F146" s="10"/>
    </row>
    <row r="147" spans="1:6" ht="15" customHeight="1" x14ac:dyDescent="0.2">
      <c r="A147" t="s">
        <v>56</v>
      </c>
      <c r="B147" s="2" t="s">
        <v>10</v>
      </c>
      <c r="C147" s="19" t="s">
        <v>9</v>
      </c>
      <c r="D147" s="19" t="s">
        <v>10</v>
      </c>
      <c r="E147" s="28" t="s">
        <v>13</v>
      </c>
      <c r="F147" s="19" t="s">
        <v>11</v>
      </c>
    </row>
    <row r="148" spans="1:6" ht="15" customHeight="1" x14ac:dyDescent="0.2">
      <c r="B148" s="138">
        <v>-25.45</v>
      </c>
      <c r="C148" s="17">
        <v>1</v>
      </c>
      <c r="D148" s="140">
        <f>B148*$D$146</f>
        <v>-25.45</v>
      </c>
      <c r="E148" s="39">
        <f>D148/C148</f>
        <v>-25.45</v>
      </c>
      <c r="F148" s="145">
        <f>SQRT(12*32.2*E148^2/(4*$B$144*($B$143*56)*$B$142^2))</f>
        <v>0.69992745230334086</v>
      </c>
    </row>
    <row r="149" spans="1:6" ht="15" customHeight="1" x14ac:dyDescent="0.2">
      <c r="B149" s="139">
        <f>-50.9</f>
        <v>-50.9</v>
      </c>
      <c r="C149" s="36">
        <v>2</v>
      </c>
      <c r="D149" s="140">
        <f t="shared" ref="D149:D157" si="60">B149*$D$146</f>
        <v>-50.9</v>
      </c>
      <c r="E149" s="40">
        <f t="shared" ref="E149:E157" si="61">D149/C149</f>
        <v>-25.45</v>
      </c>
      <c r="F149" s="145">
        <f t="shared" ref="F149:F157" si="62">SQRT(12*32.2*E149^2/(4*$B$144*($B$143*56)*$B$142^2))</f>
        <v>0.69992745230334086</v>
      </c>
    </row>
    <row r="150" spans="1:6" ht="15" customHeight="1" x14ac:dyDescent="0.2">
      <c r="B150" s="138">
        <v>-76.36</v>
      </c>
      <c r="C150" s="17">
        <v>3</v>
      </c>
      <c r="D150" s="140">
        <f t="shared" si="60"/>
        <v>-76.36</v>
      </c>
      <c r="E150" s="39">
        <f t="shared" si="61"/>
        <v>-25.453333333333333</v>
      </c>
      <c r="F150" s="145">
        <f t="shared" si="62"/>
        <v>0.70001912583998827</v>
      </c>
    </row>
    <row r="151" spans="1:6" ht="15" customHeight="1" x14ac:dyDescent="0.2">
      <c r="B151" s="138">
        <v>-101.81</v>
      </c>
      <c r="C151" s="17">
        <v>4</v>
      </c>
      <c r="D151" s="140">
        <f t="shared" si="60"/>
        <v>-101.81</v>
      </c>
      <c r="E151" s="39">
        <f t="shared" si="61"/>
        <v>-25.452500000000001</v>
      </c>
      <c r="F151" s="145">
        <f t="shared" si="62"/>
        <v>0.69999620745582647</v>
      </c>
    </row>
    <row r="152" spans="1:6" ht="15" customHeight="1" x14ac:dyDescent="0.2">
      <c r="B152" s="139">
        <v>-127.27</v>
      </c>
      <c r="C152" s="36">
        <v>5</v>
      </c>
      <c r="D152" s="140">
        <f t="shared" si="60"/>
        <v>-127.27</v>
      </c>
      <c r="E152" s="40">
        <f t="shared" si="61"/>
        <v>-25.454000000000001</v>
      </c>
      <c r="F152" s="145">
        <f t="shared" si="62"/>
        <v>0.70003746054731775</v>
      </c>
    </row>
    <row r="153" spans="1:6" ht="15" customHeight="1" x14ac:dyDescent="0.2">
      <c r="B153" s="138">
        <v>-254.53</v>
      </c>
      <c r="C153" s="17">
        <v>10</v>
      </c>
      <c r="D153" s="140">
        <f t="shared" si="60"/>
        <v>-254.53</v>
      </c>
      <c r="E153" s="39">
        <f t="shared" si="61"/>
        <v>-25.452999999999999</v>
      </c>
      <c r="F153" s="145">
        <f t="shared" si="62"/>
        <v>0.70000995848632352</v>
      </c>
    </row>
    <row r="154" spans="1:6" ht="15" customHeight="1" x14ac:dyDescent="0.2">
      <c r="B154" s="138">
        <v>-509.05</v>
      </c>
      <c r="C154" s="17">
        <v>20</v>
      </c>
      <c r="D154" s="140">
        <f t="shared" si="60"/>
        <v>-509.05</v>
      </c>
      <c r="E154" s="39">
        <f t="shared" si="61"/>
        <v>-25.452500000000001</v>
      </c>
      <c r="F154" s="145">
        <f t="shared" si="62"/>
        <v>0.69999620745582647</v>
      </c>
    </row>
    <row r="155" spans="1:6" ht="15" customHeight="1" x14ac:dyDescent="0.2">
      <c r="B155" s="138">
        <v>-763.6</v>
      </c>
      <c r="C155" s="17">
        <v>30</v>
      </c>
      <c r="D155" s="140">
        <f t="shared" si="60"/>
        <v>-763.6</v>
      </c>
      <c r="E155" s="39">
        <f t="shared" si="61"/>
        <v>-25.453333333333333</v>
      </c>
      <c r="F155" s="145">
        <f t="shared" si="62"/>
        <v>0.70001912583998827</v>
      </c>
    </row>
    <row r="156" spans="1:6" ht="15" customHeight="1" x14ac:dyDescent="0.2">
      <c r="B156" s="139">
        <v>-1018.1</v>
      </c>
      <c r="C156" s="36">
        <v>40</v>
      </c>
      <c r="D156" s="140">
        <f t="shared" si="60"/>
        <v>-1018.1</v>
      </c>
      <c r="E156" s="40">
        <f t="shared" si="61"/>
        <v>-25.452500000000001</v>
      </c>
      <c r="F156" s="145">
        <f t="shared" si="62"/>
        <v>0.69999620745582647</v>
      </c>
    </row>
    <row r="157" spans="1:6" ht="15" customHeight="1" x14ac:dyDescent="0.2">
      <c r="B157" s="138">
        <v>-1272.6099999999999</v>
      </c>
      <c r="C157" s="17">
        <v>50</v>
      </c>
      <c r="D157" s="140">
        <f t="shared" si="60"/>
        <v>-1272.6099999999999</v>
      </c>
      <c r="E157" s="39">
        <f t="shared" si="61"/>
        <v>-25.452199999999998</v>
      </c>
      <c r="F157" s="145">
        <f t="shared" si="62"/>
        <v>0.69998795683752812</v>
      </c>
    </row>
    <row r="158" spans="1:6" ht="15" customHeight="1" x14ac:dyDescent="0.2"/>
    <row r="159" spans="1:6" ht="15" customHeight="1" x14ac:dyDescent="0.2"/>
    <row r="160" spans="1:6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</sheetData>
  <pageMargins left="0.45" right="0.45" top="0.5" bottom="0.5" header="0.3" footer="0.3"/>
  <pageSetup scale="55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AR80"/>
  <sheetViews>
    <sheetView showGridLines="0" zoomScale="90" zoomScaleNormal="90" workbookViewId="0">
      <selection activeCell="H29" sqref="H29"/>
    </sheetView>
  </sheetViews>
  <sheetFormatPr defaultRowHeight="12.75" x14ac:dyDescent="0.2"/>
  <cols>
    <col min="3" max="8" width="9.140625" customWidth="1"/>
    <col min="11" max="11" width="5.7109375" customWidth="1"/>
    <col min="14" max="14" width="4.28515625" customWidth="1"/>
    <col min="16" max="16" width="5.7109375" customWidth="1"/>
    <col min="18" max="18" width="9.140625" customWidth="1"/>
    <col min="19" max="19" width="4.28515625" customWidth="1"/>
    <col min="21" max="21" width="5.7109375" customWidth="1"/>
  </cols>
  <sheetData>
    <row r="1" spans="1:44" x14ac:dyDescent="0.2">
      <c r="T1" s="158" t="s">
        <v>81</v>
      </c>
    </row>
    <row r="2" spans="1:44" x14ac:dyDescent="0.2">
      <c r="A2" t="s">
        <v>6</v>
      </c>
      <c r="AR2" t="s">
        <v>32</v>
      </c>
    </row>
    <row r="3" spans="1:44" x14ac:dyDescent="0.2">
      <c r="A3" s="1" t="s">
        <v>47</v>
      </c>
    </row>
    <row r="4" spans="1:44" x14ac:dyDescent="0.2">
      <c r="A4" s="1"/>
    </row>
    <row r="5" spans="1:44" x14ac:dyDescent="0.2">
      <c r="A5" s="97"/>
    </row>
    <row r="7" spans="1:44" x14ac:dyDescent="0.2">
      <c r="A7" s="21" t="s">
        <v>5</v>
      </c>
      <c r="T7" s="1"/>
      <c r="U7" s="1"/>
    </row>
    <row r="9" spans="1:44" x14ac:dyDescent="0.2">
      <c r="E9" s="10"/>
      <c r="F9" s="10"/>
      <c r="G9" s="10"/>
      <c r="H9" s="10"/>
      <c r="I9" s="10"/>
      <c r="K9" s="10"/>
      <c r="L9" s="10"/>
      <c r="M9" s="10"/>
      <c r="N9" s="10"/>
      <c r="O9" s="10"/>
      <c r="P9" s="10"/>
      <c r="Q9" s="10"/>
      <c r="R9" s="10"/>
    </row>
    <row r="10" spans="1:44" x14ac:dyDescent="0.2">
      <c r="B10" s="18">
        <v>2.52</v>
      </c>
      <c r="C10" s="10" t="s">
        <v>0</v>
      </c>
      <c r="F10" s="10"/>
      <c r="G10" s="15"/>
      <c r="H10" s="10"/>
      <c r="I10" s="10"/>
    </row>
    <row r="11" spans="1:44" x14ac:dyDescent="0.2">
      <c r="B11" s="18">
        <v>4.2</v>
      </c>
      <c r="C11" s="10" t="s">
        <v>1</v>
      </c>
      <c r="F11" s="10"/>
      <c r="G11" s="10"/>
      <c r="H11" s="10"/>
      <c r="I11" s="10"/>
    </row>
    <row r="12" spans="1:44" x14ac:dyDescent="0.2">
      <c r="B12" s="18">
        <v>85</v>
      </c>
      <c r="C12" s="15" t="s">
        <v>8</v>
      </c>
      <c r="F12" s="10"/>
      <c r="G12" s="10"/>
      <c r="H12" s="10"/>
      <c r="I12" s="10"/>
    </row>
    <row r="13" spans="1:44" x14ac:dyDescent="0.2">
      <c r="D13" s="10"/>
      <c r="E13" s="10"/>
      <c r="F13" s="10"/>
      <c r="G13" s="10"/>
      <c r="H13" s="10"/>
      <c r="I13" s="10"/>
    </row>
    <row r="14" spans="1:44" x14ac:dyDescent="0.2">
      <c r="C14" s="10"/>
      <c r="D14" s="118">
        <v>1.25</v>
      </c>
      <c r="E14" s="10"/>
      <c r="F14" s="10"/>
      <c r="G14" s="115" t="s">
        <v>14</v>
      </c>
      <c r="J14">
        <v>0.86199999999999999</v>
      </c>
    </row>
    <row r="15" spans="1:44" x14ac:dyDescent="0.2">
      <c r="B15" s="113" t="s">
        <v>51</v>
      </c>
      <c r="C15" s="19" t="s">
        <v>9</v>
      </c>
      <c r="D15" s="19" t="s">
        <v>48</v>
      </c>
      <c r="E15" s="28" t="s">
        <v>13</v>
      </c>
      <c r="F15" s="28" t="s">
        <v>50</v>
      </c>
      <c r="G15" s="114" t="s">
        <v>50</v>
      </c>
      <c r="I15" s="113" t="s">
        <v>49</v>
      </c>
      <c r="L15">
        <v>1018</v>
      </c>
      <c r="M15">
        <f>L15/L16</f>
        <v>0.8590717299578059</v>
      </c>
      <c r="Q15" s="113" t="s">
        <v>51</v>
      </c>
      <c r="AA15" s="11"/>
      <c r="AB15" s="12"/>
      <c r="AC15" s="12"/>
      <c r="AD15" s="12"/>
      <c r="AE15" s="12"/>
      <c r="AF15" s="12"/>
      <c r="AG15" s="12"/>
      <c r="AH15" s="12"/>
      <c r="AI15" s="12"/>
      <c r="AJ15" s="44" t="s">
        <v>5</v>
      </c>
      <c r="AK15" s="12"/>
      <c r="AL15" s="12"/>
      <c r="AM15" s="12"/>
      <c r="AN15" s="13"/>
    </row>
    <row r="16" spans="1:44" ht="15" x14ac:dyDescent="0.2">
      <c r="B16" s="22">
        <v>40</v>
      </c>
      <c r="C16" s="17">
        <v>1</v>
      </c>
      <c r="D16" s="63">
        <f>B16*$D$14</f>
        <v>50</v>
      </c>
      <c r="E16" s="39">
        <f>D16/C16</f>
        <v>50</v>
      </c>
      <c r="F16" s="32">
        <f t="shared" ref="F16:F25" si="0">SQRT(12*32.2*E16^2/(4*$B$12*($B$11*56)*$B$10^2))</f>
        <v>1.3792084370464657</v>
      </c>
      <c r="G16" s="33">
        <v>0.94478790387445755</v>
      </c>
      <c r="H16" s="119">
        <f>F16/G16</f>
        <v>1.459807467253236</v>
      </c>
      <c r="I16" s="22">
        <v>40</v>
      </c>
      <c r="J16" s="53">
        <f>I16*$J$14</f>
        <v>34.479999999999997</v>
      </c>
      <c r="L16">
        <v>1185</v>
      </c>
      <c r="Q16" s="22">
        <v>39</v>
      </c>
      <c r="AA16" s="56" t="s">
        <v>22</v>
      </c>
      <c r="AB16" s="10"/>
      <c r="AC16" s="10"/>
      <c r="AD16" s="10"/>
      <c r="AE16" s="10"/>
      <c r="AF16" s="10"/>
      <c r="AG16" s="10"/>
      <c r="AH16" s="10"/>
      <c r="AI16" s="10"/>
      <c r="AJ16" s="52"/>
      <c r="AK16" s="10"/>
      <c r="AL16" s="10"/>
      <c r="AM16" s="10"/>
      <c r="AN16" s="16"/>
    </row>
    <row r="17" spans="2:40" ht="15" x14ac:dyDescent="0.2">
      <c r="B17" s="23">
        <v>55</v>
      </c>
      <c r="C17" s="36">
        <v>2</v>
      </c>
      <c r="D17" s="64">
        <f t="shared" ref="D17:D25" si="1">B17*$D$14</f>
        <v>68.75</v>
      </c>
      <c r="E17" s="40">
        <f t="shared" ref="E17:E25" si="2">D17/C17</f>
        <v>34.375</v>
      </c>
      <c r="F17" s="37">
        <f t="shared" si="0"/>
        <v>0.94820580046944514</v>
      </c>
      <c r="G17" s="38">
        <v>0.64954168391368949</v>
      </c>
      <c r="H17" s="119">
        <f t="shared" ref="H17:H25" si="3">F17/G17</f>
        <v>1.4598074672532362</v>
      </c>
      <c r="I17" s="23">
        <v>55</v>
      </c>
      <c r="J17" s="53">
        <f t="shared" ref="J17:J25" si="4">I17*$J$14</f>
        <v>47.41</v>
      </c>
      <c r="Q17" s="23">
        <v>65</v>
      </c>
      <c r="AA17" s="14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6"/>
    </row>
    <row r="18" spans="2:40" ht="15" x14ac:dyDescent="0.2">
      <c r="B18" s="22">
        <v>71</v>
      </c>
      <c r="C18" s="17">
        <v>3</v>
      </c>
      <c r="D18" s="63">
        <f t="shared" si="1"/>
        <v>88.75</v>
      </c>
      <c r="E18" s="39">
        <f t="shared" si="2"/>
        <v>29.583333333333332</v>
      </c>
      <c r="F18" s="32">
        <f t="shared" si="0"/>
        <v>0.81603165858582549</v>
      </c>
      <c r="G18" s="33">
        <v>0.55899950979238744</v>
      </c>
      <c r="H18" s="119">
        <f t="shared" si="3"/>
        <v>1.4598074672532357</v>
      </c>
      <c r="I18" s="22">
        <v>71</v>
      </c>
      <c r="J18" s="53">
        <f t="shared" si="4"/>
        <v>61.201999999999998</v>
      </c>
      <c r="Q18" s="22">
        <v>88</v>
      </c>
      <c r="AA18" s="14"/>
      <c r="AB18" s="10"/>
      <c r="AC18" s="26">
        <v>2.4500000000000002</v>
      </c>
      <c r="AD18" s="10" t="s">
        <v>0</v>
      </c>
      <c r="AE18" s="10"/>
      <c r="AF18" s="10"/>
      <c r="AG18" s="10"/>
      <c r="AH18" s="26">
        <v>2.5</v>
      </c>
      <c r="AI18" s="10" t="s">
        <v>0</v>
      </c>
      <c r="AJ18" s="10"/>
      <c r="AK18" s="10"/>
      <c r="AL18" s="10"/>
      <c r="AM18" s="26">
        <v>2.5499999999999998</v>
      </c>
      <c r="AN18" s="16" t="s">
        <v>0</v>
      </c>
    </row>
    <row r="19" spans="2:40" ht="15" x14ac:dyDescent="0.2">
      <c r="B19" s="22">
        <v>86</v>
      </c>
      <c r="C19" s="17">
        <v>4</v>
      </c>
      <c r="D19" s="63">
        <f t="shared" si="1"/>
        <v>107.5</v>
      </c>
      <c r="E19" s="39">
        <f t="shared" si="2"/>
        <v>26.875</v>
      </c>
      <c r="F19" s="32">
        <f t="shared" si="0"/>
        <v>0.7413245349124753</v>
      </c>
      <c r="G19" s="33">
        <v>0.50782349833252094</v>
      </c>
      <c r="H19" s="119">
        <f t="shared" si="3"/>
        <v>1.459807467253236</v>
      </c>
      <c r="I19" s="22">
        <v>86</v>
      </c>
      <c r="J19" s="53">
        <f t="shared" si="4"/>
        <v>74.132000000000005</v>
      </c>
      <c r="Q19" s="22">
        <v>109</v>
      </c>
      <c r="AA19" s="14"/>
      <c r="AB19" s="10"/>
      <c r="AC19" s="26">
        <v>4.47</v>
      </c>
      <c r="AD19" s="10" t="s">
        <v>1</v>
      </c>
      <c r="AE19" s="10"/>
      <c r="AF19" s="10"/>
      <c r="AG19" s="10"/>
      <c r="AH19" s="26">
        <v>4.6500000000000004</v>
      </c>
      <c r="AI19" s="10" t="s">
        <v>1</v>
      </c>
      <c r="AJ19" s="10"/>
      <c r="AK19" s="10"/>
      <c r="AL19" s="10"/>
      <c r="AM19" s="26">
        <v>4.82</v>
      </c>
      <c r="AN19" s="16" t="s">
        <v>1</v>
      </c>
    </row>
    <row r="20" spans="2:40" ht="15" x14ac:dyDescent="0.2">
      <c r="B20" s="23">
        <v>101</v>
      </c>
      <c r="C20" s="36">
        <v>5</v>
      </c>
      <c r="D20" s="64">
        <f t="shared" si="1"/>
        <v>126.25</v>
      </c>
      <c r="E20" s="40">
        <f t="shared" si="2"/>
        <v>25.25</v>
      </c>
      <c r="F20" s="37">
        <f t="shared" si="0"/>
        <v>0.69650026070846516</v>
      </c>
      <c r="G20" s="38">
        <v>0.47711789145660105</v>
      </c>
      <c r="H20" s="119">
        <f t="shared" si="3"/>
        <v>1.459807467253236</v>
      </c>
      <c r="I20" s="23">
        <v>101</v>
      </c>
      <c r="J20" s="53">
        <f t="shared" si="4"/>
        <v>87.061999999999998</v>
      </c>
      <c r="Q20" s="23">
        <v>128</v>
      </c>
      <c r="AA20" s="14"/>
      <c r="AB20" s="10"/>
      <c r="AC20" s="26">
        <v>85</v>
      </c>
      <c r="AD20" s="10" t="s">
        <v>8</v>
      </c>
      <c r="AE20" s="10"/>
      <c r="AF20" s="10"/>
      <c r="AG20" s="10"/>
      <c r="AH20" s="26">
        <v>85</v>
      </c>
      <c r="AI20" s="10" t="s">
        <v>8</v>
      </c>
      <c r="AJ20" s="10"/>
      <c r="AK20" s="10"/>
      <c r="AL20" s="10"/>
      <c r="AM20" s="26">
        <v>85</v>
      </c>
      <c r="AN20" s="16" t="s">
        <v>8</v>
      </c>
    </row>
    <row r="21" spans="2:40" ht="15" x14ac:dyDescent="0.2">
      <c r="B21" s="22">
        <v>166</v>
      </c>
      <c r="C21" s="17">
        <v>10</v>
      </c>
      <c r="D21" s="63">
        <f t="shared" si="1"/>
        <v>207.5</v>
      </c>
      <c r="E21" s="39">
        <f t="shared" si="2"/>
        <v>20.75</v>
      </c>
      <c r="F21" s="32">
        <f t="shared" si="0"/>
        <v>0.57237150137428328</v>
      </c>
      <c r="G21" s="33">
        <v>0.39208698010789994</v>
      </c>
      <c r="H21" s="119">
        <f t="shared" si="3"/>
        <v>1.4598074672532357</v>
      </c>
      <c r="I21" s="22">
        <v>166</v>
      </c>
      <c r="J21" s="53">
        <f t="shared" si="4"/>
        <v>143.09199999999998</v>
      </c>
      <c r="Q21" s="22">
        <v>210</v>
      </c>
      <c r="AA21" s="45" t="s">
        <v>9</v>
      </c>
      <c r="AB21" s="65" t="s">
        <v>16</v>
      </c>
      <c r="AC21" s="31" t="s">
        <v>10</v>
      </c>
      <c r="AD21" s="30" t="s">
        <v>11</v>
      </c>
      <c r="AE21" s="10"/>
      <c r="AF21" s="30" t="s">
        <v>9</v>
      </c>
      <c r="AG21" s="65" t="s">
        <v>16</v>
      </c>
      <c r="AH21" s="31" t="s">
        <v>10</v>
      </c>
      <c r="AI21" s="30" t="s">
        <v>11</v>
      </c>
      <c r="AJ21" s="10"/>
      <c r="AK21" s="30" t="s">
        <v>9</v>
      </c>
      <c r="AL21" s="65" t="s">
        <v>16</v>
      </c>
      <c r="AM21" s="31" t="s">
        <v>10</v>
      </c>
      <c r="AN21" s="46" t="s">
        <v>11</v>
      </c>
    </row>
    <row r="22" spans="2:40" ht="15" x14ac:dyDescent="0.2">
      <c r="B22" s="22">
        <v>273</v>
      </c>
      <c r="C22" s="17">
        <v>20</v>
      </c>
      <c r="D22" s="63">
        <f t="shared" si="1"/>
        <v>341.25</v>
      </c>
      <c r="E22" s="39">
        <f t="shared" si="2"/>
        <v>17.0625</v>
      </c>
      <c r="F22" s="32">
        <f t="shared" si="0"/>
        <v>0.47065487914210641</v>
      </c>
      <c r="G22" s="33">
        <v>0.32240887219715864</v>
      </c>
      <c r="H22" s="119">
        <f t="shared" si="3"/>
        <v>1.459807467253236</v>
      </c>
      <c r="I22" s="22">
        <v>273</v>
      </c>
      <c r="J22" s="53">
        <f t="shared" si="4"/>
        <v>235.32599999999999</v>
      </c>
      <c r="Q22" s="22">
        <v>357</v>
      </c>
      <c r="AA22" s="47">
        <v>1</v>
      </c>
      <c r="AB22" s="66"/>
      <c r="AC22" s="63">
        <v>26</v>
      </c>
      <c r="AD22" s="5">
        <v>0.7</v>
      </c>
      <c r="AE22" s="10"/>
      <c r="AF22" s="34">
        <v>1</v>
      </c>
      <c r="AG22" s="66"/>
      <c r="AH22" s="63">
        <v>27.04</v>
      </c>
      <c r="AI22" s="5">
        <v>0.7</v>
      </c>
      <c r="AJ22" s="10"/>
      <c r="AK22" s="34">
        <v>1</v>
      </c>
      <c r="AL22" s="66"/>
      <c r="AM22" s="63">
        <v>28.080000000000002</v>
      </c>
      <c r="AN22" s="48">
        <v>0.7</v>
      </c>
    </row>
    <row r="23" spans="2:40" ht="15" x14ac:dyDescent="0.2">
      <c r="B23" s="22">
        <v>381</v>
      </c>
      <c r="C23" s="17">
        <v>30</v>
      </c>
      <c r="D23" s="63">
        <f t="shared" si="1"/>
        <v>476.25</v>
      </c>
      <c r="E23" s="39">
        <f t="shared" si="2"/>
        <v>15.875</v>
      </c>
      <c r="F23" s="32">
        <f t="shared" si="0"/>
        <v>0.43789867876225286</v>
      </c>
      <c r="G23" s="33">
        <v>0.29997015948014027</v>
      </c>
      <c r="H23" s="119">
        <f t="shared" si="3"/>
        <v>1.459807467253236</v>
      </c>
      <c r="I23" s="22">
        <v>381</v>
      </c>
      <c r="J23" s="53">
        <f t="shared" si="4"/>
        <v>328.42199999999997</v>
      </c>
      <c r="Q23" s="22">
        <v>495</v>
      </c>
      <c r="AA23" s="47">
        <v>2</v>
      </c>
      <c r="AB23" s="67">
        <f>AC23-AC22</f>
        <v>25</v>
      </c>
      <c r="AC23" s="64">
        <v>51</v>
      </c>
      <c r="AD23" s="25">
        <v>0.7</v>
      </c>
      <c r="AE23" s="10"/>
      <c r="AF23" s="34">
        <v>2</v>
      </c>
      <c r="AG23" s="67">
        <f>AH23-AH22</f>
        <v>26</v>
      </c>
      <c r="AH23" s="64">
        <v>53.04</v>
      </c>
      <c r="AI23" s="25">
        <v>0.7</v>
      </c>
      <c r="AJ23" s="10"/>
      <c r="AK23" s="34">
        <v>2</v>
      </c>
      <c r="AL23" s="67">
        <f>AM23-AM22</f>
        <v>27.000000000000004</v>
      </c>
      <c r="AM23" s="64">
        <v>55.080000000000005</v>
      </c>
      <c r="AN23" s="49">
        <v>0.7</v>
      </c>
    </row>
    <row r="24" spans="2:40" ht="15" x14ac:dyDescent="0.2">
      <c r="B24" s="23">
        <v>489</v>
      </c>
      <c r="C24" s="36">
        <v>40</v>
      </c>
      <c r="D24" s="64">
        <f>B24*$D$14</f>
        <v>611.25</v>
      </c>
      <c r="E24" s="40">
        <f t="shared" si="2"/>
        <v>15.28125</v>
      </c>
      <c r="F24" s="37">
        <f t="shared" si="0"/>
        <v>0.42152057857232605</v>
      </c>
      <c r="G24" s="38">
        <v>0.28875080312163109</v>
      </c>
      <c r="H24" s="119">
        <f t="shared" si="3"/>
        <v>1.459807467253236</v>
      </c>
      <c r="I24" s="23">
        <v>489</v>
      </c>
      <c r="J24" s="53">
        <f t="shared" si="4"/>
        <v>421.51799999999997</v>
      </c>
      <c r="Q24" s="23">
        <v>624</v>
      </c>
      <c r="AA24" s="47">
        <v>3</v>
      </c>
      <c r="AB24" s="67">
        <f t="shared" ref="AB24:AB31" si="5">AC24-AC23</f>
        <v>25</v>
      </c>
      <c r="AC24" s="63">
        <v>76</v>
      </c>
      <c r="AD24" s="5">
        <v>0.7</v>
      </c>
      <c r="AE24" s="10"/>
      <c r="AF24" s="34">
        <v>3</v>
      </c>
      <c r="AG24" s="67">
        <f t="shared" ref="AG24:AG31" si="6">AH24-AH23</f>
        <v>26.000000000000007</v>
      </c>
      <c r="AH24" s="63">
        <v>79.040000000000006</v>
      </c>
      <c r="AI24" s="5">
        <v>0.7</v>
      </c>
      <c r="AJ24" s="10"/>
      <c r="AK24" s="34">
        <v>3</v>
      </c>
      <c r="AL24" s="67">
        <f t="shared" ref="AL24:AL31" si="7">AM24-AM23</f>
        <v>27.000000000000007</v>
      </c>
      <c r="AM24" s="63">
        <v>82.080000000000013</v>
      </c>
      <c r="AN24" s="48">
        <v>0.7</v>
      </c>
    </row>
    <row r="25" spans="2:40" ht="15" x14ac:dyDescent="0.2">
      <c r="B25" s="22">
        <v>596</v>
      </c>
      <c r="C25" s="17">
        <v>50</v>
      </c>
      <c r="D25" s="63">
        <f t="shared" si="1"/>
        <v>745</v>
      </c>
      <c r="E25" s="39">
        <f t="shared" si="2"/>
        <v>14.9</v>
      </c>
      <c r="F25" s="32">
        <f t="shared" si="0"/>
        <v>0.41100411423984679</v>
      </c>
      <c r="G25" s="33">
        <v>0.28154679535458838</v>
      </c>
      <c r="H25" s="119">
        <f t="shared" si="3"/>
        <v>1.459807467253236</v>
      </c>
      <c r="I25" s="22">
        <v>596</v>
      </c>
      <c r="J25" s="53">
        <f t="shared" si="4"/>
        <v>513.75199999999995</v>
      </c>
      <c r="Q25" s="22">
        <v>746</v>
      </c>
      <c r="AA25" s="47">
        <v>4</v>
      </c>
      <c r="AB25" s="67">
        <f t="shared" si="5"/>
        <v>26</v>
      </c>
      <c r="AC25" s="63">
        <v>102</v>
      </c>
      <c r="AD25" s="5">
        <v>0.7</v>
      </c>
      <c r="AE25" s="10"/>
      <c r="AF25" s="34">
        <v>4</v>
      </c>
      <c r="AG25" s="67">
        <f t="shared" si="6"/>
        <v>27.039999999999992</v>
      </c>
      <c r="AH25" s="63">
        <v>106.08</v>
      </c>
      <c r="AI25" s="5">
        <v>0.7</v>
      </c>
      <c r="AJ25" s="10"/>
      <c r="AK25" s="34">
        <v>4</v>
      </c>
      <c r="AL25" s="67">
        <f t="shared" si="7"/>
        <v>28.08</v>
      </c>
      <c r="AM25" s="63">
        <v>110.16000000000001</v>
      </c>
      <c r="AN25" s="48">
        <v>0.7</v>
      </c>
    </row>
    <row r="26" spans="2:40" x14ac:dyDescent="0.2">
      <c r="C26" s="10"/>
      <c r="D26" s="43"/>
      <c r="E26" s="10"/>
      <c r="F26" s="10"/>
      <c r="I26" s="9"/>
      <c r="AA26" s="47">
        <v>5</v>
      </c>
      <c r="AB26" s="67">
        <f t="shared" si="5"/>
        <v>25</v>
      </c>
      <c r="AC26" s="64">
        <v>127</v>
      </c>
      <c r="AD26" s="25">
        <v>0.7</v>
      </c>
      <c r="AE26" s="10"/>
      <c r="AF26" s="34">
        <v>5</v>
      </c>
      <c r="AG26" s="67">
        <f t="shared" si="6"/>
        <v>26.000000000000014</v>
      </c>
      <c r="AH26" s="64">
        <v>132.08000000000001</v>
      </c>
      <c r="AI26" s="25">
        <v>0.7</v>
      </c>
      <c r="AJ26" s="10"/>
      <c r="AK26" s="34">
        <v>5</v>
      </c>
      <c r="AL26" s="67">
        <f t="shared" si="7"/>
        <v>26.999999999999986</v>
      </c>
      <c r="AM26" s="64">
        <v>137.16</v>
      </c>
      <c r="AN26" s="49">
        <v>0.7</v>
      </c>
    </row>
    <row r="27" spans="2:40" x14ac:dyDescent="0.2">
      <c r="C27" s="10"/>
      <c r="D27" s="43"/>
      <c r="E27" s="10"/>
      <c r="F27" s="10"/>
      <c r="G27" s="10"/>
      <c r="H27" s="43"/>
      <c r="I27" s="9"/>
      <c r="AA27" s="47">
        <v>10</v>
      </c>
      <c r="AB27" s="67">
        <f t="shared" si="5"/>
        <v>128</v>
      </c>
      <c r="AC27" s="63">
        <v>255</v>
      </c>
      <c r="AD27" s="5">
        <v>0.7</v>
      </c>
      <c r="AE27" s="54"/>
      <c r="AF27" s="34">
        <v>10</v>
      </c>
      <c r="AG27" s="67">
        <f t="shared" si="6"/>
        <v>133.11999999999998</v>
      </c>
      <c r="AH27" s="63">
        <v>265.2</v>
      </c>
      <c r="AI27" s="5">
        <v>0.7</v>
      </c>
      <c r="AJ27" s="10"/>
      <c r="AK27" s="34">
        <v>10</v>
      </c>
      <c r="AL27" s="67">
        <f t="shared" si="7"/>
        <v>138.24000000000004</v>
      </c>
      <c r="AM27" s="63">
        <v>275.40000000000003</v>
      </c>
      <c r="AN27" s="48">
        <v>0.7</v>
      </c>
    </row>
    <row r="28" spans="2:40" x14ac:dyDescent="0.2">
      <c r="B28" s="19" t="s">
        <v>2</v>
      </c>
      <c r="C28" s="19" t="s">
        <v>3</v>
      </c>
      <c r="D28" s="19" t="s">
        <v>4</v>
      </c>
      <c r="E28" s="10"/>
      <c r="F28" s="10"/>
      <c r="H28" s="43"/>
      <c r="I28" s="9"/>
      <c r="AA28" s="47">
        <v>20</v>
      </c>
      <c r="AB28" s="67">
        <f t="shared" si="5"/>
        <v>254</v>
      </c>
      <c r="AC28" s="63">
        <v>509</v>
      </c>
      <c r="AD28" s="5">
        <v>0.7</v>
      </c>
      <c r="AE28" s="10"/>
      <c r="AF28" s="34">
        <v>20</v>
      </c>
      <c r="AG28" s="67">
        <f t="shared" si="6"/>
        <v>264.16000000000003</v>
      </c>
      <c r="AH28" s="63">
        <v>529.36</v>
      </c>
      <c r="AI28" s="5">
        <v>0.7</v>
      </c>
      <c r="AJ28" s="10"/>
      <c r="AK28" s="34">
        <v>20</v>
      </c>
      <c r="AL28" s="67">
        <f t="shared" si="7"/>
        <v>274.32</v>
      </c>
      <c r="AM28" s="63">
        <v>549.72</v>
      </c>
      <c r="AN28" s="48">
        <v>0.7</v>
      </c>
    </row>
    <row r="29" spans="2:40" x14ac:dyDescent="0.2">
      <c r="B29" s="5">
        <v>2.450311380877936</v>
      </c>
      <c r="C29" s="6">
        <v>4.47</v>
      </c>
      <c r="D29" s="6">
        <v>6</v>
      </c>
      <c r="E29" s="10"/>
      <c r="F29" s="10"/>
      <c r="H29" s="43"/>
      <c r="I29" s="9"/>
      <c r="AA29" s="47">
        <v>30</v>
      </c>
      <c r="AB29" s="67">
        <f t="shared" si="5"/>
        <v>255</v>
      </c>
      <c r="AC29" s="63">
        <v>764</v>
      </c>
      <c r="AD29" s="5">
        <v>0.7</v>
      </c>
      <c r="AE29" s="10"/>
      <c r="AF29" s="34">
        <v>30</v>
      </c>
      <c r="AG29" s="67">
        <f t="shared" si="6"/>
        <v>265.20000000000005</v>
      </c>
      <c r="AH29" s="63">
        <v>794.56000000000006</v>
      </c>
      <c r="AI29" s="5">
        <v>0.7</v>
      </c>
      <c r="AJ29" s="10"/>
      <c r="AK29" s="34">
        <v>30</v>
      </c>
      <c r="AL29" s="67">
        <f t="shared" si="7"/>
        <v>275.39999999999998</v>
      </c>
      <c r="AM29" s="63">
        <v>825.12</v>
      </c>
      <c r="AN29" s="48">
        <v>0.7</v>
      </c>
    </row>
    <row r="30" spans="2:40" x14ac:dyDescent="0.2">
      <c r="B30" s="5">
        <v>2.5000680331013507</v>
      </c>
      <c r="C30" s="6">
        <v>4.6500000000000004</v>
      </c>
      <c r="D30" s="6">
        <v>6</v>
      </c>
      <c r="AA30" s="47">
        <v>40</v>
      </c>
      <c r="AB30" s="67">
        <f t="shared" si="5"/>
        <v>254</v>
      </c>
      <c r="AC30" s="64">
        <v>1018</v>
      </c>
      <c r="AD30" s="25">
        <v>0.7</v>
      </c>
      <c r="AE30" s="10"/>
      <c r="AF30" s="34">
        <v>40</v>
      </c>
      <c r="AG30" s="67">
        <f t="shared" si="6"/>
        <v>264.15999999999997</v>
      </c>
      <c r="AH30" s="64">
        <v>1058.72</v>
      </c>
      <c r="AI30" s="25">
        <v>0.7</v>
      </c>
      <c r="AJ30" s="10"/>
      <c r="AK30" s="34">
        <v>40</v>
      </c>
      <c r="AL30" s="67">
        <f t="shared" si="7"/>
        <v>274.32000000000005</v>
      </c>
      <c r="AM30" s="64">
        <v>1099.44</v>
      </c>
      <c r="AN30" s="49">
        <v>0.7</v>
      </c>
    </row>
    <row r="31" spans="2:40" x14ac:dyDescent="0.2">
      <c r="B31" s="5">
        <v>2.5501786911101423</v>
      </c>
      <c r="C31" s="6">
        <v>4.82</v>
      </c>
      <c r="D31" s="6">
        <v>6</v>
      </c>
      <c r="AA31" s="47">
        <v>50</v>
      </c>
      <c r="AB31" s="67">
        <f t="shared" si="5"/>
        <v>254</v>
      </c>
      <c r="AC31" s="63">
        <v>1272</v>
      </c>
      <c r="AD31" s="5">
        <v>0.7</v>
      </c>
      <c r="AE31" s="10"/>
      <c r="AF31" s="34">
        <v>50</v>
      </c>
      <c r="AG31" s="67">
        <f t="shared" si="6"/>
        <v>264.16000000000008</v>
      </c>
      <c r="AH31" s="63">
        <v>1322.88</v>
      </c>
      <c r="AI31" s="5">
        <v>0.7</v>
      </c>
      <c r="AJ31" s="10"/>
      <c r="AK31" s="34">
        <v>50</v>
      </c>
      <c r="AL31" s="67">
        <f t="shared" si="7"/>
        <v>274.31999999999994</v>
      </c>
      <c r="AM31" s="63">
        <v>1373.76</v>
      </c>
      <c r="AN31" s="48">
        <v>0.7</v>
      </c>
    </row>
    <row r="32" spans="2:40" x14ac:dyDescent="0.2">
      <c r="B32" s="5">
        <v>2.5998699482654999</v>
      </c>
      <c r="C32" s="6">
        <v>5</v>
      </c>
      <c r="D32" s="6">
        <v>6</v>
      </c>
      <c r="AA32" s="58" t="s">
        <v>18</v>
      </c>
      <c r="AB32" s="59">
        <f>AC30/AC27</f>
        <v>3.9921568627450981</v>
      </c>
      <c r="AC32" s="35"/>
      <c r="AD32" s="5"/>
      <c r="AE32" s="10"/>
      <c r="AF32" s="60" t="s">
        <v>18</v>
      </c>
      <c r="AG32" s="59">
        <f>AH30/AH27</f>
        <v>3.9921568627450985</v>
      </c>
      <c r="AH32" s="35"/>
      <c r="AI32" s="5"/>
      <c r="AJ32" s="10"/>
      <c r="AK32" s="58" t="s">
        <v>18</v>
      </c>
      <c r="AL32" s="59">
        <f>AM30/AM27</f>
        <v>3.9921568627450976</v>
      </c>
      <c r="AM32" s="35"/>
      <c r="AN32" s="48"/>
    </row>
    <row r="33" spans="1:40" x14ac:dyDescent="0.2">
      <c r="B33" s="5">
        <v>2.6496440938966015</v>
      </c>
      <c r="C33" s="6">
        <v>5.18</v>
      </c>
      <c r="D33" s="6">
        <v>6</v>
      </c>
      <c r="AA33" s="14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6"/>
    </row>
    <row r="34" spans="1:40" x14ac:dyDescent="0.2">
      <c r="B34" s="5">
        <v>2.6995106480969238</v>
      </c>
      <c r="C34" s="6">
        <v>5.36</v>
      </c>
      <c r="D34" s="6">
        <v>6</v>
      </c>
      <c r="AA34" s="14"/>
      <c r="AB34" s="10"/>
      <c r="AC34" s="26">
        <v>2.6</v>
      </c>
      <c r="AD34" s="10" t="s">
        <v>0</v>
      </c>
      <c r="AE34" s="10"/>
      <c r="AF34" s="10"/>
      <c r="AG34" s="10"/>
      <c r="AH34" s="26">
        <v>2.65</v>
      </c>
      <c r="AI34" s="10" t="s">
        <v>0</v>
      </c>
      <c r="AJ34" s="10"/>
      <c r="AK34" s="10"/>
      <c r="AL34" s="10"/>
      <c r="AM34" s="26">
        <v>2.7</v>
      </c>
      <c r="AN34" s="16" t="s">
        <v>0</v>
      </c>
    </row>
    <row r="35" spans="1:40" x14ac:dyDescent="0.2">
      <c r="B35" s="5">
        <v>2.75031284808647</v>
      </c>
      <c r="C35" s="6">
        <v>5.55</v>
      </c>
      <c r="D35" s="6">
        <v>6</v>
      </c>
      <c r="AA35" s="14"/>
      <c r="AB35" s="10"/>
      <c r="AC35" s="42">
        <v>5</v>
      </c>
      <c r="AD35" s="10" t="s">
        <v>1</v>
      </c>
      <c r="AE35" s="10"/>
      <c r="AF35" s="10"/>
      <c r="AG35" s="10"/>
      <c r="AH35" s="26">
        <v>5.18</v>
      </c>
      <c r="AI35" s="10" t="s">
        <v>1</v>
      </c>
      <c r="AJ35" s="10"/>
      <c r="AK35" s="10"/>
      <c r="AL35" s="10"/>
      <c r="AM35" s="26">
        <v>5.36</v>
      </c>
      <c r="AN35" s="16" t="s">
        <v>1</v>
      </c>
    </row>
    <row r="36" spans="1:40" x14ac:dyDescent="0.2">
      <c r="B36" s="5">
        <v>2.8004419881581071</v>
      </c>
      <c r="C36" s="6">
        <v>5.74</v>
      </c>
      <c r="D36" s="6">
        <v>6</v>
      </c>
      <c r="AA36" s="14"/>
      <c r="AB36" s="10"/>
      <c r="AC36" s="26">
        <v>85</v>
      </c>
      <c r="AD36" s="10" t="s">
        <v>8</v>
      </c>
      <c r="AE36" s="10"/>
      <c r="AF36" s="10"/>
      <c r="AG36" s="10"/>
      <c r="AH36" s="26">
        <v>85</v>
      </c>
      <c r="AI36" s="10" t="s">
        <v>8</v>
      </c>
      <c r="AJ36" s="10"/>
      <c r="AK36" s="10"/>
      <c r="AL36" s="10"/>
      <c r="AM36" s="26">
        <v>85</v>
      </c>
      <c r="AN36" s="16" t="s">
        <v>8</v>
      </c>
    </row>
    <row r="37" spans="1:40" x14ac:dyDescent="0.2">
      <c r="B37" s="5">
        <v>2.8498977493736195</v>
      </c>
      <c r="C37" s="6">
        <v>5.93</v>
      </c>
      <c r="D37" s="6">
        <v>6</v>
      </c>
      <c r="AA37" s="45" t="s">
        <v>9</v>
      </c>
      <c r="AB37" s="65" t="s">
        <v>16</v>
      </c>
      <c r="AC37" s="31" t="s">
        <v>10</v>
      </c>
      <c r="AD37" s="30" t="s">
        <v>11</v>
      </c>
      <c r="AE37" s="10"/>
      <c r="AF37" s="30" t="s">
        <v>9</v>
      </c>
      <c r="AG37" s="65" t="s">
        <v>16</v>
      </c>
      <c r="AH37" s="31" t="s">
        <v>10</v>
      </c>
      <c r="AI37" s="30" t="s">
        <v>11</v>
      </c>
      <c r="AJ37" s="10"/>
      <c r="AK37" s="30" t="s">
        <v>9</v>
      </c>
      <c r="AL37" s="65" t="s">
        <v>16</v>
      </c>
      <c r="AM37" s="31" t="s">
        <v>10</v>
      </c>
      <c r="AN37" s="46" t="s">
        <v>11</v>
      </c>
    </row>
    <row r="38" spans="1:40" x14ac:dyDescent="0.2">
      <c r="B38" s="5">
        <v>2.9001312541402999</v>
      </c>
      <c r="C38" s="6">
        <v>6.12</v>
      </c>
      <c r="D38" s="6">
        <v>6</v>
      </c>
      <c r="AA38" s="47">
        <v>1</v>
      </c>
      <c r="AB38" s="66"/>
      <c r="AC38" s="63">
        <v>29.172000000000004</v>
      </c>
      <c r="AD38" s="5">
        <v>0.7</v>
      </c>
      <c r="AE38" s="10"/>
      <c r="AF38" s="34">
        <v>1</v>
      </c>
      <c r="AG38" s="66"/>
      <c r="AH38" s="63">
        <v>30.263999999999999</v>
      </c>
      <c r="AI38" s="5">
        <v>0.7</v>
      </c>
      <c r="AJ38" s="10"/>
      <c r="AK38" s="34">
        <v>1</v>
      </c>
      <c r="AL38" s="66"/>
      <c r="AM38" s="63">
        <v>31.382000000000001</v>
      </c>
      <c r="AN38" s="48">
        <v>0.7</v>
      </c>
    </row>
    <row r="39" spans="1:40" x14ac:dyDescent="0.2">
      <c r="AA39" s="47">
        <v>2</v>
      </c>
      <c r="AB39" s="67">
        <f>AC39-AC38</f>
        <v>28.050000000000004</v>
      </c>
      <c r="AC39" s="64">
        <v>57.222000000000008</v>
      </c>
      <c r="AD39" s="25">
        <v>0.7</v>
      </c>
      <c r="AE39" s="10"/>
      <c r="AF39" s="34">
        <v>2</v>
      </c>
      <c r="AG39" s="67">
        <f>AH39-AH38</f>
        <v>29.099999999999998</v>
      </c>
      <c r="AH39" s="64">
        <v>59.363999999999997</v>
      </c>
      <c r="AI39" s="25">
        <v>0.7</v>
      </c>
      <c r="AJ39" s="10"/>
      <c r="AK39" s="34">
        <v>2</v>
      </c>
      <c r="AL39" s="67">
        <f>AM39-AM38</f>
        <v>30.175000000000001</v>
      </c>
      <c r="AM39" s="64">
        <v>61.557000000000002</v>
      </c>
      <c r="AN39" s="49">
        <v>0.7</v>
      </c>
    </row>
    <row r="40" spans="1:40" x14ac:dyDescent="0.2">
      <c r="AA40" s="47">
        <v>3</v>
      </c>
      <c r="AB40" s="67">
        <f t="shared" ref="AB40:AB47" si="8">AC40-AC39</f>
        <v>28.049999999999997</v>
      </c>
      <c r="AC40" s="63">
        <v>85.272000000000006</v>
      </c>
      <c r="AD40" s="5">
        <v>0.7</v>
      </c>
      <c r="AE40" s="10"/>
      <c r="AF40" s="34">
        <v>3</v>
      </c>
      <c r="AG40" s="67">
        <f t="shared" ref="AG40:AG47" si="9">AH40-AH39</f>
        <v>29.1</v>
      </c>
      <c r="AH40" s="63">
        <v>88.463999999999999</v>
      </c>
      <c r="AI40" s="5">
        <v>0.7</v>
      </c>
      <c r="AJ40" s="10"/>
      <c r="AK40" s="34">
        <v>3</v>
      </c>
      <c r="AL40" s="67">
        <f t="shared" ref="AL40:AL47" si="10">AM40-AM39</f>
        <v>30.174999999999997</v>
      </c>
      <c r="AM40" s="63">
        <v>91.731999999999999</v>
      </c>
      <c r="AN40" s="48">
        <v>0.7</v>
      </c>
    </row>
    <row r="41" spans="1:40" x14ac:dyDescent="0.2">
      <c r="A41" s="53"/>
      <c r="AA41" s="47">
        <v>4</v>
      </c>
      <c r="AB41" s="67">
        <f t="shared" si="8"/>
        <v>29.172000000000011</v>
      </c>
      <c r="AC41" s="63">
        <v>114.44400000000002</v>
      </c>
      <c r="AD41" s="5">
        <v>0.7</v>
      </c>
      <c r="AE41" s="10"/>
      <c r="AF41" s="34">
        <v>4</v>
      </c>
      <c r="AG41" s="67">
        <f t="shared" si="9"/>
        <v>30.263999999999996</v>
      </c>
      <c r="AH41" s="63">
        <v>118.72799999999999</v>
      </c>
      <c r="AI41" s="5">
        <v>0.7</v>
      </c>
      <c r="AJ41" s="10"/>
      <c r="AK41" s="34">
        <v>4</v>
      </c>
      <c r="AL41" s="67">
        <f t="shared" si="10"/>
        <v>31.382000000000005</v>
      </c>
      <c r="AM41" s="63">
        <v>123.114</v>
      </c>
      <c r="AN41" s="48">
        <v>0.7</v>
      </c>
    </row>
    <row r="42" spans="1:40" x14ac:dyDescent="0.2">
      <c r="AA42" s="47">
        <v>5</v>
      </c>
      <c r="AB42" s="67">
        <f t="shared" si="8"/>
        <v>28.049999999999983</v>
      </c>
      <c r="AC42" s="64">
        <v>142.494</v>
      </c>
      <c r="AD42" s="25">
        <v>0.7</v>
      </c>
      <c r="AE42" s="10"/>
      <c r="AF42" s="34">
        <v>5</v>
      </c>
      <c r="AG42" s="67">
        <f t="shared" si="9"/>
        <v>29.100000000000009</v>
      </c>
      <c r="AH42" s="64">
        <v>147.828</v>
      </c>
      <c r="AI42" s="25">
        <v>0.7</v>
      </c>
      <c r="AJ42" s="10"/>
      <c r="AK42" s="34">
        <v>5</v>
      </c>
      <c r="AL42" s="67">
        <f t="shared" si="10"/>
        <v>30.175000000000011</v>
      </c>
      <c r="AM42" s="64">
        <v>153.28900000000002</v>
      </c>
      <c r="AN42" s="49">
        <v>0.7</v>
      </c>
    </row>
    <row r="43" spans="1:40" x14ac:dyDescent="0.2">
      <c r="AA43" s="47">
        <v>10</v>
      </c>
      <c r="AB43" s="67">
        <f t="shared" si="8"/>
        <v>143.61600000000001</v>
      </c>
      <c r="AC43" s="63">
        <v>286.11</v>
      </c>
      <c r="AD43" s="5">
        <v>0.7</v>
      </c>
      <c r="AE43" s="10"/>
      <c r="AF43" s="34">
        <v>10</v>
      </c>
      <c r="AG43" s="67">
        <f t="shared" si="9"/>
        <v>148.99199999999999</v>
      </c>
      <c r="AH43" s="63">
        <v>296.82</v>
      </c>
      <c r="AI43" s="5">
        <v>0.7</v>
      </c>
      <c r="AJ43" s="10"/>
      <c r="AK43" s="34">
        <v>10</v>
      </c>
      <c r="AL43" s="67">
        <f t="shared" si="10"/>
        <v>154.49600000000001</v>
      </c>
      <c r="AM43" s="63">
        <v>307.78500000000003</v>
      </c>
      <c r="AN43" s="48">
        <v>0.7</v>
      </c>
    </row>
    <row r="44" spans="1:40" x14ac:dyDescent="0.2">
      <c r="AA44" s="47">
        <v>20</v>
      </c>
      <c r="AB44" s="67">
        <f t="shared" si="8"/>
        <v>284.98800000000006</v>
      </c>
      <c r="AC44" s="63">
        <v>571.09800000000007</v>
      </c>
      <c r="AD44" s="5">
        <v>0.7</v>
      </c>
      <c r="AE44" s="10"/>
      <c r="AF44" s="34">
        <v>20</v>
      </c>
      <c r="AG44" s="67">
        <f t="shared" si="9"/>
        <v>295.65600000000001</v>
      </c>
      <c r="AH44" s="63">
        <v>592.476</v>
      </c>
      <c r="AI44" s="5">
        <v>0.7</v>
      </c>
      <c r="AJ44" s="10"/>
      <c r="AK44" s="34">
        <v>20</v>
      </c>
      <c r="AL44" s="67">
        <f t="shared" si="10"/>
        <v>306.57800000000003</v>
      </c>
      <c r="AM44" s="63">
        <v>614.36300000000006</v>
      </c>
      <c r="AN44" s="48">
        <v>0.7</v>
      </c>
    </row>
    <row r="45" spans="1:40" x14ac:dyDescent="0.2">
      <c r="AA45" s="47">
        <v>30</v>
      </c>
      <c r="AB45" s="67">
        <f t="shared" si="8"/>
        <v>286.11</v>
      </c>
      <c r="AC45" s="63">
        <v>857.20800000000008</v>
      </c>
      <c r="AD45" s="5">
        <v>0.7</v>
      </c>
      <c r="AE45" s="10"/>
      <c r="AF45" s="34">
        <v>30</v>
      </c>
      <c r="AG45" s="67">
        <f t="shared" si="9"/>
        <v>296.81999999999994</v>
      </c>
      <c r="AH45" s="63">
        <v>889.29599999999994</v>
      </c>
      <c r="AI45" s="5">
        <v>0.7</v>
      </c>
      <c r="AJ45" s="10"/>
      <c r="AK45" s="34">
        <v>30</v>
      </c>
      <c r="AL45" s="67">
        <f t="shared" si="10"/>
        <v>307.78499999999997</v>
      </c>
      <c r="AM45" s="63">
        <v>922.14800000000002</v>
      </c>
      <c r="AN45" s="48">
        <v>0.7</v>
      </c>
    </row>
    <row r="46" spans="1:40" x14ac:dyDescent="0.2">
      <c r="AA46" s="47">
        <v>40</v>
      </c>
      <c r="AB46" s="67">
        <f t="shared" si="8"/>
        <v>284.98800000000006</v>
      </c>
      <c r="AC46" s="64">
        <v>1142.1960000000001</v>
      </c>
      <c r="AD46" s="25">
        <v>0.7</v>
      </c>
      <c r="AE46" s="10"/>
      <c r="AF46" s="34">
        <v>40</v>
      </c>
      <c r="AG46" s="67">
        <f t="shared" si="9"/>
        <v>295.65600000000006</v>
      </c>
      <c r="AH46" s="64">
        <v>1184.952</v>
      </c>
      <c r="AI46" s="25">
        <v>0.7</v>
      </c>
      <c r="AJ46" s="10"/>
      <c r="AK46" s="34">
        <v>40</v>
      </c>
      <c r="AL46" s="67">
        <f t="shared" si="10"/>
        <v>306.57800000000009</v>
      </c>
      <c r="AM46" s="64">
        <v>1228.7260000000001</v>
      </c>
      <c r="AN46" s="49">
        <v>0.7</v>
      </c>
    </row>
    <row r="47" spans="1:40" x14ac:dyDescent="0.2">
      <c r="AA47" s="47">
        <v>50</v>
      </c>
      <c r="AB47" s="67">
        <f t="shared" si="8"/>
        <v>284.98800000000006</v>
      </c>
      <c r="AC47" s="63">
        <v>1427.1840000000002</v>
      </c>
      <c r="AD47" s="5">
        <v>0.7</v>
      </c>
      <c r="AE47" s="10"/>
      <c r="AF47" s="34">
        <v>50</v>
      </c>
      <c r="AG47" s="67">
        <f t="shared" si="9"/>
        <v>295.65599999999995</v>
      </c>
      <c r="AH47" s="63">
        <v>1480.6079999999999</v>
      </c>
      <c r="AI47" s="5">
        <v>0.7</v>
      </c>
      <c r="AJ47" s="10"/>
      <c r="AK47" s="34">
        <v>50</v>
      </c>
      <c r="AL47" s="67">
        <f t="shared" si="10"/>
        <v>306.57799999999997</v>
      </c>
      <c r="AM47" s="63">
        <v>1535.3040000000001</v>
      </c>
      <c r="AN47" s="48">
        <v>0.7</v>
      </c>
    </row>
    <row r="48" spans="1:40" x14ac:dyDescent="0.2">
      <c r="AA48" s="58" t="s">
        <v>18</v>
      </c>
      <c r="AB48" s="59">
        <f>AC46/AC43</f>
        <v>3.9921568627450985</v>
      </c>
      <c r="AC48" s="35"/>
      <c r="AD48" s="5"/>
      <c r="AE48" s="10"/>
      <c r="AF48" s="58" t="s">
        <v>18</v>
      </c>
      <c r="AG48" s="59">
        <f>AH46/AH43</f>
        <v>3.9921568627450981</v>
      </c>
      <c r="AH48" s="35"/>
      <c r="AI48" s="5"/>
      <c r="AJ48" s="10"/>
      <c r="AK48" s="58" t="s">
        <v>18</v>
      </c>
      <c r="AL48" s="59">
        <f>AM46/AM43</f>
        <v>3.9921568627450981</v>
      </c>
      <c r="AM48" s="35"/>
      <c r="AN48" s="48"/>
    </row>
    <row r="49" spans="27:40" x14ac:dyDescent="0.2">
      <c r="AA49" s="14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6"/>
    </row>
    <row r="50" spans="27:40" x14ac:dyDescent="0.2">
      <c r="AA50" s="14"/>
      <c r="AB50" s="10"/>
      <c r="AC50" s="26">
        <v>2.75</v>
      </c>
      <c r="AD50" s="10" t="s">
        <v>0</v>
      </c>
      <c r="AE50" s="10"/>
      <c r="AF50" s="10"/>
      <c r="AG50" s="10"/>
      <c r="AH50" s="26">
        <v>2.8</v>
      </c>
      <c r="AI50" s="10" t="s">
        <v>0</v>
      </c>
      <c r="AJ50" s="10"/>
      <c r="AK50" s="10"/>
      <c r="AL50" s="10"/>
      <c r="AM50" s="26">
        <v>2.85</v>
      </c>
      <c r="AN50" s="16" t="s">
        <v>0</v>
      </c>
    </row>
    <row r="51" spans="27:40" x14ac:dyDescent="0.2">
      <c r="AA51" s="14"/>
      <c r="AB51" s="10"/>
      <c r="AC51" s="26">
        <v>5.55</v>
      </c>
      <c r="AD51" s="10" t="s">
        <v>1</v>
      </c>
      <c r="AE51" s="10"/>
      <c r="AF51" s="10"/>
      <c r="AG51" s="10"/>
      <c r="AH51" s="26">
        <v>5.74</v>
      </c>
      <c r="AI51" s="10" t="s">
        <v>1</v>
      </c>
      <c r="AJ51" s="10"/>
      <c r="AK51" s="10"/>
      <c r="AL51" s="10"/>
      <c r="AM51" s="42">
        <v>5.93</v>
      </c>
      <c r="AN51" s="16" t="s">
        <v>1</v>
      </c>
    </row>
    <row r="52" spans="27:40" x14ac:dyDescent="0.2">
      <c r="AA52" s="14"/>
      <c r="AB52" s="10"/>
      <c r="AC52" s="26">
        <v>85</v>
      </c>
      <c r="AD52" s="10" t="s">
        <v>8</v>
      </c>
      <c r="AE52" s="10"/>
      <c r="AF52" s="10"/>
      <c r="AG52" s="10"/>
      <c r="AH52" s="26">
        <v>85</v>
      </c>
      <c r="AI52" s="10" t="s">
        <v>8</v>
      </c>
      <c r="AJ52" s="10"/>
      <c r="AK52" s="10"/>
      <c r="AL52" s="10"/>
      <c r="AM52" s="26">
        <v>85</v>
      </c>
      <c r="AN52" s="16" t="s">
        <v>8</v>
      </c>
    </row>
    <row r="53" spans="27:40" x14ac:dyDescent="0.2">
      <c r="AA53" s="45" t="s">
        <v>9</v>
      </c>
      <c r="AB53" s="65" t="s">
        <v>16</v>
      </c>
      <c r="AC53" s="31" t="s">
        <v>10</v>
      </c>
      <c r="AD53" s="30" t="s">
        <v>11</v>
      </c>
      <c r="AE53" s="10"/>
      <c r="AF53" s="30" t="s">
        <v>9</v>
      </c>
      <c r="AG53" s="65" t="s">
        <v>16</v>
      </c>
      <c r="AH53" s="31" t="s">
        <v>10</v>
      </c>
      <c r="AI53" s="30" t="s">
        <v>11</v>
      </c>
      <c r="AJ53" s="10"/>
      <c r="AK53" s="30" t="s">
        <v>9</v>
      </c>
      <c r="AL53" s="65" t="s">
        <v>16</v>
      </c>
      <c r="AM53" s="31" t="s">
        <v>10</v>
      </c>
      <c r="AN53" s="46" t="s">
        <v>11</v>
      </c>
    </row>
    <row r="54" spans="27:40" x14ac:dyDescent="0.2">
      <c r="AA54" s="47">
        <v>1</v>
      </c>
      <c r="AB54" s="66"/>
      <c r="AC54" s="63">
        <v>32.525999999999996</v>
      </c>
      <c r="AD54" s="5">
        <v>0.7</v>
      </c>
      <c r="AE54" s="10"/>
      <c r="AF54" s="34">
        <v>1</v>
      </c>
      <c r="AG54" s="66"/>
      <c r="AH54" s="63">
        <v>33.67</v>
      </c>
      <c r="AI54" s="5">
        <v>0.7</v>
      </c>
      <c r="AJ54" s="10"/>
      <c r="AK54" s="34">
        <v>1</v>
      </c>
      <c r="AL54" s="66"/>
      <c r="AM54" s="63">
        <v>34.840000000000003</v>
      </c>
      <c r="AN54" s="48">
        <v>0.7</v>
      </c>
    </row>
    <row r="55" spans="27:40" x14ac:dyDescent="0.2">
      <c r="AA55" s="47">
        <v>2</v>
      </c>
      <c r="AB55" s="67">
        <f>AC55-AC54</f>
        <v>31.274999999999999</v>
      </c>
      <c r="AC55" s="64">
        <v>63.800999999999995</v>
      </c>
      <c r="AD55" s="25">
        <v>0.7</v>
      </c>
      <c r="AE55" s="10"/>
      <c r="AF55" s="34">
        <v>2</v>
      </c>
      <c r="AG55" s="67">
        <f>AH55-AH54</f>
        <v>32.375</v>
      </c>
      <c r="AH55" s="64">
        <v>66.045000000000002</v>
      </c>
      <c r="AI55" s="25">
        <v>0.7</v>
      </c>
      <c r="AJ55" s="10"/>
      <c r="AK55" s="34">
        <v>2</v>
      </c>
      <c r="AL55" s="67">
        <f>AM55-AM54</f>
        <v>33.5</v>
      </c>
      <c r="AM55" s="64">
        <v>68.34</v>
      </c>
      <c r="AN55" s="49">
        <v>0.7</v>
      </c>
    </row>
    <row r="56" spans="27:40" x14ac:dyDescent="0.2">
      <c r="AA56" s="47">
        <v>3</v>
      </c>
      <c r="AB56" s="67">
        <f t="shared" ref="AB56:AB63" si="11">AC56-AC55</f>
        <v>31.274999999999999</v>
      </c>
      <c r="AC56" s="63">
        <v>95.075999999999993</v>
      </c>
      <c r="AD56" s="5">
        <v>0.7</v>
      </c>
      <c r="AE56" s="10"/>
      <c r="AF56" s="34">
        <v>3</v>
      </c>
      <c r="AG56" s="67">
        <f t="shared" ref="AG56:AG63" si="12">AH56-AH55</f>
        <v>32.374999999999986</v>
      </c>
      <c r="AH56" s="63">
        <v>98.419999999999987</v>
      </c>
      <c r="AI56" s="5">
        <v>0.7</v>
      </c>
      <c r="AJ56" s="10"/>
      <c r="AK56" s="34">
        <v>3</v>
      </c>
      <c r="AL56" s="67">
        <f t="shared" ref="AL56:AL63" si="13">AM56-AM55</f>
        <v>33.5</v>
      </c>
      <c r="AM56" s="63">
        <v>101.84</v>
      </c>
      <c r="AN56" s="48">
        <v>0.7</v>
      </c>
    </row>
    <row r="57" spans="27:40" x14ac:dyDescent="0.2">
      <c r="AA57" s="47">
        <v>4</v>
      </c>
      <c r="AB57" s="67">
        <f t="shared" si="11"/>
        <v>32.525999999999996</v>
      </c>
      <c r="AC57" s="63">
        <v>127.60199999999999</v>
      </c>
      <c r="AD57" s="5">
        <v>0.7</v>
      </c>
      <c r="AE57" s="10"/>
      <c r="AF57" s="34">
        <v>4</v>
      </c>
      <c r="AG57" s="67">
        <f t="shared" si="12"/>
        <v>33.670000000000016</v>
      </c>
      <c r="AH57" s="63">
        <v>132.09</v>
      </c>
      <c r="AI57" s="5">
        <v>0.7</v>
      </c>
      <c r="AJ57" s="10"/>
      <c r="AK57" s="34">
        <v>4</v>
      </c>
      <c r="AL57" s="67">
        <f t="shared" si="13"/>
        <v>34.840000000000003</v>
      </c>
      <c r="AM57" s="63">
        <v>136.68</v>
      </c>
      <c r="AN57" s="48">
        <v>0.7</v>
      </c>
    </row>
    <row r="58" spans="27:40" x14ac:dyDescent="0.2">
      <c r="AA58" s="47">
        <v>5</v>
      </c>
      <c r="AB58" s="67">
        <f t="shared" si="11"/>
        <v>31.274999999999991</v>
      </c>
      <c r="AC58" s="64">
        <v>158.87699999999998</v>
      </c>
      <c r="AD58" s="25">
        <v>0.7</v>
      </c>
      <c r="AE58" s="10"/>
      <c r="AF58" s="34">
        <v>5</v>
      </c>
      <c r="AG58" s="67">
        <f t="shared" si="12"/>
        <v>32.375</v>
      </c>
      <c r="AH58" s="64">
        <v>164.465</v>
      </c>
      <c r="AI58" s="25">
        <v>0.7</v>
      </c>
      <c r="AJ58" s="10"/>
      <c r="AK58" s="34">
        <v>5</v>
      </c>
      <c r="AL58" s="67">
        <f t="shared" si="13"/>
        <v>33.5</v>
      </c>
      <c r="AM58" s="64">
        <v>170.18</v>
      </c>
      <c r="AN58" s="49">
        <v>0.7</v>
      </c>
    </row>
    <row r="59" spans="27:40" x14ac:dyDescent="0.2">
      <c r="AA59" s="47">
        <v>10</v>
      </c>
      <c r="AB59" s="67">
        <f t="shared" si="11"/>
        <v>160.12800000000001</v>
      </c>
      <c r="AC59" s="63">
        <v>319.005</v>
      </c>
      <c r="AD59" s="5">
        <v>0.7</v>
      </c>
      <c r="AE59" s="10"/>
      <c r="AF59" s="34">
        <v>10</v>
      </c>
      <c r="AG59" s="67">
        <f t="shared" si="12"/>
        <v>165.75999999999996</v>
      </c>
      <c r="AH59" s="63">
        <v>330.22499999999997</v>
      </c>
      <c r="AI59" s="5">
        <v>0.7</v>
      </c>
      <c r="AJ59" s="10"/>
      <c r="AK59" s="34">
        <v>10</v>
      </c>
      <c r="AL59" s="67">
        <f t="shared" si="13"/>
        <v>171.52000000000004</v>
      </c>
      <c r="AM59" s="63">
        <v>341.70000000000005</v>
      </c>
      <c r="AN59" s="48">
        <v>0.7</v>
      </c>
    </row>
    <row r="60" spans="27:40" x14ac:dyDescent="0.2">
      <c r="AA60" s="47">
        <v>20</v>
      </c>
      <c r="AB60" s="67">
        <f t="shared" si="11"/>
        <v>317.75399999999991</v>
      </c>
      <c r="AC60" s="63">
        <v>636.7589999999999</v>
      </c>
      <c r="AD60" s="5">
        <v>0.7</v>
      </c>
      <c r="AE60" s="10"/>
      <c r="AF60" s="34">
        <v>20</v>
      </c>
      <c r="AG60" s="67">
        <f t="shared" si="12"/>
        <v>328.93</v>
      </c>
      <c r="AH60" s="63">
        <v>659.15499999999997</v>
      </c>
      <c r="AI60" s="5">
        <v>0.7</v>
      </c>
      <c r="AJ60" s="10"/>
      <c r="AK60" s="34">
        <v>20</v>
      </c>
      <c r="AL60" s="67">
        <f t="shared" si="13"/>
        <v>340.36</v>
      </c>
      <c r="AM60" s="63">
        <v>682.06000000000006</v>
      </c>
      <c r="AN60" s="48">
        <v>0.7</v>
      </c>
    </row>
    <row r="61" spans="27:40" x14ac:dyDescent="0.2">
      <c r="AA61" s="47">
        <v>30</v>
      </c>
      <c r="AB61" s="67">
        <f t="shared" si="11"/>
        <v>319.005</v>
      </c>
      <c r="AC61" s="63">
        <v>955.7639999999999</v>
      </c>
      <c r="AD61" s="5">
        <v>0.7</v>
      </c>
      <c r="AE61" s="10"/>
      <c r="AF61" s="34">
        <v>30</v>
      </c>
      <c r="AG61" s="67">
        <f t="shared" si="12"/>
        <v>330.22500000000002</v>
      </c>
      <c r="AH61" s="63">
        <v>989.38</v>
      </c>
      <c r="AI61" s="5">
        <v>0.7</v>
      </c>
      <c r="AJ61" s="10"/>
      <c r="AK61" s="34">
        <v>30</v>
      </c>
      <c r="AL61" s="67">
        <f t="shared" si="13"/>
        <v>341.70000000000005</v>
      </c>
      <c r="AM61" s="63">
        <v>1023.7600000000001</v>
      </c>
      <c r="AN61" s="48">
        <v>0.7</v>
      </c>
    </row>
    <row r="62" spans="27:40" x14ac:dyDescent="0.2">
      <c r="AA62" s="47">
        <v>40</v>
      </c>
      <c r="AB62" s="67">
        <f t="shared" si="11"/>
        <v>317.75399999999991</v>
      </c>
      <c r="AC62" s="64">
        <v>1273.5179999999998</v>
      </c>
      <c r="AD62" s="25">
        <v>0.7</v>
      </c>
      <c r="AE62" s="10"/>
      <c r="AF62" s="34">
        <v>40</v>
      </c>
      <c r="AG62" s="67">
        <f t="shared" si="12"/>
        <v>328.92999999999995</v>
      </c>
      <c r="AH62" s="64">
        <v>1318.31</v>
      </c>
      <c r="AI62" s="25">
        <v>0.7</v>
      </c>
      <c r="AJ62" s="10"/>
      <c r="AK62" s="34">
        <v>40</v>
      </c>
      <c r="AL62" s="67">
        <f t="shared" si="13"/>
        <v>340.36</v>
      </c>
      <c r="AM62" s="64">
        <v>1364.1200000000001</v>
      </c>
      <c r="AN62" s="49">
        <v>0.7</v>
      </c>
    </row>
    <row r="63" spans="27:40" x14ac:dyDescent="0.2">
      <c r="AA63" s="47">
        <v>50</v>
      </c>
      <c r="AB63" s="67">
        <f t="shared" si="11"/>
        <v>317.75400000000013</v>
      </c>
      <c r="AC63" s="63">
        <v>1591.2719999999999</v>
      </c>
      <c r="AD63" s="5">
        <v>0.7</v>
      </c>
      <c r="AE63" s="10"/>
      <c r="AF63" s="34">
        <v>50</v>
      </c>
      <c r="AG63" s="67">
        <f t="shared" si="12"/>
        <v>328.93000000000006</v>
      </c>
      <c r="AH63" s="63">
        <v>1647.24</v>
      </c>
      <c r="AI63" s="5">
        <v>0.7</v>
      </c>
      <c r="AJ63" s="10"/>
      <c r="AK63" s="34">
        <v>50</v>
      </c>
      <c r="AL63" s="67">
        <f t="shared" si="13"/>
        <v>340.3599999999999</v>
      </c>
      <c r="AM63" s="63">
        <v>1704.48</v>
      </c>
      <c r="AN63" s="48">
        <v>0.7</v>
      </c>
    </row>
    <row r="64" spans="27:40" x14ac:dyDescent="0.2">
      <c r="AA64" s="58" t="s">
        <v>18</v>
      </c>
      <c r="AB64" s="59">
        <f>AC62/AC59</f>
        <v>3.9921568627450976</v>
      </c>
      <c r="AC64" s="35"/>
      <c r="AD64" s="5"/>
      <c r="AE64" s="10"/>
      <c r="AF64" s="58" t="s">
        <v>18</v>
      </c>
      <c r="AG64" s="59">
        <f>AH62/AH59</f>
        <v>3.9921568627450981</v>
      </c>
      <c r="AH64" s="35"/>
      <c r="AI64" s="5"/>
      <c r="AJ64" s="10"/>
      <c r="AK64" s="58" t="s">
        <v>18</v>
      </c>
      <c r="AL64" s="59">
        <f>AM62/AM59</f>
        <v>3.9921568627450981</v>
      </c>
      <c r="AM64" s="35"/>
      <c r="AN64" s="48"/>
    </row>
    <row r="65" spans="27:40" x14ac:dyDescent="0.2">
      <c r="AA65" s="14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6"/>
    </row>
    <row r="66" spans="27:40" x14ac:dyDescent="0.2">
      <c r="AA66" s="14"/>
      <c r="AB66" s="10"/>
      <c r="AC66" s="26">
        <v>2.9</v>
      </c>
      <c r="AD66" s="10" t="s">
        <v>0</v>
      </c>
      <c r="AE66" s="10"/>
      <c r="AF66" s="10"/>
      <c r="AG66" s="10"/>
      <c r="AH66" s="10"/>
      <c r="AI66" s="10"/>
      <c r="AJ66" s="10"/>
      <c r="AK66" s="10"/>
      <c r="AL66" s="10"/>
      <c r="AM66" s="10"/>
      <c r="AN66" s="16"/>
    </row>
    <row r="67" spans="27:40" x14ac:dyDescent="0.2">
      <c r="AA67" s="14"/>
      <c r="AB67" s="10"/>
      <c r="AC67" s="26">
        <v>6.12</v>
      </c>
      <c r="AD67" s="10" t="s">
        <v>1</v>
      </c>
      <c r="AE67" s="10"/>
      <c r="AF67" s="10"/>
      <c r="AG67" s="10"/>
      <c r="AH67" s="10"/>
      <c r="AI67" s="10"/>
      <c r="AJ67" s="10"/>
      <c r="AK67" s="10"/>
      <c r="AL67" s="10"/>
      <c r="AM67" s="10"/>
      <c r="AN67" s="16"/>
    </row>
    <row r="68" spans="27:40" x14ac:dyDescent="0.2">
      <c r="AA68" s="14"/>
      <c r="AB68" s="10"/>
      <c r="AC68" s="26">
        <v>85</v>
      </c>
      <c r="AD68" s="10" t="s">
        <v>8</v>
      </c>
      <c r="AE68" s="10"/>
      <c r="AF68" s="10"/>
      <c r="AG68" s="10"/>
      <c r="AH68" s="10"/>
      <c r="AI68" s="10"/>
      <c r="AJ68" s="10"/>
      <c r="AK68" s="10"/>
      <c r="AL68" s="10"/>
      <c r="AM68" s="10"/>
      <c r="AN68" s="16"/>
    </row>
    <row r="69" spans="27:40" x14ac:dyDescent="0.2">
      <c r="AA69" s="45" t="s">
        <v>9</v>
      </c>
      <c r="AB69" s="65" t="s">
        <v>16</v>
      </c>
      <c r="AC69" s="31" t="s">
        <v>10</v>
      </c>
      <c r="AD69" s="30" t="s">
        <v>11</v>
      </c>
      <c r="AE69" s="10"/>
      <c r="AF69" s="11"/>
      <c r="AG69" s="12"/>
      <c r="AH69" s="12"/>
      <c r="AI69" s="12"/>
      <c r="AJ69" s="12"/>
      <c r="AK69" s="12"/>
      <c r="AL69" s="12"/>
      <c r="AM69" s="12"/>
      <c r="AN69" s="13"/>
    </row>
    <row r="70" spans="27:40" x14ac:dyDescent="0.2">
      <c r="AA70" s="47">
        <v>1</v>
      </c>
      <c r="AB70" s="66"/>
      <c r="AC70" s="63">
        <v>36.01</v>
      </c>
      <c r="AD70" s="5">
        <v>0.7</v>
      </c>
      <c r="AE70" s="10"/>
      <c r="AF70" s="14" t="s">
        <v>19</v>
      </c>
      <c r="AG70" s="10"/>
      <c r="AH70" s="10"/>
      <c r="AI70" s="10"/>
      <c r="AJ70" s="10"/>
      <c r="AK70" s="10"/>
      <c r="AL70" s="10"/>
      <c r="AM70" s="10"/>
      <c r="AN70" s="16"/>
    </row>
    <row r="71" spans="27:40" x14ac:dyDescent="0.2">
      <c r="AA71" s="47">
        <v>2</v>
      </c>
      <c r="AB71" s="67">
        <f>AC71-AC70</f>
        <v>34.625000000000007</v>
      </c>
      <c r="AC71" s="64">
        <v>70.635000000000005</v>
      </c>
      <c r="AD71" s="25">
        <v>0.7</v>
      </c>
      <c r="AE71" s="10"/>
      <c r="AF71" s="14" t="s">
        <v>20</v>
      </c>
      <c r="AG71" s="10"/>
      <c r="AH71" s="10"/>
      <c r="AI71" s="10"/>
      <c r="AJ71" s="10"/>
      <c r="AK71" s="10"/>
      <c r="AL71" s="10"/>
      <c r="AM71" s="10"/>
      <c r="AN71" s="16"/>
    </row>
    <row r="72" spans="27:40" x14ac:dyDescent="0.2">
      <c r="AA72" s="47">
        <v>3</v>
      </c>
      <c r="AB72" s="67">
        <f t="shared" ref="AB72:AB79" si="14">AC72-AC71</f>
        <v>34.625</v>
      </c>
      <c r="AC72" s="63">
        <v>105.26</v>
      </c>
      <c r="AD72" s="5">
        <v>0.7</v>
      </c>
      <c r="AE72" s="10"/>
      <c r="AF72" s="55"/>
      <c r="AG72" s="10"/>
      <c r="AH72" s="10"/>
      <c r="AI72" s="10"/>
      <c r="AJ72" s="10"/>
      <c r="AK72" s="10"/>
      <c r="AL72" s="10"/>
      <c r="AM72" s="10"/>
      <c r="AN72" s="16"/>
    </row>
    <row r="73" spans="27:40" x14ac:dyDescent="0.2">
      <c r="AA73" s="47">
        <v>4</v>
      </c>
      <c r="AB73" s="67">
        <f t="shared" si="14"/>
        <v>36.010000000000005</v>
      </c>
      <c r="AC73" s="63">
        <v>141.27000000000001</v>
      </c>
      <c r="AD73" s="5">
        <v>0.7</v>
      </c>
      <c r="AE73" s="10"/>
      <c r="AF73" s="55" t="s">
        <v>21</v>
      </c>
      <c r="AG73" s="10"/>
      <c r="AH73" s="10"/>
      <c r="AI73" s="10"/>
      <c r="AJ73" s="10"/>
      <c r="AK73" s="10"/>
      <c r="AL73" s="10"/>
      <c r="AM73" s="10"/>
      <c r="AN73" s="16"/>
    </row>
    <row r="74" spans="27:40" x14ac:dyDescent="0.2">
      <c r="AA74" s="47">
        <v>5</v>
      </c>
      <c r="AB74" s="67">
        <f t="shared" si="14"/>
        <v>34.625</v>
      </c>
      <c r="AC74" s="64">
        <v>175.89500000000001</v>
      </c>
      <c r="AD74" s="25">
        <v>0.7</v>
      </c>
      <c r="AE74" s="10"/>
      <c r="AF74" s="14"/>
      <c r="AG74" s="10"/>
      <c r="AH74" s="10"/>
      <c r="AI74" s="10"/>
      <c r="AJ74" s="10"/>
      <c r="AK74" s="10"/>
      <c r="AL74" s="10"/>
      <c r="AM74" s="10"/>
      <c r="AN74" s="16"/>
    </row>
    <row r="75" spans="27:40" x14ac:dyDescent="0.2">
      <c r="AA75" s="47">
        <v>10</v>
      </c>
      <c r="AB75" s="67">
        <f t="shared" si="14"/>
        <v>177.28</v>
      </c>
      <c r="AC75" s="63">
        <v>353.17500000000001</v>
      </c>
      <c r="AD75" s="5">
        <v>0.7</v>
      </c>
      <c r="AE75" s="10"/>
      <c r="AF75" s="55"/>
      <c r="AG75" s="10"/>
      <c r="AH75" s="10"/>
      <c r="AI75" s="10"/>
      <c r="AJ75" s="10"/>
      <c r="AK75" s="10"/>
      <c r="AL75" s="10"/>
      <c r="AM75" s="10"/>
      <c r="AN75" s="16"/>
    </row>
    <row r="76" spans="27:40" x14ac:dyDescent="0.2">
      <c r="AA76" s="47">
        <v>20</v>
      </c>
      <c r="AB76" s="67">
        <f t="shared" si="14"/>
        <v>351.79</v>
      </c>
      <c r="AC76" s="63">
        <v>704.96500000000003</v>
      </c>
      <c r="AD76" s="5">
        <v>0.7</v>
      </c>
      <c r="AE76" s="10"/>
      <c r="AF76" s="14"/>
      <c r="AG76" s="10"/>
      <c r="AH76" s="10"/>
      <c r="AI76" s="10"/>
      <c r="AJ76" s="10"/>
      <c r="AK76" s="10"/>
      <c r="AL76" s="10"/>
      <c r="AM76" s="10"/>
      <c r="AN76" s="16"/>
    </row>
    <row r="77" spans="27:40" x14ac:dyDescent="0.2">
      <c r="AA77" s="47">
        <v>30</v>
      </c>
      <c r="AB77" s="67">
        <f t="shared" si="14"/>
        <v>353.17500000000007</v>
      </c>
      <c r="AC77" s="63">
        <v>1058.1400000000001</v>
      </c>
      <c r="AD77" s="5">
        <v>0.7</v>
      </c>
      <c r="AE77" s="10"/>
      <c r="AF77" s="14"/>
      <c r="AG77" s="10"/>
      <c r="AH77" s="10"/>
      <c r="AI77" s="10"/>
      <c r="AJ77" s="10"/>
      <c r="AK77" s="10"/>
      <c r="AL77" s="10"/>
      <c r="AM77" s="10"/>
      <c r="AN77" s="16"/>
    </row>
    <row r="78" spans="27:40" x14ac:dyDescent="0.2">
      <c r="AA78" s="47">
        <v>40</v>
      </c>
      <c r="AB78" s="67">
        <f t="shared" si="14"/>
        <v>351.78999999999996</v>
      </c>
      <c r="AC78" s="64">
        <v>1409.93</v>
      </c>
      <c r="AD78" s="25">
        <v>0.7</v>
      </c>
      <c r="AE78" s="10"/>
      <c r="AF78" s="14"/>
      <c r="AG78" s="10"/>
      <c r="AH78" s="10"/>
      <c r="AI78" s="10"/>
      <c r="AJ78" s="10"/>
      <c r="AK78" s="10"/>
      <c r="AL78" s="10"/>
      <c r="AM78" s="10"/>
      <c r="AN78" s="16"/>
    </row>
    <row r="79" spans="27:40" x14ac:dyDescent="0.2">
      <c r="AA79" s="47">
        <v>50</v>
      </c>
      <c r="AB79" s="67">
        <f t="shared" si="14"/>
        <v>351.78999999999996</v>
      </c>
      <c r="AC79" s="63">
        <v>1761.72</v>
      </c>
      <c r="AD79" s="5">
        <v>0.7</v>
      </c>
      <c r="AE79" s="10"/>
      <c r="AF79" s="14"/>
      <c r="AG79" s="10"/>
      <c r="AH79" s="10"/>
      <c r="AI79" s="10"/>
      <c r="AJ79" s="10"/>
      <c r="AK79" s="10"/>
      <c r="AL79" s="10"/>
      <c r="AM79" s="10"/>
      <c r="AN79" s="16"/>
    </row>
    <row r="80" spans="27:40" x14ac:dyDescent="0.2">
      <c r="AA80" s="61" t="s">
        <v>18</v>
      </c>
      <c r="AB80" s="62">
        <f>AC78/AC75</f>
        <v>3.9921568627450981</v>
      </c>
      <c r="AC80" s="50"/>
      <c r="AD80" s="51"/>
      <c r="AE80" s="3"/>
      <c r="AF80" s="7"/>
      <c r="AG80" s="3"/>
      <c r="AH80" s="3"/>
      <c r="AI80" s="3"/>
      <c r="AJ80" s="3"/>
      <c r="AK80" s="3"/>
      <c r="AL80" s="3"/>
      <c r="AM80" s="3"/>
      <c r="AN80" s="8"/>
    </row>
  </sheetData>
  <pageMargins left="0.7" right="0.7" top="0.75" bottom="0.75" header="0.3" footer="0.3"/>
  <pageSetup scale="81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W83"/>
  <sheetViews>
    <sheetView showGridLines="0" zoomScale="90" zoomScaleNormal="90" workbookViewId="0">
      <selection activeCell="H17" sqref="H17"/>
    </sheetView>
  </sheetViews>
  <sheetFormatPr defaultRowHeight="12.75" x14ac:dyDescent="0.2"/>
  <cols>
    <col min="4" max="4" width="9.140625" customWidth="1"/>
    <col min="8" max="8" width="9.140625" customWidth="1"/>
    <col min="10" max="10" width="9.140625" customWidth="1"/>
    <col min="12" max="14" width="9.140625" customWidth="1"/>
    <col min="16" max="16" width="9.140625" customWidth="1"/>
  </cols>
  <sheetData>
    <row r="1" spans="1:23" x14ac:dyDescent="0.2">
      <c r="Q1" s="158" t="s">
        <v>81</v>
      </c>
      <c r="T1" s="158"/>
    </row>
    <row r="2" spans="1:23" x14ac:dyDescent="0.2">
      <c r="A2" t="s">
        <v>6</v>
      </c>
    </row>
    <row r="3" spans="1:23" x14ac:dyDescent="0.2">
      <c r="A3" s="1" t="s">
        <v>7</v>
      </c>
    </row>
    <row r="4" spans="1:23" x14ac:dyDescent="0.2">
      <c r="A4" s="24" t="s">
        <v>23</v>
      </c>
    </row>
    <row r="5" spans="1:23" x14ac:dyDescent="0.2">
      <c r="O5" s="1"/>
      <c r="P5" s="1"/>
    </row>
    <row r="6" spans="1:23" x14ac:dyDescent="0.2">
      <c r="A6" s="21" t="s">
        <v>5</v>
      </c>
    </row>
    <row r="7" spans="1:23" x14ac:dyDescent="0.2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23" x14ac:dyDescent="0.2">
      <c r="B8" s="10"/>
      <c r="C8" s="109" t="s">
        <v>46</v>
      </c>
    </row>
    <row r="9" spans="1:23" x14ac:dyDescent="0.2">
      <c r="B9" s="10"/>
    </row>
    <row r="10" spans="1:23" x14ac:dyDescent="0.2">
      <c r="B10" s="10"/>
    </row>
    <row r="11" spans="1:23" x14ac:dyDescent="0.2">
      <c r="B11" s="10"/>
    </row>
    <row r="12" spans="1:23" x14ac:dyDescent="0.2">
      <c r="B12" s="10"/>
    </row>
    <row r="13" spans="1:23" x14ac:dyDescent="0.2">
      <c r="B13" s="17"/>
      <c r="C13" s="1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44" t="s">
        <v>5</v>
      </c>
      <c r="O13" s="12"/>
      <c r="P13" s="12"/>
      <c r="Q13" s="12"/>
      <c r="R13" s="12"/>
      <c r="S13" s="13"/>
    </row>
    <row r="14" spans="1:23" ht="15" x14ac:dyDescent="0.2">
      <c r="B14" s="10"/>
      <c r="C14" s="56" t="s">
        <v>22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52"/>
      <c r="O14" s="10"/>
      <c r="P14" s="10"/>
      <c r="Q14" s="10"/>
      <c r="R14" s="10"/>
      <c r="S14" s="16"/>
      <c r="U14" s="73" t="s">
        <v>24</v>
      </c>
      <c r="V14" s="74" t="s">
        <v>25</v>
      </c>
      <c r="W14" s="75" t="s">
        <v>26</v>
      </c>
    </row>
    <row r="15" spans="1:23" ht="15" x14ac:dyDescent="0.2">
      <c r="B15" s="10"/>
      <c r="C15" s="56" t="s">
        <v>29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52"/>
      <c r="O15" s="10"/>
      <c r="P15" s="10"/>
      <c r="Q15" s="10"/>
      <c r="R15" s="10"/>
      <c r="S15" s="16"/>
      <c r="U15" s="76">
        <v>1</v>
      </c>
      <c r="V15" s="69">
        <v>52</v>
      </c>
      <c r="W15" s="77">
        <v>0</v>
      </c>
    </row>
    <row r="16" spans="1:23" ht="15" x14ac:dyDescent="0.2">
      <c r="B16" s="4"/>
      <c r="C16" s="14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6"/>
      <c r="U16" s="76">
        <v>2</v>
      </c>
      <c r="V16" s="69">
        <v>68</v>
      </c>
      <c r="W16" s="77">
        <v>0</v>
      </c>
    </row>
    <row r="17" spans="2:23" ht="15" x14ac:dyDescent="0.2">
      <c r="B17" s="4"/>
      <c r="C17" s="14"/>
      <c r="D17" s="10"/>
      <c r="E17" s="26">
        <v>2.4500000000000002</v>
      </c>
      <c r="F17" s="10" t="s">
        <v>0</v>
      </c>
      <c r="G17" s="10"/>
      <c r="H17" s="10"/>
      <c r="I17" s="10"/>
      <c r="J17" s="10"/>
      <c r="K17" s="26">
        <v>2.5</v>
      </c>
      <c r="L17" s="10" t="s">
        <v>0</v>
      </c>
      <c r="M17" s="10"/>
      <c r="N17" s="10"/>
      <c r="O17" s="10"/>
      <c r="P17" s="10"/>
      <c r="Q17" s="26">
        <v>2.5499999999999998</v>
      </c>
      <c r="R17" s="10" t="s">
        <v>0</v>
      </c>
      <c r="S17" s="16"/>
      <c r="U17" s="76">
        <v>3</v>
      </c>
      <c r="V17" s="69">
        <v>84</v>
      </c>
      <c r="W17" s="77">
        <v>0</v>
      </c>
    </row>
    <row r="18" spans="2:23" ht="15" x14ac:dyDescent="0.2">
      <c r="B18" s="4"/>
      <c r="C18" s="14"/>
      <c r="D18" s="10"/>
      <c r="E18" s="26">
        <v>4.47</v>
      </c>
      <c r="F18" s="10" t="s">
        <v>1</v>
      </c>
      <c r="G18" s="10"/>
      <c r="H18" s="10"/>
      <c r="I18" s="10"/>
      <c r="J18" s="10"/>
      <c r="K18" s="26">
        <v>4.6500000000000004</v>
      </c>
      <c r="L18" s="10" t="s">
        <v>1</v>
      </c>
      <c r="M18" s="10"/>
      <c r="N18" s="10"/>
      <c r="O18" s="10"/>
      <c r="P18" s="10"/>
      <c r="Q18" s="26">
        <v>4.82</v>
      </c>
      <c r="R18" s="10" t="s">
        <v>1</v>
      </c>
      <c r="S18" s="16"/>
      <c r="U18" s="76">
        <v>4</v>
      </c>
      <c r="V18" s="69">
        <v>100</v>
      </c>
      <c r="W18" s="77">
        <v>0</v>
      </c>
    </row>
    <row r="19" spans="2:23" ht="15" x14ac:dyDescent="0.2">
      <c r="B19" s="4"/>
      <c r="C19" s="14"/>
      <c r="D19" s="10"/>
      <c r="E19" s="26">
        <v>85</v>
      </c>
      <c r="F19" s="10" t="s">
        <v>8</v>
      </c>
      <c r="G19" s="10"/>
      <c r="H19" s="10"/>
      <c r="I19" s="10"/>
      <c r="J19" s="10"/>
      <c r="K19" s="26">
        <v>85</v>
      </c>
      <c r="L19" s="10" t="s">
        <v>8</v>
      </c>
      <c r="M19" s="10"/>
      <c r="N19" s="10"/>
      <c r="O19" s="10"/>
      <c r="P19" s="10"/>
      <c r="Q19" s="26">
        <v>85</v>
      </c>
      <c r="R19" s="10" t="s">
        <v>8</v>
      </c>
      <c r="S19" s="16"/>
      <c r="U19" s="76">
        <v>5</v>
      </c>
      <c r="V19" s="70">
        <v>116</v>
      </c>
      <c r="W19" s="78">
        <v>0</v>
      </c>
    </row>
    <row r="20" spans="2:23" ht="15" x14ac:dyDescent="0.2">
      <c r="B20" s="20"/>
      <c r="C20" s="45" t="s">
        <v>9</v>
      </c>
      <c r="D20" s="88" t="s">
        <v>28</v>
      </c>
      <c r="E20" s="31" t="s">
        <v>10</v>
      </c>
      <c r="F20" s="30" t="s">
        <v>11</v>
      </c>
      <c r="G20" s="86" t="s">
        <v>12</v>
      </c>
      <c r="H20" s="10"/>
      <c r="I20" s="30" t="s">
        <v>9</v>
      </c>
      <c r="J20" s="88" t="s">
        <v>28</v>
      </c>
      <c r="K20" s="31" t="s">
        <v>10</v>
      </c>
      <c r="L20" s="30" t="s">
        <v>11</v>
      </c>
      <c r="M20" s="86" t="s">
        <v>12</v>
      </c>
      <c r="N20" s="10"/>
      <c r="O20" s="30" t="s">
        <v>9</v>
      </c>
      <c r="P20" s="88" t="s">
        <v>28</v>
      </c>
      <c r="Q20" s="31" t="s">
        <v>10</v>
      </c>
      <c r="R20" s="30" t="s">
        <v>11</v>
      </c>
      <c r="S20" s="86" t="s">
        <v>12</v>
      </c>
      <c r="U20" s="76">
        <v>10</v>
      </c>
      <c r="V20" s="69">
        <v>181</v>
      </c>
      <c r="W20" s="77">
        <v>0</v>
      </c>
    </row>
    <row r="21" spans="2:23" ht="15" x14ac:dyDescent="0.2">
      <c r="B21" s="9"/>
      <c r="C21" s="47">
        <v>1</v>
      </c>
      <c r="D21" s="63">
        <v>52</v>
      </c>
      <c r="E21" s="63">
        <v>-36.741</v>
      </c>
      <c r="F21" s="5">
        <v>1.0104532229892749</v>
      </c>
      <c r="G21" s="85">
        <f>(E21/D21)*-1</f>
        <v>0.70655769230769228</v>
      </c>
      <c r="H21" s="10"/>
      <c r="I21" s="34">
        <v>1</v>
      </c>
      <c r="J21" s="63">
        <v>52</v>
      </c>
      <c r="K21" s="63">
        <v>-38.220999999999997</v>
      </c>
      <c r="L21" s="5">
        <v>1.0099983105251991</v>
      </c>
      <c r="M21" s="85">
        <f>(K21/J21)*-1</f>
        <v>0.7350192307692307</v>
      </c>
      <c r="N21" s="10"/>
      <c r="O21" s="34">
        <v>1</v>
      </c>
      <c r="P21" s="63">
        <v>52</v>
      </c>
      <c r="Q21" s="63">
        <v>-39.701000000000001</v>
      </c>
      <c r="R21" s="5">
        <v>1.0099983105251991</v>
      </c>
      <c r="S21" s="85">
        <f>(Q21/P21)*-1</f>
        <v>0.76348076923076924</v>
      </c>
      <c r="U21" s="76">
        <v>20</v>
      </c>
      <c r="V21" s="69">
        <v>285</v>
      </c>
      <c r="W21" s="77">
        <v>0</v>
      </c>
    </row>
    <row r="22" spans="2:23" ht="15" x14ac:dyDescent="0.2">
      <c r="B22" s="9"/>
      <c r="C22" s="47">
        <v>2</v>
      </c>
      <c r="D22" s="64">
        <v>68</v>
      </c>
      <c r="E22" s="64">
        <v>-65.537999999999997</v>
      </c>
      <c r="F22" s="25">
        <v>0.90121503672016401</v>
      </c>
      <c r="G22" s="87">
        <f t="shared" ref="G22:G30" si="0">(E22/D22)*-1</f>
        <v>0.9637941176470588</v>
      </c>
      <c r="H22" s="10"/>
      <c r="I22" s="34">
        <v>2</v>
      </c>
      <c r="J22" s="64">
        <v>68</v>
      </c>
      <c r="K22" s="64">
        <v>-68.177999999999997</v>
      </c>
      <c r="L22" s="25">
        <v>0.90080930398193448</v>
      </c>
      <c r="M22" s="87">
        <f t="shared" ref="M22:M30" si="1">(K22/J22)*-1</f>
        <v>1.0026176470588235</v>
      </c>
      <c r="N22" s="10"/>
      <c r="O22" s="34">
        <v>2</v>
      </c>
      <c r="P22" s="64">
        <v>68</v>
      </c>
      <c r="Q22" s="64">
        <v>-70.817999999999998</v>
      </c>
      <c r="R22" s="25">
        <v>0.90080930398193448</v>
      </c>
      <c r="S22" s="87">
        <f t="shared" ref="S22:S30" si="2">(Q22/P22)*-1</f>
        <v>1.0414411764705882</v>
      </c>
      <c r="U22" s="76">
        <v>30</v>
      </c>
      <c r="V22" s="69">
        <v>389</v>
      </c>
      <c r="W22" s="77">
        <v>0</v>
      </c>
    </row>
    <row r="23" spans="2:23" ht="15" x14ac:dyDescent="0.2">
      <c r="B23" s="9"/>
      <c r="C23" s="47">
        <v>3</v>
      </c>
      <c r="D23" s="63">
        <v>84</v>
      </c>
      <c r="E23" s="63">
        <v>-87.384</v>
      </c>
      <c r="F23" s="5">
        <v>0.80108003264014582</v>
      </c>
      <c r="G23" s="85">
        <f t="shared" si="0"/>
        <v>1.0402857142857143</v>
      </c>
      <c r="H23" s="10"/>
      <c r="I23" s="34">
        <v>3</v>
      </c>
      <c r="J23" s="63">
        <v>84</v>
      </c>
      <c r="K23" s="63">
        <v>-90.903999999999996</v>
      </c>
      <c r="L23" s="5">
        <v>0.80071938131727505</v>
      </c>
      <c r="M23" s="85">
        <f t="shared" si="1"/>
        <v>1.0821904761904761</v>
      </c>
      <c r="N23" s="10"/>
      <c r="O23" s="34">
        <v>3</v>
      </c>
      <c r="P23" s="63">
        <v>84</v>
      </c>
      <c r="Q23" s="63">
        <v>-94.423999999999992</v>
      </c>
      <c r="R23" s="5">
        <v>0.80071938131727505</v>
      </c>
      <c r="S23" s="85">
        <f t="shared" si="2"/>
        <v>1.124095238095238</v>
      </c>
      <c r="U23" s="76">
        <v>40</v>
      </c>
      <c r="V23" s="69">
        <v>492</v>
      </c>
      <c r="W23" s="77">
        <v>0</v>
      </c>
    </row>
    <row r="24" spans="2:23" ht="15" x14ac:dyDescent="0.2">
      <c r="B24" s="9"/>
      <c r="C24" s="47">
        <v>4</v>
      </c>
      <c r="D24" s="63">
        <v>100</v>
      </c>
      <c r="E24" s="63">
        <v>-101.286</v>
      </c>
      <c r="F24" s="5">
        <v>0.69639343746558124</v>
      </c>
      <c r="G24" s="85">
        <f t="shared" si="0"/>
        <v>1.0128600000000001</v>
      </c>
      <c r="H24" s="10"/>
      <c r="I24" s="34">
        <v>4</v>
      </c>
      <c r="J24" s="63">
        <v>100</v>
      </c>
      <c r="K24" s="63">
        <v>-105.36599999999999</v>
      </c>
      <c r="L24" s="5">
        <v>0.69607991671331293</v>
      </c>
      <c r="M24" s="85">
        <f t="shared" si="1"/>
        <v>1.0536599999999998</v>
      </c>
      <c r="N24" s="10"/>
      <c r="O24" s="34">
        <v>4</v>
      </c>
      <c r="P24" s="63">
        <v>100</v>
      </c>
      <c r="Q24" s="63">
        <v>-109.446</v>
      </c>
      <c r="R24" s="5">
        <v>0.69607991671331293</v>
      </c>
      <c r="S24" s="85">
        <f t="shared" si="2"/>
        <v>1.09446</v>
      </c>
      <c r="U24" s="76">
        <v>50</v>
      </c>
      <c r="V24" s="70">
        <v>596</v>
      </c>
      <c r="W24" s="78">
        <v>0</v>
      </c>
    </row>
    <row r="25" spans="2:23" ht="15" x14ac:dyDescent="0.2">
      <c r="B25" s="9"/>
      <c r="C25" s="47">
        <v>5</v>
      </c>
      <c r="D25" s="64">
        <v>116</v>
      </c>
      <c r="E25" s="64">
        <v>-127.104</v>
      </c>
      <c r="F25" s="25">
        <v>0.69912439212230904</v>
      </c>
      <c r="G25" s="87">
        <f t="shared" si="0"/>
        <v>1.0957241379310345</v>
      </c>
      <c r="H25" s="10"/>
      <c r="I25" s="34">
        <v>5</v>
      </c>
      <c r="J25" s="64">
        <v>116</v>
      </c>
      <c r="K25" s="64">
        <v>-132.22399999999999</v>
      </c>
      <c r="L25" s="25">
        <v>0.69880964187689454</v>
      </c>
      <c r="M25" s="87">
        <f t="shared" si="1"/>
        <v>1.1398620689655172</v>
      </c>
      <c r="N25" s="10"/>
      <c r="O25" s="34">
        <v>5</v>
      </c>
      <c r="P25" s="64">
        <v>116</v>
      </c>
      <c r="Q25" s="64">
        <v>-137.34399999999999</v>
      </c>
      <c r="R25" s="25">
        <v>0.69880964187689454</v>
      </c>
      <c r="S25" s="87">
        <f t="shared" si="2"/>
        <v>1.1839999999999999</v>
      </c>
      <c r="U25" s="79">
        <v>50.1</v>
      </c>
      <c r="V25" s="72">
        <v>3.3</v>
      </c>
      <c r="W25" s="77"/>
    </row>
    <row r="26" spans="2:23" ht="13.5" customHeight="1" x14ac:dyDescent="0.2">
      <c r="B26" s="9"/>
      <c r="C26" s="47">
        <v>10</v>
      </c>
      <c r="D26" s="63">
        <v>181</v>
      </c>
      <c r="E26" s="63">
        <v>-254.208</v>
      </c>
      <c r="F26" s="5">
        <v>0.69912439212230904</v>
      </c>
      <c r="G26" s="85">
        <f t="shared" si="0"/>
        <v>1.4044640883977901</v>
      </c>
      <c r="H26" s="54"/>
      <c r="I26" s="34">
        <v>10</v>
      </c>
      <c r="J26" s="63">
        <v>181</v>
      </c>
      <c r="K26" s="63">
        <v>-264.44799999999998</v>
      </c>
      <c r="L26" s="5">
        <v>0.69880964187689454</v>
      </c>
      <c r="M26" s="85">
        <f t="shared" si="1"/>
        <v>1.4610386740331491</v>
      </c>
      <c r="N26" s="10"/>
      <c r="O26" s="34">
        <v>10</v>
      </c>
      <c r="P26" s="63">
        <v>181</v>
      </c>
      <c r="Q26" s="63">
        <v>-274.68799999999999</v>
      </c>
      <c r="R26" s="5">
        <v>0.69880964187689454</v>
      </c>
      <c r="S26" s="85">
        <f t="shared" si="2"/>
        <v>1.5176132596685081</v>
      </c>
      <c r="U26" s="204" t="s">
        <v>27</v>
      </c>
      <c r="V26" s="205"/>
      <c r="W26" s="206"/>
    </row>
    <row r="27" spans="2:23" ht="15" x14ac:dyDescent="0.2">
      <c r="B27" s="9"/>
      <c r="C27" s="47">
        <v>20</v>
      </c>
      <c r="D27" s="63">
        <v>285</v>
      </c>
      <c r="E27" s="63">
        <v>-509.40899999999999</v>
      </c>
      <c r="F27" s="5">
        <v>0.70048986945067293</v>
      </c>
      <c r="G27" s="85">
        <f t="shared" si="0"/>
        <v>1.7873999999999999</v>
      </c>
      <c r="H27" s="10"/>
      <c r="I27" s="34">
        <v>20</v>
      </c>
      <c r="J27" s="63">
        <v>285</v>
      </c>
      <c r="K27" s="63">
        <v>-529.92899999999997</v>
      </c>
      <c r="L27" s="5">
        <v>0.70017450445868545</v>
      </c>
      <c r="M27" s="85">
        <f t="shared" si="1"/>
        <v>1.8593999999999999</v>
      </c>
      <c r="N27" s="10"/>
      <c r="O27" s="34">
        <v>20</v>
      </c>
      <c r="P27" s="63">
        <v>285</v>
      </c>
      <c r="Q27" s="63">
        <v>-550.44899999999996</v>
      </c>
      <c r="R27" s="5">
        <v>0.70017450445868545</v>
      </c>
      <c r="S27" s="85">
        <f t="shared" si="2"/>
        <v>1.9313999999999998</v>
      </c>
      <c r="U27" s="76" t="s">
        <v>24</v>
      </c>
      <c r="V27" s="68" t="s">
        <v>25</v>
      </c>
      <c r="W27" s="80" t="s">
        <v>26</v>
      </c>
    </row>
    <row r="28" spans="2:23" ht="15" x14ac:dyDescent="0.2">
      <c r="B28" s="9"/>
      <c r="C28" s="47">
        <v>30</v>
      </c>
      <c r="D28" s="63">
        <v>389</v>
      </c>
      <c r="E28" s="63">
        <v>-763.61699999999996</v>
      </c>
      <c r="F28" s="5">
        <v>0.70003471034121822</v>
      </c>
      <c r="G28" s="85">
        <f t="shared" si="0"/>
        <v>1.9630257069408739</v>
      </c>
      <c r="H28" s="10"/>
      <c r="I28" s="34">
        <v>30</v>
      </c>
      <c r="J28" s="63">
        <v>389</v>
      </c>
      <c r="K28" s="63">
        <v>-794.37699999999995</v>
      </c>
      <c r="L28" s="5">
        <v>0.69971955026475519</v>
      </c>
      <c r="M28" s="85">
        <f t="shared" si="1"/>
        <v>2.0421002570694085</v>
      </c>
      <c r="N28" s="10"/>
      <c r="O28" s="34">
        <v>30</v>
      </c>
      <c r="P28" s="63">
        <v>389</v>
      </c>
      <c r="Q28" s="63">
        <v>-825.13699999999994</v>
      </c>
      <c r="R28" s="5">
        <v>0.69971955026475519</v>
      </c>
      <c r="S28" s="85">
        <f t="shared" si="2"/>
        <v>2.1211748071979435</v>
      </c>
      <c r="U28" s="76">
        <v>1</v>
      </c>
      <c r="V28" s="69">
        <v>40</v>
      </c>
      <c r="W28" s="77">
        <v>0</v>
      </c>
    </row>
    <row r="29" spans="2:23" ht="15" x14ac:dyDescent="0.2">
      <c r="C29" s="47">
        <v>40</v>
      </c>
      <c r="D29" s="64">
        <v>492</v>
      </c>
      <c r="E29" s="64">
        <v>-1017.825</v>
      </c>
      <c r="F29" s="25">
        <v>0.69980713078649104</v>
      </c>
      <c r="G29" s="87">
        <f t="shared" si="0"/>
        <v>2.0687500000000001</v>
      </c>
      <c r="H29" s="10"/>
      <c r="I29" s="34">
        <v>40</v>
      </c>
      <c r="J29" s="64">
        <v>492</v>
      </c>
      <c r="K29" s="64">
        <v>-1058.8249999999998</v>
      </c>
      <c r="L29" s="25">
        <v>0.69949207316778994</v>
      </c>
      <c r="M29" s="87">
        <f t="shared" si="1"/>
        <v>2.1520833333333331</v>
      </c>
      <c r="N29" s="10"/>
      <c r="O29" s="34">
        <v>40</v>
      </c>
      <c r="P29" s="64">
        <v>492</v>
      </c>
      <c r="Q29" s="64">
        <v>-1099.825</v>
      </c>
      <c r="R29" s="25">
        <v>0.69949207316778994</v>
      </c>
      <c r="S29" s="87">
        <f t="shared" si="2"/>
        <v>2.2354166666666666</v>
      </c>
      <c r="U29" s="76">
        <v>2</v>
      </c>
      <c r="V29" s="69">
        <v>55</v>
      </c>
      <c r="W29" s="77">
        <v>0</v>
      </c>
    </row>
    <row r="30" spans="2:23" ht="15" x14ac:dyDescent="0.2">
      <c r="C30" s="47">
        <v>50</v>
      </c>
      <c r="D30" s="63">
        <v>596</v>
      </c>
      <c r="E30" s="63">
        <v>-1274.019</v>
      </c>
      <c r="F30" s="5">
        <v>0.70076296491634571</v>
      </c>
      <c r="G30" s="85">
        <f t="shared" si="0"/>
        <v>2.1376157718120807</v>
      </c>
      <c r="H30" s="10"/>
      <c r="I30" s="34">
        <v>50</v>
      </c>
      <c r="J30" s="63">
        <v>596</v>
      </c>
      <c r="K30" s="63">
        <v>-1325.3389999999999</v>
      </c>
      <c r="L30" s="5">
        <v>0.70044747697504361</v>
      </c>
      <c r="M30" s="85">
        <f t="shared" si="1"/>
        <v>2.2237231543624159</v>
      </c>
      <c r="N30" s="10"/>
      <c r="O30" s="34">
        <v>50</v>
      </c>
      <c r="P30" s="63">
        <v>596</v>
      </c>
      <c r="Q30" s="63">
        <v>-1376.6589999999999</v>
      </c>
      <c r="R30" s="5">
        <v>0.70044747697504361</v>
      </c>
      <c r="S30" s="85">
        <f t="shared" si="2"/>
        <v>2.3098305369127514</v>
      </c>
      <c r="U30" s="76">
        <v>3</v>
      </c>
      <c r="V30" s="69">
        <v>71</v>
      </c>
      <c r="W30" s="77">
        <v>0</v>
      </c>
    </row>
    <row r="31" spans="2:23" ht="15" x14ac:dyDescent="0.2">
      <c r="C31" s="89" t="s">
        <v>18</v>
      </c>
      <c r="D31" s="10"/>
      <c r="E31" s="59">
        <f>E29/E26</f>
        <v>4.00390625</v>
      </c>
      <c r="F31" s="10"/>
      <c r="G31" s="10"/>
      <c r="H31" s="10"/>
      <c r="I31" s="93" t="s">
        <v>18</v>
      </c>
      <c r="J31" s="10"/>
      <c r="K31" s="59">
        <f>K29/K26</f>
        <v>4.00390625</v>
      </c>
      <c r="L31" s="10"/>
      <c r="M31" s="10"/>
      <c r="N31" s="10"/>
      <c r="O31" s="93" t="s">
        <v>18</v>
      </c>
      <c r="P31" s="10"/>
      <c r="Q31" s="59">
        <f>Q29/Q26</f>
        <v>4.00390625</v>
      </c>
      <c r="R31" s="5"/>
      <c r="S31" s="10"/>
      <c r="U31" s="76">
        <v>4</v>
      </c>
      <c r="V31" s="69">
        <v>86</v>
      </c>
      <c r="W31" s="77">
        <v>0</v>
      </c>
    </row>
    <row r="32" spans="2:23" ht="15" x14ac:dyDescent="0.2">
      <c r="C32" s="90" t="s">
        <v>17</v>
      </c>
      <c r="D32" s="57">
        <f>D30/D26</f>
        <v>3.2928176795580111</v>
      </c>
      <c r="E32" s="10"/>
      <c r="F32" s="10"/>
      <c r="G32" s="10"/>
      <c r="H32" s="10"/>
      <c r="I32" s="94" t="s">
        <v>17</v>
      </c>
      <c r="J32" s="57">
        <f>J30/J26</f>
        <v>3.2928176795580111</v>
      </c>
      <c r="K32" s="10"/>
      <c r="L32" s="10"/>
      <c r="M32" s="10"/>
      <c r="N32" s="10"/>
      <c r="O32" s="94" t="s">
        <v>17</v>
      </c>
      <c r="P32" s="57">
        <f>P30/P26</f>
        <v>3.2928176795580111</v>
      </c>
      <c r="Q32" s="10"/>
      <c r="R32" s="5"/>
      <c r="S32" s="48"/>
      <c r="U32" s="76">
        <v>5</v>
      </c>
      <c r="V32" s="70">
        <v>101</v>
      </c>
      <c r="W32" s="78">
        <v>0</v>
      </c>
    </row>
    <row r="33" spans="3:23" ht="15" x14ac:dyDescent="0.2">
      <c r="C33" s="14"/>
      <c r="D33" s="10"/>
      <c r="E33" s="10"/>
      <c r="F33" s="10"/>
      <c r="G33" s="10"/>
      <c r="H33" s="10"/>
      <c r="I33" s="10"/>
      <c r="J33" s="10"/>
      <c r="K33" s="10">
        <f>492*1.04</f>
        <v>511.68</v>
      </c>
      <c r="L33" s="10"/>
      <c r="M33" s="10"/>
      <c r="N33" s="10"/>
      <c r="O33" s="10"/>
      <c r="P33" s="10"/>
      <c r="Q33" s="10"/>
      <c r="R33" s="10"/>
      <c r="S33" s="16"/>
      <c r="U33" s="76">
        <v>10</v>
      </c>
      <c r="V33" s="69">
        <v>166</v>
      </c>
      <c r="W33" s="77">
        <v>0</v>
      </c>
    </row>
    <row r="34" spans="3:23" ht="15" x14ac:dyDescent="0.2">
      <c r="C34" s="14"/>
      <c r="D34" s="10"/>
      <c r="E34" s="26">
        <v>2.6</v>
      </c>
      <c r="F34" s="10" t="s">
        <v>0</v>
      </c>
      <c r="G34" s="10"/>
      <c r="H34" s="10"/>
      <c r="I34" s="10"/>
      <c r="J34" s="10"/>
      <c r="K34" s="26">
        <v>2.65</v>
      </c>
      <c r="L34" s="10" t="s">
        <v>0</v>
      </c>
      <c r="M34" s="10"/>
      <c r="N34" s="10"/>
      <c r="O34" s="10"/>
      <c r="P34" s="10"/>
      <c r="Q34" s="26">
        <v>2.7</v>
      </c>
      <c r="R34" s="10" t="s">
        <v>0</v>
      </c>
      <c r="S34" s="16"/>
      <c r="U34" s="76">
        <v>20</v>
      </c>
      <c r="V34" s="69">
        <v>273</v>
      </c>
      <c r="W34" s="77">
        <v>0</v>
      </c>
    </row>
    <row r="35" spans="3:23" ht="15" x14ac:dyDescent="0.2">
      <c r="C35" s="14"/>
      <c r="D35" s="10"/>
      <c r="E35" s="42">
        <v>5</v>
      </c>
      <c r="F35" s="10" t="s">
        <v>1</v>
      </c>
      <c r="G35" s="10"/>
      <c r="H35" s="10"/>
      <c r="I35" s="10"/>
      <c r="J35" s="10"/>
      <c r="K35" s="26">
        <v>5.18</v>
      </c>
      <c r="L35" s="10" t="s">
        <v>1</v>
      </c>
      <c r="M35" s="10"/>
      <c r="N35" s="10"/>
      <c r="O35" s="10"/>
      <c r="P35" s="10"/>
      <c r="Q35" s="26">
        <v>5.36</v>
      </c>
      <c r="R35" s="10" t="s">
        <v>1</v>
      </c>
      <c r="S35" s="16"/>
      <c r="U35" s="76">
        <v>30</v>
      </c>
      <c r="V35" s="69">
        <v>381</v>
      </c>
      <c r="W35" s="77">
        <v>0</v>
      </c>
    </row>
    <row r="36" spans="3:23" ht="15" x14ac:dyDescent="0.2">
      <c r="C36" s="14"/>
      <c r="D36" s="10"/>
      <c r="E36" s="26">
        <v>85</v>
      </c>
      <c r="F36" s="10" t="s">
        <v>8</v>
      </c>
      <c r="G36" s="10"/>
      <c r="H36" s="10"/>
      <c r="I36" s="10"/>
      <c r="J36" s="10"/>
      <c r="K36" s="26">
        <v>85</v>
      </c>
      <c r="L36" s="10" t="s">
        <v>8</v>
      </c>
      <c r="M36" s="10"/>
      <c r="N36" s="10"/>
      <c r="O36" s="10"/>
      <c r="P36" s="10"/>
      <c r="Q36" s="26">
        <v>85</v>
      </c>
      <c r="R36" s="10" t="s">
        <v>8</v>
      </c>
      <c r="S36" s="16"/>
      <c r="U36" s="76">
        <v>40</v>
      </c>
      <c r="V36" s="69">
        <v>489</v>
      </c>
      <c r="W36" s="77">
        <v>0</v>
      </c>
    </row>
    <row r="37" spans="3:23" ht="15" x14ac:dyDescent="0.2">
      <c r="C37" s="45" t="s">
        <v>9</v>
      </c>
      <c r="D37" s="88" t="s">
        <v>28</v>
      </c>
      <c r="E37" s="31" t="s">
        <v>10</v>
      </c>
      <c r="F37" s="30" t="s">
        <v>11</v>
      </c>
      <c r="G37" s="86" t="s">
        <v>12</v>
      </c>
      <c r="H37" s="10"/>
      <c r="I37" s="30" t="s">
        <v>9</v>
      </c>
      <c r="J37" s="88" t="s">
        <v>28</v>
      </c>
      <c r="K37" s="31" t="s">
        <v>10</v>
      </c>
      <c r="L37" s="30" t="s">
        <v>11</v>
      </c>
      <c r="M37" s="86" t="s">
        <v>12</v>
      </c>
      <c r="N37" s="10"/>
      <c r="O37" s="30" t="s">
        <v>9</v>
      </c>
      <c r="P37" s="88" t="s">
        <v>28</v>
      </c>
      <c r="Q37" s="31" t="s">
        <v>10</v>
      </c>
      <c r="R37" s="30" t="s">
        <v>11</v>
      </c>
      <c r="S37" s="86" t="s">
        <v>12</v>
      </c>
      <c r="U37" s="76">
        <v>50</v>
      </c>
      <c r="V37" s="70">
        <v>596</v>
      </c>
      <c r="W37" s="78">
        <v>0</v>
      </c>
    </row>
    <row r="38" spans="3:23" ht="15" x14ac:dyDescent="0.2">
      <c r="C38" s="47">
        <v>1</v>
      </c>
      <c r="D38" s="63">
        <v>52</v>
      </c>
      <c r="E38" s="63">
        <v>-41.218000000000004</v>
      </c>
      <c r="F38" s="5">
        <v>1.0099983105251991</v>
      </c>
      <c r="G38" s="85">
        <f>(E38/D38)*-1</f>
        <v>0.79265384615384626</v>
      </c>
      <c r="H38" s="10"/>
      <c r="I38" s="34">
        <v>1</v>
      </c>
      <c r="J38" s="63">
        <v>52</v>
      </c>
      <c r="K38" s="63">
        <v>-42.771999999999998</v>
      </c>
      <c r="L38" s="5">
        <v>1.0099983105251991</v>
      </c>
      <c r="M38" s="85">
        <f>(K38/J38)*-1</f>
        <v>0.82253846153846155</v>
      </c>
      <c r="N38" s="10"/>
      <c r="O38" s="34">
        <v>1</v>
      </c>
      <c r="P38" s="63">
        <v>52</v>
      </c>
      <c r="Q38" s="63">
        <v>-44.326000000000001</v>
      </c>
      <c r="R38" s="5">
        <v>1.0104532229892749</v>
      </c>
      <c r="S38" s="85">
        <f>(Q38/P38)*-1</f>
        <v>0.85242307692307695</v>
      </c>
      <c r="U38" s="79">
        <v>50.1</v>
      </c>
      <c r="V38" s="72">
        <v>3.6</v>
      </c>
      <c r="W38" s="77"/>
    </row>
    <row r="39" spans="3:23" ht="15" x14ac:dyDescent="0.2">
      <c r="C39" s="47">
        <v>2</v>
      </c>
      <c r="D39" s="64">
        <v>68</v>
      </c>
      <c r="E39" s="64">
        <v>-73.524000000000001</v>
      </c>
      <c r="F39" s="25">
        <v>0.90080930398193448</v>
      </c>
      <c r="G39" s="87">
        <f t="shared" ref="G39:G47" si="3">(E39/D39)*-1</f>
        <v>1.0812352941176471</v>
      </c>
      <c r="H39" s="10"/>
      <c r="I39" s="34">
        <v>2</v>
      </c>
      <c r="J39" s="64">
        <v>68</v>
      </c>
      <c r="K39" s="64">
        <v>-76.295999999999992</v>
      </c>
      <c r="L39" s="25">
        <v>0.90080930398193448</v>
      </c>
      <c r="M39" s="87">
        <f t="shared" ref="M39:M47" si="4">(K39/J39)*-1</f>
        <v>1.1219999999999999</v>
      </c>
      <c r="N39" s="10"/>
      <c r="O39" s="34">
        <v>2</v>
      </c>
      <c r="P39" s="64">
        <v>68</v>
      </c>
      <c r="Q39" s="64">
        <v>-79.067999999999998</v>
      </c>
      <c r="R39" s="25">
        <v>0.90121503672016401</v>
      </c>
      <c r="S39" s="87">
        <f t="shared" ref="S39:S47" si="5">(Q39/P39)*-1</f>
        <v>1.1627647058823529</v>
      </c>
      <c r="U39" s="81"/>
      <c r="V39" s="72"/>
      <c r="W39" s="77"/>
    </row>
    <row r="40" spans="3:23" ht="15" x14ac:dyDescent="0.2">
      <c r="C40" s="47">
        <v>3</v>
      </c>
      <c r="D40" s="63">
        <v>84</v>
      </c>
      <c r="E40" s="63">
        <v>-98.032000000000011</v>
      </c>
      <c r="F40" s="5">
        <v>0.80071938131727505</v>
      </c>
      <c r="G40" s="85">
        <f t="shared" si="3"/>
        <v>1.1670476190476191</v>
      </c>
      <c r="H40" s="10"/>
      <c r="I40" s="34">
        <v>3</v>
      </c>
      <c r="J40" s="63">
        <v>84</v>
      </c>
      <c r="K40" s="63">
        <v>-101.72799999999999</v>
      </c>
      <c r="L40" s="5">
        <v>0.80071938131727505</v>
      </c>
      <c r="M40" s="85">
        <f t="shared" si="4"/>
        <v>1.2110476190476189</v>
      </c>
      <c r="N40" s="10"/>
      <c r="O40" s="34">
        <v>3</v>
      </c>
      <c r="P40" s="63">
        <v>84</v>
      </c>
      <c r="Q40" s="63">
        <v>-105.42399999999999</v>
      </c>
      <c r="R40" s="5">
        <v>0.80108003264014582</v>
      </c>
      <c r="S40" s="85">
        <f t="shared" si="5"/>
        <v>1.255047619047619</v>
      </c>
      <c r="U40" s="76" t="s">
        <v>24</v>
      </c>
      <c r="V40" s="68" t="s">
        <v>25</v>
      </c>
      <c r="W40" s="80" t="s">
        <v>26</v>
      </c>
    </row>
    <row r="41" spans="3:23" ht="15" x14ac:dyDescent="0.2">
      <c r="C41" s="47">
        <v>4</v>
      </c>
      <c r="D41" s="63">
        <v>100</v>
      </c>
      <c r="E41" s="63">
        <v>-113.62800000000001</v>
      </c>
      <c r="F41" s="5">
        <v>0.69607991671331293</v>
      </c>
      <c r="G41" s="85">
        <f t="shared" si="3"/>
        <v>1.1362800000000002</v>
      </c>
      <c r="H41" s="10"/>
      <c r="I41" s="34">
        <v>4</v>
      </c>
      <c r="J41" s="63">
        <v>100</v>
      </c>
      <c r="K41" s="63">
        <v>-117.91199999999999</v>
      </c>
      <c r="L41" s="5">
        <v>0.69607991671331293</v>
      </c>
      <c r="M41" s="85">
        <f t="shared" si="4"/>
        <v>1.1791199999999999</v>
      </c>
      <c r="N41" s="10"/>
      <c r="O41" s="34">
        <v>4</v>
      </c>
      <c r="P41" s="63">
        <v>100</v>
      </c>
      <c r="Q41" s="63">
        <v>-122.196</v>
      </c>
      <c r="R41" s="5">
        <v>0.69639343746558124</v>
      </c>
      <c r="S41" s="85">
        <f t="shared" si="5"/>
        <v>1.2219599999999999</v>
      </c>
      <c r="U41" s="76">
        <v>1</v>
      </c>
      <c r="V41" s="69">
        <v>30</v>
      </c>
      <c r="W41" s="77">
        <v>0</v>
      </c>
    </row>
    <row r="42" spans="3:23" ht="15" x14ac:dyDescent="0.2">
      <c r="C42" s="47">
        <v>5</v>
      </c>
      <c r="D42" s="64">
        <v>116</v>
      </c>
      <c r="E42" s="64">
        <v>-142.59200000000001</v>
      </c>
      <c r="F42" s="25">
        <v>0.69880964187689454</v>
      </c>
      <c r="G42" s="87">
        <f t="shared" si="3"/>
        <v>1.2292413793103449</v>
      </c>
      <c r="H42" s="10"/>
      <c r="I42" s="34">
        <v>5</v>
      </c>
      <c r="J42" s="64">
        <v>116</v>
      </c>
      <c r="K42" s="64">
        <v>-147.96799999999999</v>
      </c>
      <c r="L42" s="25">
        <v>0.69880964187689454</v>
      </c>
      <c r="M42" s="87">
        <f t="shared" si="4"/>
        <v>1.2755862068965516</v>
      </c>
      <c r="N42" s="10"/>
      <c r="O42" s="34">
        <v>5</v>
      </c>
      <c r="P42" s="64">
        <v>116</v>
      </c>
      <c r="Q42" s="64">
        <v>-153.34399999999999</v>
      </c>
      <c r="R42" s="25">
        <v>0.69912439212230904</v>
      </c>
      <c r="S42" s="87">
        <f t="shared" si="5"/>
        <v>1.3219310344827586</v>
      </c>
      <c r="U42" s="76">
        <v>2</v>
      </c>
      <c r="V42" s="69">
        <v>44</v>
      </c>
      <c r="W42" s="77">
        <v>0</v>
      </c>
    </row>
    <row r="43" spans="3:23" ht="15" x14ac:dyDescent="0.2">
      <c r="C43" s="47">
        <v>10</v>
      </c>
      <c r="D43" s="63">
        <v>181</v>
      </c>
      <c r="E43" s="63">
        <v>-285.18400000000003</v>
      </c>
      <c r="F43" s="5">
        <v>0.69880964187689454</v>
      </c>
      <c r="G43" s="85">
        <f t="shared" si="3"/>
        <v>1.5756022099447515</v>
      </c>
      <c r="H43" s="10"/>
      <c r="I43" s="34">
        <v>10</v>
      </c>
      <c r="J43" s="63">
        <v>181</v>
      </c>
      <c r="K43" s="63">
        <v>-295.93599999999998</v>
      </c>
      <c r="L43" s="5">
        <v>0.69880964187689454</v>
      </c>
      <c r="M43" s="85">
        <f t="shared" si="4"/>
        <v>1.6350055248618784</v>
      </c>
      <c r="N43" s="10"/>
      <c r="O43" s="34">
        <v>10</v>
      </c>
      <c r="P43" s="63">
        <v>181</v>
      </c>
      <c r="Q43" s="63">
        <v>-306.68799999999999</v>
      </c>
      <c r="R43" s="5">
        <v>0.69912439212230904</v>
      </c>
      <c r="S43" s="85">
        <f t="shared" si="5"/>
        <v>1.6944088397790054</v>
      </c>
      <c r="U43" s="76">
        <v>3</v>
      </c>
      <c r="V43" s="69">
        <v>59</v>
      </c>
      <c r="W43" s="77">
        <v>0</v>
      </c>
    </row>
    <row r="44" spans="3:23" ht="15" x14ac:dyDescent="0.2">
      <c r="C44" s="47">
        <v>20</v>
      </c>
      <c r="D44" s="63">
        <v>285</v>
      </c>
      <c r="E44" s="63">
        <v>-571.48200000000008</v>
      </c>
      <c r="F44" s="5">
        <v>0.70017450445868545</v>
      </c>
      <c r="G44" s="85">
        <f t="shared" si="3"/>
        <v>2.0052000000000003</v>
      </c>
      <c r="H44" s="10"/>
      <c r="I44" s="34">
        <v>20</v>
      </c>
      <c r="J44" s="63">
        <v>285</v>
      </c>
      <c r="K44" s="63">
        <v>-593.02799999999991</v>
      </c>
      <c r="L44" s="5">
        <v>0.70017450445868545</v>
      </c>
      <c r="M44" s="85">
        <f t="shared" si="4"/>
        <v>2.0807999999999995</v>
      </c>
      <c r="N44" s="10"/>
      <c r="O44" s="34">
        <v>20</v>
      </c>
      <c r="P44" s="63">
        <v>285</v>
      </c>
      <c r="Q44" s="63">
        <v>-614.57399999999996</v>
      </c>
      <c r="R44" s="5">
        <v>0.70048986945067293</v>
      </c>
      <c r="S44" s="85">
        <f t="shared" si="5"/>
        <v>2.1563999999999997</v>
      </c>
      <c r="U44" s="76">
        <v>4</v>
      </c>
      <c r="V44" s="69">
        <v>74</v>
      </c>
      <c r="W44" s="77">
        <v>0</v>
      </c>
    </row>
    <row r="45" spans="3:23" ht="15" x14ac:dyDescent="0.2">
      <c r="C45" s="47">
        <v>30</v>
      </c>
      <c r="D45" s="63">
        <v>389</v>
      </c>
      <c r="E45" s="63">
        <v>-856.66600000000005</v>
      </c>
      <c r="F45" s="5">
        <v>0.69971955026475519</v>
      </c>
      <c r="G45" s="85">
        <f t="shared" si="3"/>
        <v>2.2022262210796915</v>
      </c>
      <c r="H45" s="10"/>
      <c r="I45" s="34">
        <v>30</v>
      </c>
      <c r="J45" s="63">
        <v>389</v>
      </c>
      <c r="K45" s="63">
        <v>-888.96399999999994</v>
      </c>
      <c r="L45" s="5">
        <v>0.69971955026475519</v>
      </c>
      <c r="M45" s="85">
        <f t="shared" si="4"/>
        <v>2.2852544987146528</v>
      </c>
      <c r="N45" s="10"/>
      <c r="O45" s="34">
        <v>30</v>
      </c>
      <c r="P45" s="63">
        <v>389</v>
      </c>
      <c r="Q45" s="63">
        <v>-921.26199999999994</v>
      </c>
      <c r="R45" s="5">
        <v>0.70003471034121822</v>
      </c>
      <c r="S45" s="85">
        <f t="shared" si="5"/>
        <v>2.3682827763496141</v>
      </c>
      <c r="U45" s="76">
        <v>5</v>
      </c>
      <c r="V45" s="70">
        <v>89</v>
      </c>
      <c r="W45" s="78">
        <v>0</v>
      </c>
    </row>
    <row r="46" spans="3:23" ht="15" x14ac:dyDescent="0.2">
      <c r="C46" s="47">
        <v>40</v>
      </c>
      <c r="D46" s="64">
        <v>492</v>
      </c>
      <c r="E46" s="64">
        <v>-1141.8500000000001</v>
      </c>
      <c r="F46" s="25">
        <v>0.69949207316778994</v>
      </c>
      <c r="G46" s="87">
        <f t="shared" si="3"/>
        <v>2.3208333333333337</v>
      </c>
      <c r="H46" s="10"/>
      <c r="I46" s="34">
        <v>40</v>
      </c>
      <c r="J46" s="64">
        <v>492</v>
      </c>
      <c r="K46" s="64">
        <v>-1184.8999999999999</v>
      </c>
      <c r="L46" s="25">
        <v>0.69949207316778994</v>
      </c>
      <c r="M46" s="87">
        <f t="shared" si="4"/>
        <v>2.4083333333333332</v>
      </c>
      <c r="N46" s="10"/>
      <c r="O46" s="34">
        <v>40</v>
      </c>
      <c r="P46" s="64">
        <v>492</v>
      </c>
      <c r="Q46" s="64">
        <v>-1227.95</v>
      </c>
      <c r="R46" s="25">
        <v>0.69980713078649104</v>
      </c>
      <c r="S46" s="87">
        <f t="shared" si="5"/>
        <v>2.4958333333333336</v>
      </c>
      <c r="U46" s="76">
        <v>10</v>
      </c>
      <c r="V46" s="69">
        <v>153</v>
      </c>
      <c r="W46" s="77">
        <v>0</v>
      </c>
    </row>
    <row r="47" spans="3:23" ht="15" x14ac:dyDescent="0.2">
      <c r="C47" s="47">
        <v>50</v>
      </c>
      <c r="D47" s="63">
        <v>596</v>
      </c>
      <c r="E47" s="63">
        <v>-1429.2620000000002</v>
      </c>
      <c r="F47" s="5">
        <v>0.70044747697504361</v>
      </c>
      <c r="G47" s="85">
        <f t="shared" si="3"/>
        <v>2.3980906040268457</v>
      </c>
      <c r="H47" s="10"/>
      <c r="I47" s="34">
        <v>50</v>
      </c>
      <c r="J47" s="63">
        <v>596</v>
      </c>
      <c r="K47" s="63">
        <v>-1483.1479999999999</v>
      </c>
      <c r="L47" s="5">
        <v>0.70044747697504361</v>
      </c>
      <c r="M47" s="85">
        <f t="shared" si="4"/>
        <v>2.4885033557046978</v>
      </c>
      <c r="N47" s="10"/>
      <c r="O47" s="34">
        <v>50</v>
      </c>
      <c r="P47" s="63">
        <v>596</v>
      </c>
      <c r="Q47" s="63">
        <v>-1537.0339999999999</v>
      </c>
      <c r="R47" s="5">
        <v>0.70076296491634571</v>
      </c>
      <c r="S47" s="85">
        <f t="shared" si="5"/>
        <v>2.5789161073825499</v>
      </c>
      <c r="U47" s="76">
        <v>20</v>
      </c>
      <c r="V47" s="69">
        <v>264</v>
      </c>
      <c r="W47" s="77">
        <v>0</v>
      </c>
    </row>
    <row r="48" spans="3:23" ht="15" x14ac:dyDescent="0.2">
      <c r="C48" s="89" t="s">
        <v>18</v>
      </c>
      <c r="D48" s="10"/>
      <c r="E48" s="59">
        <f>E46/E43</f>
        <v>4.00390625</v>
      </c>
      <c r="F48" s="10"/>
      <c r="G48" s="10"/>
      <c r="H48" s="10"/>
      <c r="I48" s="93" t="s">
        <v>18</v>
      </c>
      <c r="J48" s="10"/>
      <c r="K48" s="59">
        <f>K46/K43</f>
        <v>4.00390625</v>
      </c>
      <c r="L48" s="10"/>
      <c r="M48" s="10"/>
      <c r="N48" s="10"/>
      <c r="O48" s="93" t="s">
        <v>18</v>
      </c>
      <c r="P48" s="10"/>
      <c r="Q48" s="59">
        <f>Q46/Q43</f>
        <v>4.00390625</v>
      </c>
      <c r="R48" s="5"/>
      <c r="S48" s="10"/>
      <c r="U48" s="76">
        <v>30</v>
      </c>
      <c r="V48" s="69">
        <v>375</v>
      </c>
      <c r="W48" s="77">
        <v>0</v>
      </c>
    </row>
    <row r="49" spans="3:23" ht="15" x14ac:dyDescent="0.2">
      <c r="C49" s="90" t="s">
        <v>17</v>
      </c>
      <c r="D49" s="57">
        <f>D47/D43</f>
        <v>3.2928176795580111</v>
      </c>
      <c r="E49" s="10"/>
      <c r="F49" s="10"/>
      <c r="G49" s="10"/>
      <c r="H49" s="10"/>
      <c r="I49" s="94" t="s">
        <v>17</v>
      </c>
      <c r="J49" s="57">
        <f>J47/J43</f>
        <v>3.2928176795580111</v>
      </c>
      <c r="K49" s="10"/>
      <c r="L49" s="10"/>
      <c r="M49" s="10"/>
      <c r="N49" s="10"/>
      <c r="O49" s="94" t="s">
        <v>17</v>
      </c>
      <c r="P49" s="57">
        <f>P47/P43</f>
        <v>3.2928176795580111</v>
      </c>
      <c r="Q49" s="10"/>
      <c r="R49" s="5"/>
      <c r="S49" s="48"/>
      <c r="U49" s="76">
        <v>40</v>
      </c>
      <c r="V49" s="69">
        <v>485</v>
      </c>
      <c r="W49" s="77">
        <v>0</v>
      </c>
    </row>
    <row r="50" spans="3:23" ht="15" x14ac:dyDescent="0.2">
      <c r="C50" s="14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6"/>
      <c r="U50" s="76">
        <v>50</v>
      </c>
      <c r="V50" s="70">
        <v>596</v>
      </c>
      <c r="W50" s="78">
        <v>0</v>
      </c>
    </row>
    <row r="51" spans="3:23" ht="15" x14ac:dyDescent="0.2">
      <c r="C51" s="14"/>
      <c r="D51" s="10"/>
      <c r="E51" s="26">
        <v>2.75</v>
      </c>
      <c r="F51" s="10" t="s">
        <v>0</v>
      </c>
      <c r="G51" s="10"/>
      <c r="H51" s="10"/>
      <c r="I51" s="10"/>
      <c r="J51" s="10"/>
      <c r="K51" s="26">
        <v>2.8</v>
      </c>
      <c r="L51" s="10" t="s">
        <v>0</v>
      </c>
      <c r="M51" s="10"/>
      <c r="N51" s="10"/>
      <c r="O51" s="10"/>
      <c r="P51" s="10"/>
      <c r="Q51" s="26">
        <v>2.85</v>
      </c>
      <c r="R51" s="10" t="s">
        <v>0</v>
      </c>
      <c r="S51" s="16"/>
      <c r="U51" s="82">
        <v>50.1</v>
      </c>
      <c r="V51" s="83">
        <v>3.9</v>
      </c>
      <c r="W51" s="84"/>
    </row>
    <row r="52" spans="3:23" x14ac:dyDescent="0.2">
      <c r="C52" s="14"/>
      <c r="D52" s="10"/>
      <c r="E52" s="26">
        <v>5.55</v>
      </c>
      <c r="F52" s="10" t="s">
        <v>1</v>
      </c>
      <c r="G52" s="10"/>
      <c r="H52" s="10"/>
      <c r="I52" s="10"/>
      <c r="J52" s="10"/>
      <c r="K52" s="26">
        <v>5.74</v>
      </c>
      <c r="L52" s="10" t="s">
        <v>1</v>
      </c>
      <c r="M52" s="10"/>
      <c r="N52" s="10"/>
      <c r="O52" s="10"/>
      <c r="P52" s="10"/>
      <c r="Q52" s="42">
        <v>5.93</v>
      </c>
      <c r="R52" s="10" t="s">
        <v>1</v>
      </c>
      <c r="S52" s="16"/>
    </row>
    <row r="53" spans="3:23" x14ac:dyDescent="0.2">
      <c r="C53" s="14"/>
      <c r="D53" s="10"/>
      <c r="E53" s="26">
        <v>85</v>
      </c>
      <c r="F53" s="10" t="s">
        <v>8</v>
      </c>
      <c r="G53" s="10"/>
      <c r="H53" s="10"/>
      <c r="I53" s="10"/>
      <c r="J53" s="10"/>
      <c r="K53" s="26">
        <v>85</v>
      </c>
      <c r="L53" s="10" t="s">
        <v>8</v>
      </c>
      <c r="M53" s="10"/>
      <c r="N53" s="10"/>
      <c r="O53" s="10"/>
      <c r="P53" s="10"/>
      <c r="Q53" s="26">
        <v>85</v>
      </c>
      <c r="R53" s="10" t="s">
        <v>8</v>
      </c>
      <c r="S53" s="16"/>
    </row>
    <row r="54" spans="3:23" x14ac:dyDescent="0.2">
      <c r="C54" s="45" t="s">
        <v>9</v>
      </c>
      <c r="D54" s="65" t="s">
        <v>16</v>
      </c>
      <c r="E54" s="31" t="s">
        <v>10</v>
      </c>
      <c r="F54" s="30" t="s">
        <v>11</v>
      </c>
      <c r="G54" s="30"/>
      <c r="H54" s="10"/>
      <c r="I54" s="30" t="s">
        <v>9</v>
      </c>
      <c r="J54" s="65" t="s">
        <v>16</v>
      </c>
      <c r="K54" s="31" t="s">
        <v>10</v>
      </c>
      <c r="L54" s="30" t="s">
        <v>11</v>
      </c>
      <c r="M54" s="30"/>
      <c r="N54" s="10"/>
      <c r="O54" s="30" t="s">
        <v>9</v>
      </c>
      <c r="P54" s="65" t="s">
        <v>16</v>
      </c>
      <c r="Q54" s="31" t="s">
        <v>10</v>
      </c>
      <c r="R54" s="30" t="s">
        <v>11</v>
      </c>
      <c r="S54" s="46"/>
    </row>
    <row r="55" spans="3:23" x14ac:dyDescent="0.2">
      <c r="C55" s="47">
        <v>1</v>
      </c>
      <c r="D55" s="66"/>
      <c r="E55" s="63">
        <v>-45.954000000000001</v>
      </c>
      <c r="F55" s="5">
        <v>1.0099983105251991</v>
      </c>
      <c r="G55" s="5"/>
      <c r="H55" s="10"/>
      <c r="I55" s="34">
        <v>1</v>
      </c>
      <c r="J55" s="66"/>
      <c r="K55" s="63">
        <v>-47.544999999999995</v>
      </c>
      <c r="L55" s="5">
        <v>1.0099983105251991</v>
      </c>
      <c r="M55" s="5"/>
      <c r="N55" s="10"/>
      <c r="O55" s="34">
        <v>1</v>
      </c>
      <c r="P55" s="66"/>
      <c r="Q55" s="63">
        <v>-49.21</v>
      </c>
      <c r="R55" s="5">
        <v>1.0099983105251991</v>
      </c>
      <c r="S55" s="48"/>
    </row>
    <row r="56" spans="3:23" x14ac:dyDescent="0.2">
      <c r="C56" s="47">
        <v>2</v>
      </c>
      <c r="D56" s="67">
        <v>-36.017999999999994</v>
      </c>
      <c r="E56" s="64">
        <v>-81.971999999999994</v>
      </c>
      <c r="F56" s="25">
        <v>0.90080930398193448</v>
      </c>
      <c r="G56" s="25"/>
      <c r="H56" s="10"/>
      <c r="I56" s="34">
        <v>2</v>
      </c>
      <c r="J56" s="67">
        <v>-37.264999999999993</v>
      </c>
      <c r="K56" s="64">
        <v>-84.809999999999988</v>
      </c>
      <c r="L56" s="25">
        <v>0.90080930398193448</v>
      </c>
      <c r="M56" s="25"/>
      <c r="N56" s="10"/>
      <c r="O56" s="34">
        <v>2</v>
      </c>
      <c r="P56" s="67">
        <v>-38.57</v>
      </c>
      <c r="Q56" s="64">
        <v>-87.78</v>
      </c>
      <c r="R56" s="25">
        <v>0.90080930398193448</v>
      </c>
      <c r="S56" s="49"/>
    </row>
    <row r="57" spans="3:23" x14ac:dyDescent="0.2">
      <c r="C57" s="47">
        <v>3</v>
      </c>
      <c r="D57" s="67">
        <v>-27.323999999999998</v>
      </c>
      <c r="E57" s="63">
        <v>-109.29599999999999</v>
      </c>
      <c r="F57" s="5">
        <v>0.80071938131727505</v>
      </c>
      <c r="G57" s="5"/>
      <c r="H57" s="10"/>
      <c r="I57" s="34">
        <v>3</v>
      </c>
      <c r="J57" s="67">
        <v>-28.27000000000001</v>
      </c>
      <c r="K57" s="63">
        <v>-113.08</v>
      </c>
      <c r="L57" s="5">
        <v>0.80071938131727505</v>
      </c>
      <c r="M57" s="5"/>
      <c r="N57" s="10"/>
      <c r="O57" s="34">
        <v>3</v>
      </c>
      <c r="P57" s="67">
        <v>-29.260000000000005</v>
      </c>
      <c r="Q57" s="63">
        <v>-117.04</v>
      </c>
      <c r="R57" s="5">
        <v>0.80071938131727505</v>
      </c>
      <c r="S57" s="48"/>
    </row>
    <row r="58" spans="3:23" x14ac:dyDescent="0.2">
      <c r="C58" s="47">
        <v>4</v>
      </c>
      <c r="D58" s="67">
        <v>-17.388000000000005</v>
      </c>
      <c r="E58" s="63">
        <v>-126.684</v>
      </c>
      <c r="F58" s="5">
        <v>0.69607991671331293</v>
      </c>
      <c r="G58" s="5"/>
      <c r="H58" s="10"/>
      <c r="I58" s="34">
        <v>4</v>
      </c>
      <c r="J58" s="67">
        <v>-17.989999999999995</v>
      </c>
      <c r="K58" s="63">
        <v>-131.07</v>
      </c>
      <c r="L58" s="5">
        <v>0.69607991671331293</v>
      </c>
      <c r="M58" s="5"/>
      <c r="N58" s="10"/>
      <c r="O58" s="34">
        <v>4</v>
      </c>
      <c r="P58" s="67">
        <v>-18.61999999999999</v>
      </c>
      <c r="Q58" s="63">
        <v>-135.66</v>
      </c>
      <c r="R58" s="5">
        <v>0.69607991671331293</v>
      </c>
      <c r="S58" s="48"/>
    </row>
    <row r="59" spans="3:23" x14ac:dyDescent="0.2">
      <c r="C59" s="47">
        <v>5</v>
      </c>
      <c r="D59" s="67">
        <v>-32.292000000000002</v>
      </c>
      <c r="E59" s="64">
        <v>-158.976</v>
      </c>
      <c r="F59" s="25">
        <v>0.69880964187689454</v>
      </c>
      <c r="G59" s="25"/>
      <c r="H59" s="10"/>
      <c r="I59" s="34">
        <v>5</v>
      </c>
      <c r="J59" s="67">
        <v>-33.409999999999997</v>
      </c>
      <c r="K59" s="64">
        <v>-164.48</v>
      </c>
      <c r="L59" s="25">
        <v>0.69880964187689454</v>
      </c>
      <c r="M59" s="25"/>
      <c r="N59" s="10"/>
      <c r="O59" s="34">
        <v>5</v>
      </c>
      <c r="P59" s="67">
        <v>-34.580000000000013</v>
      </c>
      <c r="Q59" s="64">
        <v>-170.24</v>
      </c>
      <c r="R59" s="25">
        <v>0.69880964187689454</v>
      </c>
      <c r="S59" s="49"/>
    </row>
    <row r="60" spans="3:23" x14ac:dyDescent="0.2">
      <c r="C60" s="47">
        <v>10</v>
      </c>
      <c r="D60" s="67">
        <v>-158.976</v>
      </c>
      <c r="E60" s="63">
        <v>-317.952</v>
      </c>
      <c r="F60" s="5">
        <v>0.69880964187689454</v>
      </c>
      <c r="G60" s="5"/>
      <c r="H60" s="10"/>
      <c r="I60" s="34">
        <v>10</v>
      </c>
      <c r="J60" s="67">
        <v>-164.48</v>
      </c>
      <c r="K60" s="63">
        <v>-328.96</v>
      </c>
      <c r="L60" s="5">
        <v>0.69880964187689454</v>
      </c>
      <c r="M60" s="5"/>
      <c r="N60" s="10"/>
      <c r="O60" s="34">
        <v>10</v>
      </c>
      <c r="P60" s="67">
        <v>-170.24</v>
      </c>
      <c r="Q60" s="63">
        <v>-340.48</v>
      </c>
      <c r="R60" s="5">
        <v>0.69880964187689454</v>
      </c>
      <c r="S60" s="48"/>
    </row>
    <row r="61" spans="3:23" x14ac:dyDescent="0.2">
      <c r="C61" s="47">
        <v>20</v>
      </c>
      <c r="D61" s="67">
        <v>-319.19399999999996</v>
      </c>
      <c r="E61" s="63">
        <v>-637.14599999999996</v>
      </c>
      <c r="F61" s="5">
        <v>0.70017450445868545</v>
      </c>
      <c r="G61" s="5"/>
      <c r="H61" s="10"/>
      <c r="I61" s="34">
        <v>20</v>
      </c>
      <c r="J61" s="67">
        <v>-330.24499999999995</v>
      </c>
      <c r="K61" s="63">
        <v>-659.20499999999993</v>
      </c>
      <c r="L61" s="5">
        <v>0.70017450445868545</v>
      </c>
      <c r="M61" s="5"/>
      <c r="N61" s="10"/>
      <c r="O61" s="34">
        <v>20</v>
      </c>
      <c r="P61" s="67">
        <v>-341.81000000000006</v>
      </c>
      <c r="Q61" s="63">
        <v>-682.29000000000008</v>
      </c>
      <c r="R61" s="5">
        <v>0.70017450445868545</v>
      </c>
      <c r="S61" s="48"/>
    </row>
    <row r="62" spans="3:23" x14ac:dyDescent="0.2">
      <c r="C62" s="47">
        <v>30</v>
      </c>
      <c r="D62" s="67">
        <v>-317.952</v>
      </c>
      <c r="E62" s="63">
        <v>-955.09799999999996</v>
      </c>
      <c r="F62" s="5">
        <v>0.69971955026475519</v>
      </c>
      <c r="G62" s="5"/>
      <c r="H62" s="10"/>
      <c r="I62" s="34">
        <v>30</v>
      </c>
      <c r="J62" s="67">
        <v>-328.96000000000004</v>
      </c>
      <c r="K62" s="63">
        <v>-988.16499999999996</v>
      </c>
      <c r="L62" s="5">
        <v>0.69971955026475519</v>
      </c>
      <c r="M62" s="5"/>
      <c r="N62" s="10"/>
      <c r="O62" s="34">
        <v>30</v>
      </c>
      <c r="P62" s="67">
        <v>-340.48</v>
      </c>
      <c r="Q62" s="63">
        <v>-1022.7700000000001</v>
      </c>
      <c r="R62" s="5">
        <v>0.69971955026475519</v>
      </c>
      <c r="S62" s="48"/>
    </row>
    <row r="63" spans="3:23" x14ac:dyDescent="0.2">
      <c r="C63" s="47">
        <v>40</v>
      </c>
      <c r="D63" s="67">
        <v>-317.952</v>
      </c>
      <c r="E63" s="64">
        <v>-1273.05</v>
      </c>
      <c r="F63" s="25">
        <v>0.69949207316778994</v>
      </c>
      <c r="G63" s="25"/>
      <c r="H63" s="10"/>
      <c r="I63" s="34">
        <v>40</v>
      </c>
      <c r="J63" s="67">
        <v>-328.96000000000004</v>
      </c>
      <c r="K63" s="64">
        <v>-1317.125</v>
      </c>
      <c r="L63" s="25">
        <v>0.69949207316778994</v>
      </c>
      <c r="M63" s="25"/>
      <c r="N63" s="10"/>
      <c r="O63" s="34">
        <v>40</v>
      </c>
      <c r="P63" s="67">
        <v>-340.4799999999999</v>
      </c>
      <c r="Q63" s="64">
        <v>-1363.25</v>
      </c>
      <c r="R63" s="25">
        <v>0.69949207316778994</v>
      </c>
      <c r="S63" s="49"/>
    </row>
    <row r="64" spans="3:23" x14ac:dyDescent="0.2">
      <c r="C64" s="47">
        <v>50</v>
      </c>
      <c r="D64" s="67">
        <v>-320.43600000000015</v>
      </c>
      <c r="E64" s="63">
        <v>-1593.4860000000001</v>
      </c>
      <c r="F64" s="5">
        <v>0.70044747697504361</v>
      </c>
      <c r="G64" s="5"/>
      <c r="H64" s="10"/>
      <c r="I64" s="34">
        <v>50</v>
      </c>
      <c r="J64" s="67">
        <v>-331.53</v>
      </c>
      <c r="K64" s="63">
        <v>-1648.655</v>
      </c>
      <c r="L64" s="5">
        <v>0.70044747697504361</v>
      </c>
      <c r="M64" s="5"/>
      <c r="N64" s="10"/>
      <c r="O64" s="34">
        <v>50</v>
      </c>
      <c r="P64" s="67">
        <v>-343.1400000000001</v>
      </c>
      <c r="Q64" s="63">
        <v>-1706.39</v>
      </c>
      <c r="R64" s="5">
        <v>0.70044747697504361</v>
      </c>
      <c r="S64" s="48"/>
    </row>
    <row r="65" spans="3:19" x14ac:dyDescent="0.2">
      <c r="C65" s="89" t="s">
        <v>18</v>
      </c>
      <c r="D65" s="10"/>
      <c r="E65" s="59">
        <f>E63/E60</f>
        <v>4.00390625</v>
      </c>
      <c r="F65" s="10"/>
      <c r="G65" s="10"/>
      <c r="H65" s="10"/>
      <c r="I65" s="93" t="s">
        <v>18</v>
      </c>
      <c r="J65" s="10"/>
      <c r="K65" s="59">
        <f>K63/K60</f>
        <v>4.00390625</v>
      </c>
      <c r="L65" s="10"/>
      <c r="M65" s="10"/>
      <c r="N65" s="10"/>
      <c r="O65" s="93" t="s">
        <v>18</v>
      </c>
      <c r="P65" s="10"/>
      <c r="Q65" s="59">
        <f>Q63/Q60</f>
        <v>4.00390625</v>
      </c>
      <c r="R65" s="5"/>
      <c r="S65" s="48"/>
    </row>
    <row r="66" spans="3:19" x14ac:dyDescent="0.2">
      <c r="C66" s="90" t="s">
        <v>17</v>
      </c>
      <c r="D66" s="57">
        <f>D64/D60</f>
        <v>2.0156250000000009</v>
      </c>
      <c r="E66" s="10"/>
      <c r="F66" s="10"/>
      <c r="G66" s="10"/>
      <c r="H66" s="10"/>
      <c r="I66" s="94" t="s">
        <v>17</v>
      </c>
      <c r="J66" s="57">
        <f>J64/J60</f>
        <v>2.015625</v>
      </c>
      <c r="K66" s="10"/>
      <c r="L66" s="10"/>
      <c r="M66" s="10"/>
      <c r="N66" s="10"/>
      <c r="O66" s="94" t="s">
        <v>17</v>
      </c>
      <c r="P66" s="57">
        <f>P64/P60</f>
        <v>2.0156250000000004</v>
      </c>
      <c r="Q66" s="10"/>
      <c r="R66" s="5"/>
      <c r="S66" s="48"/>
    </row>
    <row r="67" spans="3:19" x14ac:dyDescent="0.2">
      <c r="C67" s="14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6"/>
    </row>
    <row r="68" spans="3:19" x14ac:dyDescent="0.2">
      <c r="C68" s="14"/>
      <c r="D68" s="10"/>
      <c r="E68" s="26">
        <v>2.9</v>
      </c>
      <c r="F68" s="10" t="s">
        <v>0</v>
      </c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6"/>
    </row>
    <row r="69" spans="3:19" x14ac:dyDescent="0.2">
      <c r="C69" s="14"/>
      <c r="D69" s="10"/>
      <c r="E69" s="26">
        <v>6.12</v>
      </c>
      <c r="F69" s="10" t="s">
        <v>1</v>
      </c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6"/>
    </row>
    <row r="70" spans="3:19" x14ac:dyDescent="0.2">
      <c r="C70" s="14"/>
      <c r="D70" s="10"/>
      <c r="E70" s="26">
        <v>85</v>
      </c>
      <c r="F70" s="10" t="s">
        <v>8</v>
      </c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6"/>
    </row>
    <row r="71" spans="3:19" x14ac:dyDescent="0.2">
      <c r="C71" s="45" t="s">
        <v>9</v>
      </c>
      <c r="D71" s="65" t="s">
        <v>16</v>
      </c>
      <c r="E71" s="31" t="s">
        <v>10</v>
      </c>
      <c r="F71" s="30" t="s">
        <v>11</v>
      </c>
      <c r="G71" s="30"/>
      <c r="H71" s="10"/>
      <c r="I71" s="11"/>
      <c r="J71" s="12"/>
      <c r="K71" s="12"/>
      <c r="L71" s="12"/>
      <c r="M71" s="12"/>
      <c r="N71" s="12"/>
      <c r="O71" s="12"/>
      <c r="P71" s="12"/>
      <c r="Q71" s="12"/>
      <c r="R71" s="12"/>
      <c r="S71" s="13"/>
    </row>
    <row r="72" spans="3:19" x14ac:dyDescent="0.2">
      <c r="C72" s="47">
        <v>1</v>
      </c>
      <c r="D72" s="66"/>
      <c r="E72" s="63">
        <v>-50.875</v>
      </c>
      <c r="F72" s="5">
        <v>1.0099983105251991</v>
      </c>
      <c r="G72" s="5"/>
      <c r="H72" s="10"/>
      <c r="I72" s="14" t="s">
        <v>19</v>
      </c>
      <c r="J72" s="10"/>
      <c r="K72" s="10"/>
      <c r="L72" s="10"/>
      <c r="M72" s="10"/>
      <c r="N72" s="10"/>
      <c r="O72" s="10"/>
      <c r="P72" s="10"/>
      <c r="Q72" s="10"/>
      <c r="R72" s="10"/>
      <c r="S72" s="16"/>
    </row>
    <row r="73" spans="3:19" x14ac:dyDescent="0.2">
      <c r="C73" s="47">
        <v>2</v>
      </c>
      <c r="D73" s="67">
        <v>-39.875</v>
      </c>
      <c r="E73" s="64">
        <v>-90.75</v>
      </c>
      <c r="F73" s="25">
        <v>0.90080930398193448</v>
      </c>
      <c r="G73" s="25"/>
      <c r="H73" s="10"/>
      <c r="I73" s="14" t="s">
        <v>20</v>
      </c>
      <c r="J73" s="10"/>
      <c r="K73" s="10"/>
      <c r="L73" s="10"/>
      <c r="M73" s="10"/>
      <c r="N73" s="10"/>
      <c r="O73" s="10"/>
      <c r="P73" s="10"/>
      <c r="Q73" s="10"/>
      <c r="R73" s="10"/>
      <c r="S73" s="16"/>
    </row>
    <row r="74" spans="3:19" x14ac:dyDescent="0.2">
      <c r="C74" s="47">
        <v>3</v>
      </c>
      <c r="D74" s="67">
        <v>-30.25</v>
      </c>
      <c r="E74" s="63">
        <v>-121</v>
      </c>
      <c r="F74" s="5">
        <v>0.80071938131727505</v>
      </c>
      <c r="G74" s="5"/>
      <c r="H74" s="10"/>
      <c r="I74" s="55"/>
      <c r="J74" s="10"/>
      <c r="K74" s="10"/>
      <c r="L74" s="10"/>
      <c r="M74" s="10"/>
      <c r="N74" s="10"/>
      <c r="O74" s="10"/>
      <c r="P74" s="10"/>
      <c r="Q74" s="10"/>
      <c r="R74" s="10"/>
      <c r="S74" s="16"/>
    </row>
    <row r="75" spans="3:19" x14ac:dyDescent="0.2">
      <c r="C75" s="47">
        <v>4</v>
      </c>
      <c r="D75" s="67">
        <v>-19.25</v>
      </c>
      <c r="E75" s="63">
        <v>-140.25</v>
      </c>
      <c r="F75" s="5">
        <v>0.69607991671331293</v>
      </c>
      <c r="G75" s="5"/>
      <c r="H75" s="10"/>
      <c r="I75" s="92" t="s">
        <v>21</v>
      </c>
      <c r="J75" s="10"/>
      <c r="K75" s="10"/>
      <c r="L75" s="10"/>
      <c r="M75" s="10"/>
      <c r="N75" s="10"/>
      <c r="O75" s="10"/>
      <c r="P75" s="10"/>
      <c r="Q75" s="10"/>
      <c r="R75" s="10"/>
      <c r="S75" s="16"/>
    </row>
    <row r="76" spans="3:19" x14ac:dyDescent="0.2">
      <c r="C76" s="47">
        <v>5</v>
      </c>
      <c r="D76" s="67">
        <v>-35.75</v>
      </c>
      <c r="E76" s="64">
        <v>-176</v>
      </c>
      <c r="F76" s="25">
        <v>0.69880964187689454</v>
      </c>
      <c r="G76" s="25"/>
      <c r="H76" s="10"/>
      <c r="I76" s="91" t="s">
        <v>30</v>
      </c>
      <c r="J76" s="10"/>
      <c r="K76" s="10"/>
      <c r="L76" s="10"/>
      <c r="M76" s="10"/>
      <c r="N76" s="10"/>
      <c r="O76" s="10"/>
      <c r="P76" s="10"/>
      <c r="Q76" s="10"/>
      <c r="R76" s="10"/>
      <c r="S76" s="16"/>
    </row>
    <row r="77" spans="3:19" x14ac:dyDescent="0.2">
      <c r="C77" s="47">
        <v>10</v>
      </c>
      <c r="D77" s="67">
        <v>-176</v>
      </c>
      <c r="E77" s="63">
        <v>-352</v>
      </c>
      <c r="F77" s="5">
        <v>0.69880964187689454</v>
      </c>
      <c r="G77" s="5"/>
      <c r="H77" s="10"/>
      <c r="I77" s="55"/>
      <c r="J77" s="10"/>
      <c r="K77" s="10"/>
      <c r="L77" s="10"/>
      <c r="M77" s="10"/>
      <c r="N77" s="10"/>
      <c r="O77" s="10"/>
      <c r="P77" s="10"/>
      <c r="Q77" s="10"/>
      <c r="R77" s="10"/>
      <c r="S77" s="16"/>
    </row>
    <row r="78" spans="3:19" x14ac:dyDescent="0.2">
      <c r="C78" s="47">
        <v>20</v>
      </c>
      <c r="D78" s="67">
        <v>-353.375</v>
      </c>
      <c r="E78" s="63">
        <v>-705.375</v>
      </c>
      <c r="F78" s="5">
        <v>0.70017450445868545</v>
      </c>
      <c r="G78" s="5"/>
      <c r="H78" s="10"/>
      <c r="I78" s="14"/>
      <c r="J78" s="10"/>
      <c r="K78" s="10"/>
      <c r="L78" s="10"/>
      <c r="M78" s="10"/>
      <c r="N78" s="10"/>
      <c r="O78" s="10"/>
      <c r="P78" s="10"/>
      <c r="Q78" s="10"/>
      <c r="R78" s="10"/>
      <c r="S78" s="16"/>
    </row>
    <row r="79" spans="3:19" x14ac:dyDescent="0.2">
      <c r="C79" s="47">
        <v>30</v>
      </c>
      <c r="D79" s="67">
        <v>-352</v>
      </c>
      <c r="E79" s="63">
        <v>-1057.375</v>
      </c>
      <c r="F79" s="5">
        <v>0.69971955026475519</v>
      </c>
      <c r="G79" s="5"/>
      <c r="H79" s="10"/>
      <c r="I79" s="14"/>
      <c r="J79" s="10"/>
      <c r="K79" s="10"/>
      <c r="L79" s="10"/>
      <c r="M79" s="10"/>
      <c r="N79" s="10"/>
      <c r="O79" s="10"/>
      <c r="P79" s="10"/>
      <c r="Q79" s="10"/>
      <c r="R79" s="10"/>
      <c r="S79" s="16"/>
    </row>
    <row r="80" spans="3:19" x14ac:dyDescent="0.2">
      <c r="C80" s="47">
        <v>40</v>
      </c>
      <c r="D80" s="67">
        <v>-352</v>
      </c>
      <c r="E80" s="64">
        <v>-1409.375</v>
      </c>
      <c r="F80" s="25">
        <v>0.69949207316778994</v>
      </c>
      <c r="G80" s="25"/>
      <c r="H80" s="10"/>
      <c r="I80" s="14"/>
      <c r="J80" s="10"/>
      <c r="K80" s="10"/>
      <c r="L80" s="10"/>
      <c r="M80" s="10"/>
      <c r="N80" s="10"/>
      <c r="O80" s="10"/>
      <c r="P80" s="10"/>
      <c r="Q80" s="10"/>
      <c r="R80" s="10"/>
      <c r="S80" s="16"/>
    </row>
    <row r="81" spans="3:19" x14ac:dyDescent="0.2">
      <c r="C81" s="47">
        <v>50</v>
      </c>
      <c r="D81" s="67">
        <v>-354.75</v>
      </c>
      <c r="E81" s="63">
        <v>-1764.125</v>
      </c>
      <c r="F81" s="5">
        <v>0.70044747697504361</v>
      </c>
      <c r="G81" s="5"/>
      <c r="H81" s="10"/>
      <c r="I81" s="14"/>
      <c r="J81" s="10"/>
      <c r="K81" s="10"/>
      <c r="L81" s="10"/>
      <c r="M81" s="10"/>
      <c r="N81" s="10"/>
      <c r="O81" s="10"/>
      <c r="P81" s="10"/>
      <c r="Q81" s="10"/>
      <c r="R81" s="10"/>
      <c r="S81" s="16"/>
    </row>
    <row r="82" spans="3:19" x14ac:dyDescent="0.2">
      <c r="C82" s="89" t="s">
        <v>18</v>
      </c>
      <c r="D82" s="10"/>
      <c r="E82" s="59">
        <f>E80/E77</f>
        <v>4.00390625</v>
      </c>
      <c r="F82" s="10"/>
      <c r="G82" s="5"/>
      <c r="H82" s="10"/>
      <c r="I82" s="14"/>
      <c r="J82" s="10"/>
      <c r="K82" s="10"/>
      <c r="L82" s="10"/>
      <c r="M82" s="10"/>
      <c r="N82" s="10"/>
      <c r="O82" s="10"/>
      <c r="P82" s="10"/>
      <c r="Q82" s="10"/>
      <c r="R82" s="10"/>
      <c r="S82" s="16"/>
    </row>
    <row r="83" spans="3:19" x14ac:dyDescent="0.2">
      <c r="C83" s="95" t="s">
        <v>17</v>
      </c>
      <c r="D83" s="96">
        <f>D81/D77</f>
        <v>2.015625</v>
      </c>
      <c r="E83" s="3"/>
      <c r="F83" s="3"/>
      <c r="G83" s="51"/>
      <c r="H83" s="3"/>
      <c r="I83" s="7"/>
      <c r="J83" s="3"/>
      <c r="K83" s="3"/>
      <c r="L83" s="3"/>
      <c r="M83" s="3"/>
      <c r="N83" s="3"/>
      <c r="O83" s="3"/>
      <c r="P83" s="3"/>
      <c r="Q83" s="3"/>
      <c r="R83" s="3"/>
      <c r="S83" s="8"/>
    </row>
  </sheetData>
  <mergeCells count="1">
    <mergeCell ref="U26:W26"/>
  </mergeCells>
  <pageMargins left="0.7" right="0.7" top="0.75" bottom="0.75" header="0.3" footer="0.3"/>
  <pageSetup scale="63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B4:C5"/>
  <sheetViews>
    <sheetView showGridLines="0" workbookViewId="0">
      <selection activeCell="K22" sqref="K22"/>
    </sheetView>
  </sheetViews>
  <sheetFormatPr defaultRowHeight="12.75" x14ac:dyDescent="0.2"/>
  <sheetData>
    <row r="4" spans="2:3" x14ac:dyDescent="0.2">
      <c r="B4">
        <v>16</v>
      </c>
      <c r="C4">
        <v>44</v>
      </c>
    </row>
    <row r="5" spans="2:3" x14ac:dyDescent="0.2">
      <c r="C5">
        <f>(B4/C4)^2</f>
        <v>0.13223140495867769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rzeta_bkwd_less_drag</vt:lpstr>
      <vt:lpstr>shr_per_spr</vt:lpstr>
      <vt:lpstr>shr_add_rcratio_aver</vt:lpstr>
      <vt:lpstr>shr_add_rcratio_adjust</vt:lpstr>
      <vt:lpstr>sh_comp_zeta</vt:lpstr>
      <vt:lpstr>shr_save_rzeta_1.00</vt:lpstr>
      <vt:lpstr>Sheet1</vt:lpstr>
      <vt:lpstr>rzeta_bkwd_less_drag!Print_Area</vt:lpstr>
      <vt:lpstr>sh_comp_zeta!Print_Area</vt:lpstr>
      <vt:lpstr>shr_add_rcratio_adjust!Print_Area</vt:lpstr>
      <vt:lpstr>shr_add_rcratio_aver!Print_Area</vt:lpstr>
      <vt:lpstr>shr_per_spr!Print_Area</vt:lpstr>
      <vt:lpstr>shr_save_rzeta_1.00!Print_Area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Stillwell</dc:creator>
  <cp:lastModifiedBy>Kevin Stillwell</cp:lastModifiedBy>
  <cp:lastPrinted>2019-05-12T22:14:18Z</cp:lastPrinted>
  <dcterms:created xsi:type="dcterms:W3CDTF">2017-08-18T22:36:59Z</dcterms:created>
  <dcterms:modified xsi:type="dcterms:W3CDTF">2019-05-13T05:46:29Z</dcterms:modified>
</cp:coreProperties>
</file>