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10185" activeTab="2"/>
  </bookViews>
  <sheets>
    <sheet name="sff_dff_rebBld (3)" sheetId="6" r:id="rId1"/>
    <sheet name="sff_dff_rebBld (2)" sheetId="5" r:id="rId2"/>
    <sheet name="sff_dff_rebBld" sheetId="1" r:id="rId3"/>
    <sheet name="aer_rebBldShim_2955" sheetId="4" r:id="rId4"/>
    <sheet name="Sheet3" sheetId="3" r:id="rId5"/>
  </sheets>
  <definedNames>
    <definedName name="_xlnm.Print_Area" localSheetId="3">aer_rebBldShim_2955!$B$3:$T$41</definedName>
    <definedName name="_xlnm.Print_Area" localSheetId="2">sff_dff_rebBld!$B$2:$T$47</definedName>
    <definedName name="_xlnm.Print_Area" localSheetId="1">'sff_dff_rebBld (2)'!$B$2:$V$52</definedName>
    <definedName name="_xlnm.Print_Area" localSheetId="0">'sff_dff_rebBld (3)'!$B$2:$U$62</definedName>
  </definedNames>
  <calcPr calcId="145621"/>
</workbook>
</file>

<file path=xl/calcChain.xml><?xml version="1.0" encoding="utf-8"?>
<calcChain xmlns="http://schemas.openxmlformats.org/spreadsheetml/2006/main">
  <c r="K13" i="1" l="1"/>
  <c r="C39" i="1"/>
  <c r="S41" i="1"/>
  <c r="S40" i="1"/>
  <c r="S39" i="1"/>
  <c r="S36" i="1"/>
  <c r="S35" i="1"/>
  <c r="S34" i="1"/>
  <c r="S30" i="1"/>
  <c r="S31" i="1"/>
  <c r="S29" i="1"/>
  <c r="N41" i="1"/>
  <c r="N39" i="1"/>
  <c r="N36" i="1"/>
  <c r="N34" i="1"/>
  <c r="N31" i="1"/>
  <c r="N29" i="1"/>
  <c r="G11" i="1"/>
  <c r="H11" i="1"/>
  <c r="H10" i="1"/>
  <c r="G10" i="1"/>
  <c r="O62" i="6"/>
  <c r="T60" i="6"/>
  <c r="T59" i="6"/>
  <c r="T58" i="6"/>
  <c r="O58" i="6"/>
  <c r="T57" i="6"/>
  <c r="T56" i="6"/>
  <c r="T55" i="6"/>
  <c r="T54" i="6"/>
  <c r="O54" i="6"/>
  <c r="T53" i="6"/>
  <c r="T52" i="6"/>
  <c r="T51" i="6"/>
  <c r="O50" i="6"/>
  <c r="D50" i="6"/>
  <c r="F49" i="6"/>
  <c r="E49" i="6"/>
  <c r="G49" i="6" s="1"/>
  <c r="G48" i="6"/>
  <c r="G50" i="6" s="1"/>
  <c r="F48" i="6"/>
  <c r="E48" i="6"/>
  <c r="U46" i="6"/>
  <c r="Y46" i="6" s="1"/>
  <c r="T46" i="6"/>
  <c r="O46" i="6"/>
  <c r="U45" i="6"/>
  <c r="T45" i="6"/>
  <c r="D45" i="6"/>
  <c r="Y44" i="6"/>
  <c r="U44" i="6"/>
  <c r="T44" i="6"/>
  <c r="F44" i="6"/>
  <c r="G44" i="6" s="1"/>
  <c r="E44" i="6"/>
  <c r="U43" i="6"/>
  <c r="T43" i="6"/>
  <c r="F43" i="6"/>
  <c r="E43" i="6"/>
  <c r="G43" i="6" s="1"/>
  <c r="G45" i="6" s="1"/>
  <c r="Y42" i="6"/>
  <c r="U42" i="6"/>
  <c r="P41" i="6"/>
  <c r="P40" i="6"/>
  <c r="D40" i="6"/>
  <c r="P39" i="6"/>
  <c r="F39" i="6"/>
  <c r="U38" i="6"/>
  <c r="T38" i="6"/>
  <c r="P38" i="6"/>
  <c r="F38" i="6"/>
  <c r="U37" i="6"/>
  <c r="Y45" i="6" s="1"/>
  <c r="T37" i="6"/>
  <c r="P37" i="6"/>
  <c r="U36" i="6"/>
  <c r="T36" i="6"/>
  <c r="P36" i="6"/>
  <c r="U35" i="6"/>
  <c r="Y43" i="6" s="1"/>
  <c r="T35" i="6"/>
  <c r="P35" i="6"/>
  <c r="D35" i="6"/>
  <c r="U34" i="6"/>
  <c r="F34" i="6"/>
  <c r="F33" i="6"/>
  <c r="D25" i="6"/>
  <c r="F24" i="6"/>
  <c r="F23" i="6"/>
  <c r="D20" i="6"/>
  <c r="F19" i="6"/>
  <c r="F18" i="6"/>
  <c r="S12" i="6"/>
  <c r="S13" i="6" s="1"/>
  <c r="C12" i="6"/>
  <c r="E39" i="6" s="1"/>
  <c r="G39" i="6" s="1"/>
  <c r="J11" i="6"/>
  <c r="G11" i="6"/>
  <c r="F11" i="6"/>
  <c r="H11" i="6" s="1"/>
  <c r="G10" i="6"/>
  <c r="C13" i="6" s="1"/>
  <c r="F10" i="6"/>
  <c r="H10" i="6" s="1"/>
  <c r="S9" i="6"/>
  <c r="S10" i="6" s="1"/>
  <c r="E24" i="1"/>
  <c r="E19" i="1"/>
  <c r="C32" i="1"/>
  <c r="T12" i="1"/>
  <c r="T13" i="1" s="1"/>
  <c r="T9" i="1"/>
  <c r="T10" i="1" s="1"/>
  <c r="G23" i="1"/>
  <c r="G22" i="1"/>
  <c r="G18" i="1"/>
  <c r="G17" i="1"/>
  <c r="T34" i="1" l="1"/>
  <c r="I10" i="1"/>
  <c r="T39" i="1"/>
  <c r="T31" i="1"/>
  <c r="T29" i="1"/>
  <c r="I11" i="1"/>
  <c r="D12" i="1" s="1"/>
  <c r="T41" i="1"/>
  <c r="T36" i="1"/>
  <c r="O20" i="6"/>
  <c r="O23" i="6"/>
  <c r="O26" i="6" s="1"/>
  <c r="E18" i="6"/>
  <c r="G18" i="6" s="1"/>
  <c r="G20" i="6" s="1"/>
  <c r="E23" i="6"/>
  <c r="G23" i="6" s="1"/>
  <c r="E34" i="6"/>
  <c r="G34" i="6" s="1"/>
  <c r="E24" i="6"/>
  <c r="G24" i="6" s="1"/>
  <c r="E38" i="6"/>
  <c r="G38" i="6" s="1"/>
  <c r="G40" i="6" s="1"/>
  <c r="E19" i="6"/>
  <c r="G19" i="6" s="1"/>
  <c r="E33" i="6"/>
  <c r="G33" i="6" s="1"/>
  <c r="G35" i="6" s="1"/>
  <c r="K11" i="1"/>
  <c r="E34" i="5"/>
  <c r="K52" i="5"/>
  <c r="D51" i="5"/>
  <c r="Q50" i="5"/>
  <c r="F50" i="5"/>
  <c r="Q49" i="5"/>
  <c r="F49" i="5"/>
  <c r="Q48" i="5"/>
  <c r="K48" i="5"/>
  <c r="Q47" i="5"/>
  <c r="Q46" i="5"/>
  <c r="D46" i="5"/>
  <c r="Q45" i="5"/>
  <c r="F45" i="5"/>
  <c r="Q44" i="5"/>
  <c r="K44" i="5"/>
  <c r="F44" i="5"/>
  <c r="Q43" i="5"/>
  <c r="Q42" i="5"/>
  <c r="Q41" i="5"/>
  <c r="D41" i="5"/>
  <c r="K40" i="5"/>
  <c r="F40" i="5"/>
  <c r="F39" i="5"/>
  <c r="V36" i="5"/>
  <c r="R36" i="5"/>
  <c r="Q36" i="5"/>
  <c r="K36" i="5"/>
  <c r="D36" i="5"/>
  <c r="R35" i="5"/>
  <c r="Q35" i="5"/>
  <c r="F35" i="5"/>
  <c r="V34" i="5"/>
  <c r="R34" i="5"/>
  <c r="Q34" i="5"/>
  <c r="F34" i="5"/>
  <c r="R33" i="5"/>
  <c r="Q33" i="5"/>
  <c r="R32" i="5"/>
  <c r="L31" i="5"/>
  <c r="L30" i="5"/>
  <c r="D30" i="5"/>
  <c r="L29" i="5"/>
  <c r="F29" i="5"/>
  <c r="R28" i="5"/>
  <c r="Q28" i="5"/>
  <c r="L28" i="5"/>
  <c r="F28" i="5"/>
  <c r="V27" i="5"/>
  <c r="V28" i="5" s="1"/>
  <c r="R27" i="5"/>
  <c r="V35" i="5" s="1"/>
  <c r="Q27" i="5"/>
  <c r="L27" i="5"/>
  <c r="R26" i="5"/>
  <c r="Q26" i="5"/>
  <c r="L26" i="5"/>
  <c r="V25" i="5"/>
  <c r="R25" i="5"/>
  <c r="V33" i="5" s="1"/>
  <c r="Q25" i="5"/>
  <c r="L25" i="5"/>
  <c r="D25" i="5"/>
  <c r="V24" i="5"/>
  <c r="R24" i="5"/>
  <c r="V32" i="5" s="1"/>
  <c r="F24" i="5"/>
  <c r="F23" i="5"/>
  <c r="V17" i="5"/>
  <c r="M25" i="5" s="1"/>
  <c r="V15" i="5"/>
  <c r="V10" i="5"/>
  <c r="S10" i="5" s="1"/>
  <c r="R10" i="5"/>
  <c r="T10" i="5" s="1"/>
  <c r="T9" i="5"/>
  <c r="S9" i="5"/>
  <c r="R15" i="5" s="1"/>
  <c r="R9" i="5"/>
  <c r="T8" i="5"/>
  <c r="S8" i="5"/>
  <c r="R8" i="5"/>
  <c r="G8" i="5"/>
  <c r="F8" i="5"/>
  <c r="S7" i="5"/>
  <c r="R7" i="5"/>
  <c r="T7" i="5" s="1"/>
  <c r="G7" i="5"/>
  <c r="F7" i="5"/>
  <c r="H7" i="5" s="1"/>
  <c r="D13" i="1" l="1"/>
  <c r="G25" i="6"/>
  <c r="E40" i="5"/>
  <c r="G40" i="5" s="1"/>
  <c r="H8" i="5"/>
  <c r="M31" i="5"/>
  <c r="E39" i="5"/>
  <c r="G39" i="5" s="1"/>
  <c r="E44" i="5"/>
  <c r="G44" i="5" s="1"/>
  <c r="G46" i="5" s="1"/>
  <c r="J15" i="5"/>
  <c r="G15" i="5" s="1"/>
  <c r="J17" i="5"/>
  <c r="E45" i="5"/>
  <c r="G45" i="5" s="1"/>
  <c r="R17" i="5"/>
  <c r="R19" i="5" s="1"/>
  <c r="M26" i="5"/>
  <c r="M27" i="5"/>
  <c r="M28" i="5"/>
  <c r="M29" i="5"/>
  <c r="M30" i="5"/>
  <c r="G34" i="5"/>
  <c r="E49" i="5"/>
  <c r="G49" i="5" s="1"/>
  <c r="E50" i="5"/>
  <c r="G50" i="5" s="1"/>
  <c r="C9" i="5"/>
  <c r="E35" i="5"/>
  <c r="G35" i="5" s="1"/>
  <c r="F17" i="4"/>
  <c r="I17" i="4" s="1"/>
  <c r="E17" i="4"/>
  <c r="D17" i="4"/>
  <c r="F16" i="4"/>
  <c r="I16" i="4" s="1"/>
  <c r="E16" i="4"/>
  <c r="H16" i="4" s="1"/>
  <c r="D16" i="4"/>
  <c r="G16" i="4" s="1"/>
  <c r="F15" i="4"/>
  <c r="I15" i="4" s="1"/>
  <c r="E15" i="4"/>
  <c r="H15" i="4" s="1"/>
  <c r="D15" i="4"/>
  <c r="G15" i="4" s="1"/>
  <c r="I14" i="4"/>
  <c r="H14" i="4"/>
  <c r="F14" i="4"/>
  <c r="E14" i="4"/>
  <c r="D14" i="4"/>
  <c r="G14" i="4" s="1"/>
  <c r="F13" i="4"/>
  <c r="I13" i="4" s="1"/>
  <c r="E13" i="4"/>
  <c r="D13" i="4"/>
  <c r="F12" i="4"/>
  <c r="I12" i="4" s="1"/>
  <c r="E12" i="4"/>
  <c r="H12" i="4" s="1"/>
  <c r="D12" i="4"/>
  <c r="G12" i="4" s="1"/>
  <c r="F11" i="4"/>
  <c r="I11" i="4" s="1"/>
  <c r="E11" i="4"/>
  <c r="H11" i="4" s="1"/>
  <c r="D11" i="4"/>
  <c r="G11" i="4" s="1"/>
  <c r="I10" i="4"/>
  <c r="H10" i="4"/>
  <c r="F10" i="4"/>
  <c r="E10" i="4"/>
  <c r="D10" i="4"/>
  <c r="G10" i="4" s="1"/>
  <c r="F9" i="4"/>
  <c r="G9" i="4" s="1"/>
  <c r="E9" i="4"/>
  <c r="D9" i="4"/>
  <c r="F8" i="4"/>
  <c r="I8" i="4" s="1"/>
  <c r="E8" i="4"/>
  <c r="H8" i="4" s="1"/>
  <c r="D8" i="4"/>
  <c r="G8" i="4" s="1"/>
  <c r="F7" i="4"/>
  <c r="I7" i="4" s="1"/>
  <c r="E7" i="4"/>
  <c r="H7" i="4" s="1"/>
  <c r="D7" i="4"/>
  <c r="G7" i="4" s="1"/>
  <c r="I6" i="4"/>
  <c r="H6" i="4"/>
  <c r="F6" i="4"/>
  <c r="E6" i="4"/>
  <c r="D6" i="4"/>
  <c r="G6" i="4" s="1"/>
  <c r="G51" i="5" l="1"/>
  <c r="G36" i="5"/>
  <c r="E29" i="5"/>
  <c r="G29" i="5" s="1"/>
  <c r="E28" i="5"/>
  <c r="G28" i="5" s="1"/>
  <c r="E23" i="5"/>
  <c r="G23" i="5" s="1"/>
  <c r="E24" i="5"/>
  <c r="G24" i="5" s="1"/>
  <c r="G17" i="5"/>
  <c r="G19" i="5" s="1"/>
  <c r="G41" i="5"/>
  <c r="G13" i="4"/>
  <c r="H13" i="4"/>
  <c r="I9" i="4"/>
  <c r="G17" i="4"/>
  <c r="H9" i="4"/>
  <c r="H17" i="4"/>
  <c r="G25" i="5" l="1"/>
  <c r="G30" i="5"/>
  <c r="F22" i="1" l="1"/>
  <c r="H22" i="1" s="1"/>
  <c r="F23" i="1"/>
  <c r="H23" i="1" s="1"/>
  <c r="F17" i="1"/>
  <c r="H17" i="1" s="1"/>
  <c r="E37" i="1" s="1"/>
  <c r="F18" i="1"/>
  <c r="H18" i="1" s="1"/>
  <c r="E38" i="1" s="1"/>
  <c r="F38" i="1" s="1"/>
  <c r="E39" i="1" l="1"/>
  <c r="F39" i="1" s="1"/>
  <c r="F37" i="1"/>
  <c r="E31" i="1"/>
  <c r="F31" i="1" s="1"/>
  <c r="E30" i="1"/>
  <c r="H24" i="1"/>
  <c r="H19" i="1"/>
  <c r="F30" i="1" l="1"/>
  <c r="E32" i="1"/>
  <c r="F32" i="1" s="1"/>
</calcChain>
</file>

<file path=xl/sharedStrings.xml><?xml version="1.0" encoding="utf-8"?>
<sst xmlns="http://schemas.openxmlformats.org/spreadsheetml/2006/main" count="547" uniqueCount="188">
  <si>
    <t xml:space="preserve"> [mm^2]</t>
  </si>
  <si>
    <t>[ mm^2]</t>
  </si>
  <si>
    <t xml:space="preserve"> Bleed hole diameter and area</t>
  </si>
  <si>
    <t xml:space="preserve"> 3531</t>
  </si>
  <si>
    <t xml:space="preserve"> r-12</t>
  </si>
  <si>
    <t xml:space="preserve"> r-10</t>
  </si>
  <si>
    <t>bit size</t>
  </si>
  <si>
    <t>area</t>
  </si>
  <si>
    <t>clicker</t>
  </si>
  <si>
    <t>bld area</t>
  </si>
  <si>
    <t xml:space="preserve"> % diff</t>
  </si>
  <si>
    <t xml:space="preserve"> #56 bld</t>
  </si>
  <si>
    <t>[mm]</t>
  </si>
  <si>
    <t xml:space="preserve"> r-11</t>
  </si>
  <si>
    <t xml:space="preserve"> 2151</t>
  </si>
  <si>
    <t xml:space="preserve"> r-13</t>
  </si>
  <si>
    <t xml:space="preserve"> r-14</t>
  </si>
  <si>
    <t xml:space="preserve"> 3388</t>
  </si>
  <si>
    <t xml:space="preserve"> 2-26.1</t>
  </si>
  <si>
    <t xml:space="preserve"> r-16</t>
  </si>
  <si>
    <t xml:space="preserve"> 1-26.1</t>
  </si>
  <si>
    <t xml:space="preserve"> r-15</t>
  </si>
  <si>
    <t xml:space="preserve"> r-17</t>
  </si>
  <si>
    <t xml:space="preserve"> showa</t>
  </si>
  <si>
    <t xml:space="preserve"> kyb</t>
  </si>
  <si>
    <t xml:space="preserve"> aer reb shim bld</t>
  </si>
  <si>
    <t xml:space="preserve"> x 3 ports = </t>
  </si>
  <si>
    <t xml:space="preserve"> 8.0 x .20 = </t>
  </si>
  <si>
    <t xml:space="preserve"> 8.0 x .10 = </t>
  </si>
  <si>
    <t xml:space="preserve"> 12-20-19</t>
  </si>
  <si>
    <t>hole size dia</t>
  </si>
  <si>
    <t xml:space="preserve"> Calc best clicker and bleed hole size</t>
  </si>
  <si>
    <t xml:space="preserve"> #54 bld</t>
  </si>
  <si>
    <t xml:space="preserve"> #53 bld</t>
  </si>
  <si>
    <t xml:space="preserve"> r-18</t>
  </si>
  <si>
    <t xml:space="preserve"> r-19</t>
  </si>
  <si>
    <t xml:space="preserve"> r-20</t>
  </si>
  <si>
    <t xml:space="preserve"> r-21</t>
  </si>
  <si>
    <t xml:space="preserve"> #55 bld</t>
  </si>
  <si>
    <t xml:space="preserve"> clk bld</t>
  </si>
  <si>
    <t xml:space="preserve"> oall bld</t>
  </si>
  <si>
    <t xml:space="preserve"> aer</t>
  </si>
  <si>
    <t xml:space="preserve"> r-22</t>
  </si>
  <si>
    <t xml:space="preserve">   aver showa &amp; kyb bld</t>
  </si>
  <si>
    <t>fork</t>
  </si>
  <si>
    <t>mv pist dia</t>
  </si>
  <si>
    <t>rod dia</t>
  </si>
  <si>
    <t>mv area</t>
  </si>
  <si>
    <t>rod area</t>
  </si>
  <si>
    <t xml:space="preserve">  showa</t>
  </si>
  <si>
    <t xml:space="preserve">  kyb</t>
  </si>
  <si>
    <t xml:space="preserve">  aer</t>
  </si>
  <si>
    <t xml:space="preserve"> cf bld area</t>
  </si>
  <si>
    <t xml:space="preserve"> mv-rod area</t>
  </si>
  <si>
    <t xml:space="preserve"> mv rod cf</t>
  </si>
  <si>
    <t xml:space="preserve"> b) aer bleed area needs to be sized</t>
  </si>
  <si>
    <t xml:space="preserve"> aer bld  </t>
  </si>
  <si>
    <t>bleed cf</t>
  </si>
  <si>
    <t xml:space="preserve"> r - </t>
  </si>
  <si>
    <t xml:space="preserve"> c) aer bleed area needs to be converted to match DFF</t>
  </si>
  <si>
    <t>dff cf</t>
  </si>
  <si>
    <t xml:space="preserve"> a) mv rod area needs to be scaled to match showa</t>
  </si>
  <si>
    <t xml:space="preserve"> scaled rod area</t>
  </si>
  <si>
    <t xml:space="preserve"> scaled bleed area</t>
  </si>
  <si>
    <t xml:space="preserve"> converted bleed area</t>
  </si>
  <si>
    <t>scaled</t>
  </si>
  <si>
    <t>times</t>
  </si>
  <si>
    <t>[sff cf]</t>
  </si>
  <si>
    <t>[bld cf]</t>
  </si>
  <si>
    <t xml:space="preserve"> scale 12 to 12.5</t>
  </si>
  <si>
    <t xml:space="preserve"> scale 12.5 to 12</t>
  </si>
  <si>
    <t xml:space="preserve"> c) aer bleed area needs to be converted to match SFF</t>
  </si>
  <si>
    <t xml:space="preserve"> b) aer bleed area needs to be sized to match showa</t>
  </si>
  <si>
    <t xml:space="preserve"> scale to 12 to 12.5 rod</t>
  </si>
  <si>
    <t xml:space="preserve"> aer to showa </t>
  </si>
  <si>
    <t xml:space="preserve"> Enter desired showa  'starting' oall bld area from dff, below</t>
  </si>
  <si>
    <t xml:space="preserve"> Enter desired aer  'starting' oall bld area from aer, below</t>
  </si>
  <si>
    <t xml:space="preserve"> aer clk bld</t>
  </si>
  <si>
    <t xml:space="preserve"> aer oall bld</t>
  </si>
  <si>
    <t xml:space="preserve"> actual aer reb clicker</t>
  </si>
  <si>
    <t xml:space="preserve"> actual aer bleed hole</t>
  </si>
  <si>
    <t xml:space="preserve"> #57 bld</t>
  </si>
  <si>
    <t xml:space="preserve"> showa to aer ---&gt;</t>
  </si>
  <si>
    <t xml:space="preserve">  sff_to_dff_rebBleed_3539f.xlsx</t>
  </si>
  <si>
    <t>ips</t>
  </si>
  <si>
    <t>ro wogas</t>
  </si>
  <si>
    <t xml:space="preserve"> 0 - 26.10</t>
  </si>
  <si>
    <t xml:space="preserve"> 1 - 26.10</t>
  </si>
  <si>
    <t xml:space="preserve"> 2 - 26.10</t>
  </si>
  <si>
    <t xml:space="preserve">  Compare showa, kyb and aer reb bleed area;  set aer clicker to best position and drill bld hole in piston eliminating the 2-26.10 bld shims</t>
  </si>
  <si>
    <t xml:space="preserve">  Based on calculations below, we will shoot for an average between showa and kyb reb bleed area at r-12 respectively.</t>
  </si>
  <si>
    <t xml:space="preserve"> showa&amp;kyb</t>
  </si>
  <si>
    <t xml:space="preserve"> First compare the mv piston and rod diameters.  Then calculate the needed 'rod correction factor'  [rod cf].</t>
  </si>
  <si>
    <t xml:space="preserve"> rod cf = </t>
  </si>
  <si>
    <t xml:space="preserve"> ( 113.1 / 122.7 = .92 )</t>
  </si>
  <si>
    <t xml:space="preserve"> dia</t>
  </si>
  <si>
    <t xml:space="preserve"> mm^2 area</t>
  </si>
  <si>
    <t xml:space="preserve"> #56 = 1.2mm dia</t>
  </si>
  <si>
    <t>[rod cf]</t>
  </si>
  <si>
    <t xml:space="preserve"> Showa &amp; KYB</t>
  </si>
  <si>
    <t xml:space="preserve"> AER</t>
  </si>
  <si>
    <t xml:space="preserve"> Showa</t>
  </si>
  <si>
    <t xml:space="preserve"> KYB</t>
  </si>
  <si>
    <t xml:space="preserve">  12.5 rod</t>
  </si>
  <si>
    <t xml:space="preserve">    3531f</t>
  </si>
  <si>
    <t xml:space="preserve">    2151f</t>
  </si>
  <si>
    <t xml:space="preserve"> b) AER bleed area needs to be scaled using same 'rod cf'.</t>
  </si>
  <si>
    <t xml:space="preserve"> c) AER bleed area needs to be converted to to SFF</t>
  </si>
  <si>
    <t xml:space="preserve"> convert bld area</t>
  </si>
  <si>
    <t xml:space="preserve"> equiv AER reb bld area  ( 3.69 x .92 x .71 = 2.41 )</t>
  </si>
  <si>
    <t xml:space="preserve"> equiv AER bld hole area  ( 1.13 x .92 x .71 = .741 )</t>
  </si>
  <si>
    <t xml:space="preserve"> equiv AER total bld area  ( 2.41 + .74 = 3.15 )</t>
  </si>
  <si>
    <t xml:space="preserve"> equiv AER total bld area  ( 2.73 + .74 = 3.47 )</t>
  </si>
  <si>
    <r>
      <t xml:space="preserve">   DFF areas are  </t>
    </r>
    <r>
      <rPr>
        <u/>
        <sz val="11"/>
        <color theme="1"/>
        <rFont val="Calibri"/>
        <family val="2"/>
        <scheme val="minor"/>
      </rPr>
      <t>x sqrt(2)</t>
    </r>
    <r>
      <rPr>
        <sz val="11"/>
        <color theme="1"/>
        <rFont val="Calibri"/>
        <family val="2"/>
        <scheme val="minor"/>
      </rPr>
      <t xml:space="preserve"> larger than SFF</t>
    </r>
  </si>
  <si>
    <t xml:space="preserve"> sqrt(2) =</t>
  </si>
  <si>
    <t xml:space="preserve"> inverse =</t>
  </si>
  <si>
    <t xml:space="preserve"> a) AER 12 rod needs to be scaled to match Showa 12.5 using 'rod cf'.</t>
  </si>
  <si>
    <t xml:space="preserve"> KYB targ bld for AER</t>
  </si>
  <si>
    <t xml:space="preserve"> scaled AER rod area</t>
  </si>
  <si>
    <t xml:space="preserve"> scaled AER bld area</t>
  </si>
  <si>
    <t xml:space="preserve">  [use KYB bleed for target]</t>
  </si>
  <si>
    <t xml:space="preserve">  ( 3.76 x .71 = 2.67 )</t>
  </si>
  <si>
    <t xml:space="preserve"> Show various AER bleed area combinations from dim fk 05.</t>
  </si>
  <si>
    <t xml:space="preserve">  [dff cf]</t>
  </si>
  <si>
    <t xml:space="preserve">  [sff cf]</t>
  </si>
  <si>
    <t xml:space="preserve"> ( 122.7 / 113.1 = 1.09 )</t>
  </si>
  <si>
    <t xml:space="preserve">  ( 1.13x 1.09 = 122.7 )</t>
  </si>
  <si>
    <t xml:space="preserve">  ( 3.47 x 1.09 = 3.76 )</t>
  </si>
  <si>
    <t xml:space="preserve"> this is the reco AER bleed area to shoot for</t>
  </si>
  <si>
    <t xml:space="preserve">  Set AER clicker to best position and drill bld hole in piston eliminating the 2-26.10 bld shims</t>
  </si>
  <si>
    <t xml:space="preserve">  Compare Showa, KYB and AER reb bleed areas.</t>
  </si>
  <si>
    <t xml:space="preserve">  Based on calculations below, we will scale the 'good' Showa and KYB bleed areas to get a 'target' for AER.</t>
  </si>
  <si>
    <t xml:space="preserve">   Then calculate 'rod correction factor'  [rod cf].</t>
  </si>
  <si>
    <t xml:space="preserve"> KYB rod cf = </t>
  </si>
  <si>
    <t xml:space="preserve"> AER rod cf = </t>
  </si>
  <si>
    <t xml:space="preserve"> 3)  'DFF to SFF correction factor'.</t>
  </si>
  <si>
    <t xml:space="preserve">   Compare these existing bleed areas to 'recommended' area scaled from KYB.</t>
  </si>
  <si>
    <t xml:space="preserve"> 5)  Enter bleed area for Showa and KYB at r-12 from 'dim fk 05'.  Get bleed hole area from cell 'N8'.</t>
  </si>
  <si>
    <t xml:space="preserve"> 1)  Compare mv pist and rod dia. </t>
  </si>
  <si>
    <t xml:space="preserve"> 2)  Calc area of #56</t>
  </si>
  <si>
    <t xml:space="preserve"> 4)  Calc AER bld shim area</t>
  </si>
  <si>
    <t xml:space="preserve"> 6)  Based on KYB bleed, enter 'target' bleed for AER.</t>
  </si>
  <si>
    <t xml:space="preserve">       Then scale the Showa and KYB bleed area to the eqiviliant for AER SFF.</t>
  </si>
  <si>
    <t>bld hole</t>
  </si>
  <si>
    <t>[r-click]</t>
  </si>
  <si>
    <t xml:space="preserve">   AER</t>
  </si>
  <si>
    <t>[bld hole]</t>
  </si>
  <si>
    <t xml:space="preserve"> 1/2</t>
  </si>
  <si>
    <t xml:space="preserve">  Compare Showa, KYB and AER rebound bleed areas.</t>
  </si>
  <si>
    <r>
      <t xml:space="preserve">  Rebound bleed area is 'scaled and compared' based on </t>
    </r>
    <r>
      <rPr>
        <u/>
        <sz val="11"/>
        <color theme="1"/>
        <rFont val="Calibri"/>
        <family val="2"/>
        <scheme val="minor"/>
      </rPr>
      <t>mv-rod area</t>
    </r>
    <r>
      <rPr>
        <sz val="11"/>
        <color theme="1"/>
        <rFont val="Calibri"/>
        <family val="2"/>
        <scheme val="minor"/>
      </rPr>
      <t>.   Base valve bleed area is based on rod area only.</t>
    </r>
  </si>
  <si>
    <t xml:space="preserve">  Based on calculations below, we will scale the 'good' KYB bleed areas to get a 'target' for AER.</t>
  </si>
  <si>
    <t xml:space="preserve"> 1)  Compare mv piston and rod diameter. </t>
  </si>
  <si>
    <t xml:space="preserve">   Then calculate 'mv-rod correction factor'  [mv-rod cf].</t>
  </si>
  <si>
    <t xml:space="preserve"> AER mv-rod cf = </t>
  </si>
  <si>
    <t xml:space="preserve"> KYB mv-rod cf = </t>
  </si>
  <si>
    <t xml:space="preserve"> ( 794.8 / 329.7 = 2.41 )</t>
  </si>
  <si>
    <t xml:space="preserve"> ( 329.7 / 794.8 = .41 )</t>
  </si>
  <si>
    <t xml:space="preserve">  24 mv pist</t>
  </si>
  <si>
    <t xml:space="preserve">  AER reb clicker area is LESS than Showa</t>
  </si>
  <si>
    <t xml:space="preserve">  AER bld hole area is GREATER than Showa</t>
  </si>
  <si>
    <t xml:space="preserve"> r-8</t>
  </si>
  <si>
    <t xml:space="preserve"> [% change]</t>
  </si>
  <si>
    <t>reb clicker</t>
  </si>
  <si>
    <t xml:space="preserve">  AER total bleed area is LESS than Showa</t>
  </si>
  <si>
    <t>total</t>
  </si>
  <si>
    <r>
      <t xml:space="preserve">  DFF areas are  </t>
    </r>
    <r>
      <rPr>
        <u/>
        <sz val="10"/>
        <color theme="1"/>
        <rFont val="Calibri"/>
        <family val="2"/>
        <scheme val="minor"/>
      </rPr>
      <t>x sqrt(2)</t>
    </r>
    <r>
      <rPr>
        <sz val="10"/>
        <color theme="1"/>
        <rFont val="Calibri"/>
        <family val="2"/>
        <scheme val="minor"/>
      </rPr>
      <t xml:space="preserve"> larger than SFF</t>
    </r>
  </si>
  <si>
    <t xml:space="preserve">   Compare these existing bleed areas to 'recommended' area scaled from  above Showa.</t>
  </si>
  <si>
    <t xml:space="preserve"> Areas NOT scaled, we are comparing the % change in typical reb click range.</t>
  </si>
  <si>
    <t xml:space="preserve"> CONCLUSION:</t>
  </si>
  <si>
    <t xml:space="preserve">   AER reb click area is less than KYB, but the bld hole area is more.</t>
  </si>
  <si>
    <t xml:space="preserve">   Scaled Showa</t>
  </si>
  <si>
    <t xml:space="preserve">   AER combined reb area shows the click range is more similar.</t>
  </si>
  <si>
    <t xml:space="preserve">      e.g.  AER .93 and Showa .94</t>
  </si>
  <si>
    <t xml:space="preserve"> dia for #56</t>
  </si>
  <si>
    <t xml:space="preserve"> test bleed hole size starting with rec_id 3543</t>
  </si>
  <si>
    <t xml:space="preserve">   At r-16, the AER total bleed area is 14% less than Showa.</t>
  </si>
  <si>
    <t xml:space="preserve">      e.g.  AER .77 and Showa .92  (  i.e. clickers do more work.)</t>
  </si>
  <si>
    <r>
      <t xml:space="preserve">   AER </t>
    </r>
    <r>
      <rPr>
        <u/>
        <sz val="11"/>
        <color theme="1"/>
        <rFont val="Calibri"/>
        <family val="2"/>
        <scheme val="minor"/>
      </rPr>
      <t>reb click area only</t>
    </r>
    <r>
      <rPr>
        <sz val="11"/>
        <color theme="1"/>
        <rFont val="Calibri"/>
        <family val="2"/>
        <scheme val="minor"/>
      </rPr>
      <t xml:space="preserve"> show the click range is more than Showa.  </t>
    </r>
  </si>
  <si>
    <t xml:space="preserve">  mm^2 =</t>
  </si>
  <si>
    <t xml:space="preserve">   If we start with r-16, we need to drill a 2.4 - 3.6 - 4.8 mm^2 bleed hole.</t>
  </si>
  <si>
    <t xml:space="preserve"> dia hole =</t>
  </si>
  <si>
    <t xml:space="preserve">  #51</t>
  </si>
  <si>
    <t xml:space="preserve">  #44</t>
  </si>
  <si>
    <t xml:space="preserve">  #41</t>
  </si>
  <si>
    <t>Remember, a bleed hole is</t>
  </si>
  <si>
    <t>there all the time, 2-26.10 bld</t>
  </si>
  <si>
    <t>shims are there only for an</t>
  </si>
  <si>
    <t>instant.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</si>
</sst>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CC2B1A"/>
      <name val="Calibri"/>
      <family val="2"/>
      <scheme val="minor"/>
    </font>
    <font>
      <sz val="10"/>
      <name val="Calibri"/>
      <family val="2"/>
      <scheme val="minor"/>
    </font>
    <font>
      <sz val="11"/>
      <color rgb="FFCC2B1A"/>
      <name val="Calibri"/>
      <family val="2"/>
      <scheme val="minor"/>
    </font>
    <font>
      <sz val="9"/>
      <color rgb="FFCC2B1A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color theme="1"/>
      <name val="Trebuchet MS"/>
      <family val="2"/>
    </font>
    <font>
      <sz val="11"/>
      <color theme="1" tint="0.499984740745262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E7DA"/>
        <bgColor indexed="64"/>
      </patternFill>
    </fill>
    <fill>
      <patternFill patternType="solid">
        <fgColor rgb="FFEFF4E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9F5F0"/>
      </left>
      <right style="thin">
        <color rgb="FFF9F5F0"/>
      </right>
      <top style="thin">
        <color rgb="FFF9F5F0"/>
      </top>
      <bottom style="thin">
        <color rgb="FFF9F5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/>
    <xf numFmtId="0" fontId="0" fillId="0" borderId="6" xfId="0" quotePrefix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/>
    <xf numFmtId="0" fontId="0" fillId="0" borderId="0" xfId="0" quotePrefix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7" xfId="0" applyFill="1" applyBorder="1"/>
    <xf numFmtId="2" fontId="0" fillId="4" borderId="0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0" fillId="2" borderId="3" xfId="0" applyFill="1" applyBorder="1"/>
    <xf numFmtId="0" fontId="4" fillId="2" borderId="0" xfId="0" quotePrefix="1" applyFont="1" applyFill="1" applyBorder="1" applyAlignment="1">
      <alignment horizontal="center"/>
    </xf>
    <xf numFmtId="0" fontId="0" fillId="2" borderId="1" xfId="0" quotePrefix="1" applyFill="1" applyBorder="1" applyAlignment="1">
      <alignment horizontal="left"/>
    </xf>
    <xf numFmtId="0" fontId="0" fillId="2" borderId="5" xfId="0" applyFill="1" applyBorder="1"/>
    <xf numFmtId="0" fontId="0" fillId="2" borderId="2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1" xfId="0" applyFill="1" applyBorder="1"/>
    <xf numFmtId="0" fontId="4" fillId="2" borderId="5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7" xfId="0" quotePrefix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0" borderId="8" xfId="0" quotePrefix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5" xfId="0" applyNumberForma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0" fillId="0" borderId="0" xfId="0" applyFont="1" applyBorder="1"/>
    <xf numFmtId="0" fontId="18" fillId="2" borderId="2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8" fillId="2" borderId="0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4" fillId="2" borderId="5" xfId="0" applyFont="1" applyFill="1" applyBorder="1" applyAlignment="1"/>
    <xf numFmtId="0" fontId="4" fillId="2" borderId="1" xfId="0" quotePrefix="1" applyFont="1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2" fontId="3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0" fillId="0" borderId="0" xfId="0" applyFont="1"/>
    <xf numFmtId="2" fontId="0" fillId="3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2" fontId="4" fillId="0" borderId="7" xfId="0" quotePrefix="1" applyNumberFormat="1" applyFont="1" applyFill="1" applyBorder="1" applyAlignment="1">
      <alignment horizontal="left"/>
    </xf>
    <xf numFmtId="2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2" fontId="4" fillId="0" borderId="4" xfId="0" quotePrefix="1" applyNumberFormat="1" applyFont="1" applyFill="1" applyBorder="1" applyAlignment="1">
      <alignment horizontal="left"/>
    </xf>
    <xf numFmtId="0" fontId="7" fillId="2" borderId="5" xfId="0" quotePrefix="1" applyFont="1" applyFill="1" applyBorder="1" applyAlignment="1">
      <alignment horizontal="center"/>
    </xf>
    <xf numFmtId="0" fontId="10" fillId="0" borderId="7" xfId="0" applyFont="1" applyFill="1" applyBorder="1"/>
    <xf numFmtId="0" fontId="3" fillId="0" borderId="7" xfId="0" applyFont="1" applyFill="1" applyBorder="1"/>
    <xf numFmtId="0" fontId="20" fillId="2" borderId="5" xfId="0" quotePrefix="1" applyFont="1" applyFill="1" applyBorder="1" applyAlignment="1">
      <alignment horizontal="center"/>
    </xf>
    <xf numFmtId="0" fontId="18" fillId="2" borderId="7" xfId="0" quotePrefix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2" fontId="18" fillId="0" borderId="7" xfId="0" quotePrefix="1" applyNumberFormat="1" applyFont="1" applyFill="1" applyBorder="1" applyAlignment="1">
      <alignment horizontal="left"/>
    </xf>
    <xf numFmtId="2" fontId="17" fillId="0" borderId="0" xfId="1" applyNumberFormat="1" applyFont="1" applyFill="1" applyBorder="1" applyAlignment="1">
      <alignment horizontal="center"/>
    </xf>
    <xf numFmtId="2" fontId="18" fillId="0" borderId="7" xfId="0" applyNumberFormat="1" applyFont="1" applyFill="1" applyBorder="1" applyAlignment="1">
      <alignment horizontal="left"/>
    </xf>
    <xf numFmtId="2" fontId="10" fillId="0" borderId="8" xfId="0" applyNumberFormat="1" applyFont="1" applyFill="1" applyBorder="1" applyAlignment="1">
      <alignment horizontal="center"/>
    </xf>
    <xf numFmtId="2" fontId="18" fillId="0" borderId="4" xfId="0" quotePrefix="1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quotePrefix="1" applyNumberFormat="1" applyFont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0" fontId="21" fillId="2" borderId="5" xfId="0" applyFont="1" applyFill="1" applyBorder="1"/>
    <xf numFmtId="0" fontId="0" fillId="0" borderId="6" xfId="0" quotePrefix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left"/>
    </xf>
    <xf numFmtId="0" fontId="4" fillId="0" borderId="8" xfId="0" quotePrefix="1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0" xfId="0" quotePrefix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2" borderId="6" xfId="0" quotePrefix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left"/>
    </xf>
    <xf numFmtId="0" fontId="12" fillId="2" borderId="7" xfId="0" quotePrefix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left"/>
    </xf>
    <xf numFmtId="164" fontId="0" fillId="0" borderId="8" xfId="0" applyNumberForma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2" fontId="4" fillId="0" borderId="8" xfId="0" quotePrefix="1" applyNumberFormat="1" applyFont="1" applyFill="1" applyBorder="1" applyAlignment="1">
      <alignment horizontal="left"/>
    </xf>
    <xf numFmtId="0" fontId="3" fillId="0" borderId="8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2" fillId="6" borderId="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2" fontId="0" fillId="0" borderId="0" xfId="0" applyNumberFormat="1"/>
    <xf numFmtId="0" fontId="22" fillId="0" borderId="9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left"/>
    </xf>
    <xf numFmtId="0" fontId="3" fillId="2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24" fillId="8" borderId="6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3" fillId="8" borderId="6" xfId="0" quotePrefix="1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3" xfId="0" quotePrefix="1" applyFont="1" applyFill="1" applyBorder="1" applyAlignment="1">
      <alignment horizontal="left"/>
    </xf>
    <xf numFmtId="2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8" borderId="0" xfId="0" applyFill="1" applyBorder="1"/>
    <xf numFmtId="0" fontId="4" fillId="8" borderId="0" xfId="0" quotePrefix="1" applyFont="1" applyFill="1" applyBorder="1" applyAlignment="1">
      <alignment horizontal="center"/>
    </xf>
    <xf numFmtId="0" fontId="24" fillId="8" borderId="0" xfId="0" quotePrefix="1" applyFont="1" applyFill="1" applyBorder="1" applyAlignment="1">
      <alignment horizontal="center"/>
    </xf>
    <xf numFmtId="0" fontId="0" fillId="2" borderId="0" xfId="0" quotePrefix="1" applyFill="1" applyBorder="1" applyAlignment="1">
      <alignment horizontal="left"/>
    </xf>
    <xf numFmtId="2" fontId="0" fillId="0" borderId="0" xfId="1" applyNumberFormat="1" applyFont="1" applyFill="1" applyBorder="1" applyAlignment="1">
      <alignment horizontal="center"/>
    </xf>
    <xf numFmtId="0" fontId="0" fillId="8" borderId="0" xfId="0" quotePrefix="1" applyFill="1" applyBorder="1" applyAlignment="1">
      <alignment horizontal="left"/>
    </xf>
    <xf numFmtId="2" fontId="0" fillId="8" borderId="0" xfId="0" applyNumberFormat="1" applyFill="1" applyBorder="1" applyAlignment="1">
      <alignment horizontal="center"/>
    </xf>
    <xf numFmtId="0" fontId="4" fillId="0" borderId="0" xfId="0" quotePrefix="1" applyFont="1" applyBorder="1" applyAlignment="1">
      <alignment horizontal="right"/>
    </xf>
    <xf numFmtId="2" fontId="3" fillId="3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" fillId="8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3" fillId="8" borderId="0" xfId="0" quotePrefix="1" applyFont="1" applyFill="1" applyBorder="1" applyAlignment="1">
      <alignment horizontal="left"/>
    </xf>
    <xf numFmtId="0" fontId="0" fillId="8" borderId="7" xfId="0" applyFill="1" applyBorder="1"/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0" fillId="8" borderId="6" xfId="0" quotePrefix="1" applyFill="1" applyBorder="1" applyAlignment="1">
      <alignment horizontal="left"/>
    </xf>
    <xf numFmtId="0" fontId="0" fillId="8" borderId="6" xfId="0" applyFill="1" applyBorder="1"/>
    <xf numFmtId="0" fontId="3" fillId="8" borderId="8" xfId="0" quotePrefix="1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left"/>
    </xf>
    <xf numFmtId="0" fontId="4" fillId="8" borderId="0" xfId="0" applyFont="1" applyFill="1" applyBorder="1"/>
    <xf numFmtId="0" fontId="2" fillId="0" borderId="6" xfId="0" applyFont="1" applyBorder="1"/>
    <xf numFmtId="2" fontId="0" fillId="9" borderId="6" xfId="0" applyNumberFormat="1" applyFill="1" applyBorder="1"/>
    <xf numFmtId="0" fontId="27" fillId="2" borderId="5" xfId="0" applyFont="1" applyFill="1" applyBorder="1"/>
    <xf numFmtId="0" fontId="0" fillId="2" borderId="6" xfId="0" quotePrefix="1" applyFill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164" fontId="0" fillId="8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8" borderId="6" xfId="0" applyFont="1" applyFill="1" applyBorder="1"/>
    <xf numFmtId="0" fontId="7" fillId="8" borderId="6" xfId="0" quotePrefix="1" applyFont="1" applyFill="1" applyBorder="1" applyAlignment="1">
      <alignment horizontal="left"/>
    </xf>
    <xf numFmtId="0" fontId="28" fillId="8" borderId="0" xfId="0" quotePrefix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29" fillId="0" borderId="0" xfId="1" applyNumberFormat="1" applyFont="1" applyFill="1" applyBorder="1" applyAlignment="1">
      <alignment horizontal="center"/>
    </xf>
    <xf numFmtId="2" fontId="25" fillId="10" borderId="0" xfId="0" applyNumberFormat="1" applyFont="1" applyFill="1" applyBorder="1" applyAlignment="1">
      <alignment horizontal="center"/>
    </xf>
    <xf numFmtId="0" fontId="2" fillId="10" borderId="0" xfId="0" applyFont="1" applyFill="1" applyBorder="1"/>
    <xf numFmtId="0" fontId="3" fillId="9" borderId="7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4" fillId="0" borderId="0" xfId="0" applyFont="1" applyBorder="1"/>
    <xf numFmtId="0" fontId="7" fillId="0" borderId="0" xfId="0" quotePrefix="1" applyFont="1" applyBorder="1" applyAlignment="1">
      <alignment horizontal="left"/>
    </xf>
    <xf numFmtId="0" fontId="0" fillId="9" borderId="7" xfId="0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2" fontId="4" fillId="3" borderId="7" xfId="0" quotePrefix="1" applyNumberFormat="1" applyFont="1" applyFill="1" applyBorder="1" applyAlignment="1">
      <alignment horizontal="left"/>
    </xf>
    <xf numFmtId="0" fontId="27" fillId="0" borderId="0" xfId="0" applyFont="1" applyFill="1" applyBorder="1"/>
    <xf numFmtId="0" fontId="7" fillId="2" borderId="0" xfId="0" quotePrefix="1" applyFont="1" applyFill="1" applyBorder="1" applyAlignment="1">
      <alignment horizontal="center"/>
    </xf>
    <xf numFmtId="0" fontId="20" fillId="2" borderId="0" xfId="0" quotePrefix="1" applyFont="1" applyFill="1" applyBorder="1" applyAlignment="1">
      <alignment horizontal="center"/>
    </xf>
    <xf numFmtId="2" fontId="28" fillId="0" borderId="0" xfId="0" quotePrefix="1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2" fontId="18" fillId="0" borderId="0" xfId="0" quotePrefix="1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7" fillId="8" borderId="0" xfId="0" applyFont="1" applyFill="1" applyBorder="1"/>
    <xf numFmtId="0" fontId="0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26" fillId="8" borderId="0" xfId="0" quotePrefix="1" applyFont="1" applyFill="1" applyBorder="1" applyAlignment="1">
      <alignment horizontal="center"/>
    </xf>
    <xf numFmtId="0" fontId="33" fillId="8" borderId="6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7" fillId="0" borderId="0" xfId="0" applyFont="1" applyBorder="1"/>
    <xf numFmtId="0" fontId="18" fillId="2" borderId="5" xfId="0" quotePrefix="1" applyFont="1" applyFill="1" applyBorder="1" applyAlignment="1">
      <alignment horizontal="center"/>
    </xf>
    <xf numFmtId="0" fontId="0" fillId="8" borderId="6" xfId="0" quotePrefix="1" applyFont="1" applyFill="1" applyBorder="1" applyAlignment="1">
      <alignment horizontal="left"/>
    </xf>
    <xf numFmtId="0" fontId="0" fillId="8" borderId="0" xfId="0" quotePrefix="1" applyFont="1" applyFill="1" applyBorder="1" applyAlignment="1">
      <alignment horizontal="left"/>
    </xf>
    <xf numFmtId="0" fontId="4" fillId="8" borderId="6" xfId="0" quotePrefix="1" applyFont="1" applyFill="1" applyBorder="1" applyAlignment="1">
      <alignment horizontal="center"/>
    </xf>
    <xf numFmtId="0" fontId="32" fillId="8" borderId="0" xfId="0" quotePrefix="1" applyFont="1" applyFill="1" applyBorder="1" applyAlignment="1">
      <alignment horizontal="center"/>
    </xf>
    <xf numFmtId="9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3" fillId="0" borderId="6" xfId="0" quotePrefix="1" applyFont="1" applyBorder="1" applyAlignment="1">
      <alignment horizontal="right"/>
    </xf>
    <xf numFmtId="0" fontId="35" fillId="2" borderId="5" xfId="0" quotePrefix="1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8" xfId="0" applyFill="1" applyBorder="1"/>
    <xf numFmtId="0" fontId="0" fillId="0" borderId="4" xfId="0" applyFill="1" applyBorder="1"/>
    <xf numFmtId="2" fontId="25" fillId="10" borderId="8" xfId="0" applyNumberFormat="1" applyFont="1" applyFill="1" applyBorder="1" applyAlignment="1">
      <alignment horizontal="center"/>
    </xf>
    <xf numFmtId="164" fontId="16" fillId="0" borderId="8" xfId="0" applyNumberFormat="1" applyFont="1" applyFill="1" applyBorder="1" applyAlignment="1">
      <alignment horizontal="center"/>
    </xf>
    <xf numFmtId="0" fontId="4" fillId="0" borderId="8" xfId="0" quotePrefix="1" applyFont="1" applyBorder="1" applyAlignment="1">
      <alignment horizontal="right"/>
    </xf>
    <xf numFmtId="0" fontId="32" fillId="8" borderId="7" xfId="0" quotePrefix="1" applyFont="1" applyFill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right"/>
    </xf>
    <xf numFmtId="0" fontId="7" fillId="0" borderId="8" xfId="0" quotePrefix="1" applyFont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aer_rebBldShim_2955!$D$4</c:f>
              <c:strCache>
                <c:ptCount val="1"/>
                <c:pt idx="0">
                  <c:v> 2 - 26.10</c:v>
                </c:pt>
              </c:strCache>
            </c:strRef>
          </c:tx>
          <c:spPr>
            <a:ln w="15875"/>
          </c:spPr>
          <c:marker>
            <c:symbol val="diamond"/>
            <c:size val="2"/>
          </c:marker>
          <c:xVal>
            <c:numRef>
              <c:f>aer_rebBldShim_2955!$C$6:$C$12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aer_rebBldShim_2955!$D$6:$D$12</c:f>
              <c:numCache>
                <c:formatCode>General</c:formatCode>
                <c:ptCount val="7"/>
                <c:pt idx="0">
                  <c:v>3.3</c:v>
                </c:pt>
                <c:pt idx="1">
                  <c:v>5.9</c:v>
                </c:pt>
                <c:pt idx="2">
                  <c:v>8.1</c:v>
                </c:pt>
                <c:pt idx="3">
                  <c:v>9.9</c:v>
                </c:pt>
                <c:pt idx="4">
                  <c:v>12</c:v>
                </c:pt>
                <c:pt idx="5">
                  <c:v>20.8</c:v>
                </c:pt>
                <c:pt idx="6">
                  <c:v>37.1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aer_rebBldShim_2955!$E$4</c:f>
              <c:strCache>
                <c:ptCount val="1"/>
                <c:pt idx="0">
                  <c:v> 1 - 26.10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aer_rebBldShim_2955!$C$6:$C$12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aer_rebBldShim_2955!$E$6:$E$12</c:f>
              <c:numCache>
                <c:formatCode>General</c:formatCode>
                <c:ptCount val="7"/>
                <c:pt idx="0">
                  <c:v>2.4</c:v>
                </c:pt>
                <c:pt idx="1">
                  <c:v>4</c:v>
                </c:pt>
                <c:pt idx="2">
                  <c:v>5.9</c:v>
                </c:pt>
                <c:pt idx="3">
                  <c:v>7.8</c:v>
                </c:pt>
                <c:pt idx="4">
                  <c:v>9.6999999999999993</c:v>
                </c:pt>
                <c:pt idx="5">
                  <c:v>19.3</c:v>
                </c:pt>
                <c:pt idx="6">
                  <c:v>36.700000000000003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aer_rebBldShim_2955!$F$4</c:f>
              <c:strCache>
                <c:ptCount val="1"/>
                <c:pt idx="0">
                  <c:v> 0 - 26.10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xVal>
            <c:numRef>
              <c:f>aer_rebBldShim_2955!$C$6:$C$12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aer_rebBldShim_2955!$F$6:$F$12</c:f>
              <c:numCache>
                <c:formatCode>General</c:formatCode>
                <c:ptCount val="7"/>
                <c:pt idx="0">
                  <c:v>1.8</c:v>
                </c:pt>
                <c:pt idx="1">
                  <c:v>2.9</c:v>
                </c:pt>
                <c:pt idx="2">
                  <c:v>4.5</c:v>
                </c:pt>
                <c:pt idx="3">
                  <c:v>6.2</c:v>
                </c:pt>
                <c:pt idx="4">
                  <c:v>8.3000000000000007</c:v>
                </c:pt>
                <c:pt idx="5">
                  <c:v>19</c:v>
                </c:pt>
                <c:pt idx="6">
                  <c:v>37.6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87616"/>
        <c:axId val="104313984"/>
      </c:scatterChart>
      <c:valAx>
        <c:axId val="10428761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13984"/>
        <c:crosses val="autoZero"/>
        <c:crossBetween val="midCat"/>
      </c:valAx>
      <c:valAx>
        <c:axId val="10431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87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42334</xdr:colOff>
      <xdr:row>30</xdr:row>
      <xdr:rowOff>42333</xdr:rowOff>
    </xdr:from>
    <xdr:to>
      <xdr:col>5</xdr:col>
      <xdr:colOff>550334</xdr:colOff>
      <xdr:row>39</xdr:row>
      <xdr:rowOff>158750</xdr:rowOff>
    </xdr:to>
    <xdr:cxnSp macro="">
      <xdr:nvCxnSpPr>
        <xdr:cNvPr id="2" name="Straight Arrow Connector 1"/>
        <xdr:cNvCxnSpPr/>
      </xdr:nvCxnSpPr>
      <xdr:spPr>
        <a:xfrm flipH="1">
          <a:off x="2585509" y="5757333"/>
          <a:ext cx="1089025" cy="1830917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42334</xdr:colOff>
      <xdr:row>30</xdr:row>
      <xdr:rowOff>0</xdr:rowOff>
    </xdr:from>
    <xdr:to>
      <xdr:col>9</xdr:col>
      <xdr:colOff>560917</xdr:colOff>
      <xdr:row>34</xdr:row>
      <xdr:rowOff>169333</xdr:rowOff>
    </xdr:to>
    <xdr:cxnSp macro="">
      <xdr:nvCxnSpPr>
        <xdr:cNvPr id="3" name="Straight Arrow Connector 2"/>
        <xdr:cNvCxnSpPr/>
      </xdr:nvCxnSpPr>
      <xdr:spPr>
        <a:xfrm>
          <a:off x="4328584" y="5715000"/>
          <a:ext cx="1585383" cy="931333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17</xdr:col>
      <xdr:colOff>148167</xdr:colOff>
      <xdr:row>18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2:AD64"/>
  <sheetViews>
    <sheetView showGridLines="0" zoomScale="90" zoomScaleNormal="90" workbookViewId="0">
      <selection activeCell="J21" sqref="J21"/>
    </sheetView>
  </sheetViews>
  <sheetFormatPr defaultRowHeight="15" x14ac:dyDescent="0.25"/>
  <cols>
    <col min="1" max="1" width="8.7109375" style="1" customWidth="1"/>
    <col min="2" max="2" width="13.28515625" style="1" customWidth="1"/>
    <col min="3" max="3" width="8.85546875" style="1" customWidth="1"/>
    <col min="4" max="4" width="9" style="1" customWidth="1"/>
    <col min="5" max="7" width="8.7109375" style="1" customWidth="1"/>
    <col min="8" max="8" width="11" style="1" customWidth="1"/>
    <col min="9" max="9" width="8.140625" style="1" customWidth="1"/>
    <col min="10" max="10" width="9.28515625" style="1" customWidth="1"/>
    <col min="11" max="12" width="8.7109375" style="1" customWidth="1"/>
    <col min="13" max="13" width="8.85546875" style="1" customWidth="1"/>
    <col min="14" max="14" width="10.7109375" style="1" customWidth="1"/>
    <col min="15" max="16" width="8.7109375" style="1" customWidth="1"/>
    <col min="17" max="17" width="10" style="1" customWidth="1"/>
    <col min="18" max="18" width="9.5703125" style="1" customWidth="1"/>
    <col min="19" max="19" width="10.140625" style="1" customWidth="1"/>
    <col min="20" max="20" width="10.7109375" style="1" customWidth="1"/>
    <col min="21" max="27" width="8.7109375" style="1" customWidth="1"/>
    <col min="28" max="16384" width="9.140625" style="1"/>
  </cols>
  <sheetData>
    <row r="2" spans="2:30" x14ac:dyDescent="0.25">
      <c r="B2" s="54" t="s">
        <v>29</v>
      </c>
      <c r="C2" s="1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93" t="s">
        <v>83</v>
      </c>
      <c r="R2" s="50"/>
      <c r="S2" s="51"/>
      <c r="V2" s="3"/>
    </row>
    <row r="3" spans="2:30" x14ac:dyDescent="0.25">
      <c r="B3" s="120" t="s">
        <v>130</v>
      </c>
      <c r="C3" s="18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4"/>
      <c r="R3" s="6"/>
      <c r="S3" s="35"/>
      <c r="V3" s="3"/>
    </row>
    <row r="4" spans="2:30" x14ac:dyDescent="0.25">
      <c r="B4" s="120" t="s">
        <v>129</v>
      </c>
      <c r="C4" s="18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14"/>
      <c r="R4" s="6"/>
      <c r="S4" s="35"/>
      <c r="V4" s="3"/>
    </row>
    <row r="5" spans="2:30" x14ac:dyDescent="0.25">
      <c r="B5" s="17" t="s">
        <v>131</v>
      </c>
      <c r="C5" s="5"/>
      <c r="D5" s="3"/>
      <c r="E5" s="3"/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5"/>
      <c r="V5" s="3"/>
    </row>
    <row r="6" spans="2:30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8"/>
      <c r="V6" s="3"/>
    </row>
    <row r="7" spans="2:30" x14ac:dyDescent="0.25">
      <c r="B7" s="194" t="s">
        <v>138</v>
      </c>
      <c r="C7" s="25"/>
      <c r="D7" s="25"/>
      <c r="E7" s="25"/>
      <c r="F7" s="25"/>
      <c r="G7" s="25"/>
      <c r="H7" s="25"/>
      <c r="I7" s="26"/>
      <c r="J7" s="194" t="s">
        <v>139</v>
      </c>
      <c r="K7" s="25"/>
      <c r="L7" s="26"/>
      <c r="M7" s="194" t="s">
        <v>135</v>
      </c>
      <c r="N7" s="25"/>
      <c r="O7" s="25"/>
      <c r="P7" s="26"/>
      <c r="Q7" s="49" t="s">
        <v>140</v>
      </c>
      <c r="R7" s="50"/>
      <c r="S7" s="51"/>
    </row>
    <row r="8" spans="2:30" x14ac:dyDescent="0.25">
      <c r="B8" s="194" t="s">
        <v>132</v>
      </c>
      <c r="C8" s="25"/>
      <c r="D8" s="25"/>
      <c r="E8" s="25"/>
      <c r="F8" s="25"/>
      <c r="G8" s="25"/>
      <c r="H8" s="25"/>
      <c r="I8" s="26"/>
      <c r="J8" s="194"/>
      <c r="K8" s="25"/>
      <c r="L8" s="26"/>
      <c r="M8" s="194"/>
      <c r="N8" s="25"/>
      <c r="O8" s="25"/>
      <c r="P8" s="26"/>
      <c r="Q8" s="23"/>
      <c r="R8" s="25"/>
      <c r="S8" s="57" t="s">
        <v>0</v>
      </c>
    </row>
    <row r="9" spans="2:30" x14ac:dyDescent="0.25">
      <c r="B9" s="159" t="s">
        <v>44</v>
      </c>
      <c r="C9" s="160" t="s">
        <v>45</v>
      </c>
      <c r="D9" s="160" t="s">
        <v>46</v>
      </c>
      <c r="E9" s="160"/>
      <c r="F9" s="160" t="s">
        <v>47</v>
      </c>
      <c r="G9" s="160" t="s">
        <v>48</v>
      </c>
      <c r="H9" s="160" t="s">
        <v>53</v>
      </c>
      <c r="I9" s="11"/>
      <c r="J9" s="17" t="s">
        <v>97</v>
      </c>
      <c r="K9" s="3"/>
      <c r="L9" s="11"/>
      <c r="M9" s="186" t="s">
        <v>113</v>
      </c>
      <c r="N9" s="166"/>
      <c r="O9" s="166"/>
      <c r="P9" s="182"/>
      <c r="Q9" s="10" t="s">
        <v>18</v>
      </c>
      <c r="R9" s="33" t="s">
        <v>27</v>
      </c>
      <c r="S9" s="29">
        <f>8*0.2</f>
        <v>1.6</v>
      </c>
      <c r="AD9" s="3"/>
    </row>
    <row r="10" spans="2:30" x14ac:dyDescent="0.25">
      <c r="B10" s="161" t="s">
        <v>99</v>
      </c>
      <c r="C10" s="14">
        <v>24</v>
      </c>
      <c r="D10" s="14">
        <v>12.5</v>
      </c>
      <c r="E10" s="4"/>
      <c r="F10" s="154">
        <f t="shared" ref="F10:G10" si="0">(C10/2)^2*3.1416</f>
        <v>452.3904</v>
      </c>
      <c r="G10" s="87">
        <f t="shared" si="0"/>
        <v>122.71875</v>
      </c>
      <c r="H10" s="94">
        <f>F10-G10</f>
        <v>329.67165</v>
      </c>
      <c r="I10" s="11"/>
      <c r="J10" s="191">
        <v>1.2</v>
      </c>
      <c r="K10" s="3" t="s">
        <v>95</v>
      </c>
      <c r="L10" s="11"/>
      <c r="M10" s="187" t="s">
        <v>114</v>
      </c>
      <c r="N10" s="204">
        <v>1.41</v>
      </c>
      <c r="O10" s="208" t="s">
        <v>123</v>
      </c>
      <c r="P10" s="11"/>
      <c r="Q10" s="10"/>
      <c r="R10" s="33" t="s">
        <v>26</v>
      </c>
      <c r="S10" s="205">
        <f>S9*3</f>
        <v>4.8000000000000007</v>
      </c>
      <c r="T10" s="3"/>
      <c r="U10" s="3"/>
      <c r="V10" s="3"/>
      <c r="AD10" s="3"/>
    </row>
    <row r="11" spans="2:30" x14ac:dyDescent="0.25">
      <c r="B11" s="162" t="s">
        <v>100</v>
      </c>
      <c r="C11" s="39">
        <v>34</v>
      </c>
      <c r="D11" s="39">
        <v>12</v>
      </c>
      <c r="E11" s="41"/>
      <c r="F11" s="154">
        <f>(C11/2)^2*3.1416</f>
        <v>907.92240000000004</v>
      </c>
      <c r="G11" s="87">
        <f>(D11/2)^2*3.1416</f>
        <v>113.0976</v>
      </c>
      <c r="H11" s="94">
        <f>F11-G11</f>
        <v>794.8248000000001</v>
      </c>
      <c r="I11" s="11"/>
      <c r="J11" s="192">
        <f>(J10/2)^2*3.1416</f>
        <v>1.130976</v>
      </c>
      <c r="K11" s="3" t="s">
        <v>96</v>
      </c>
      <c r="L11" s="11"/>
      <c r="M11" s="186" t="s">
        <v>115</v>
      </c>
      <c r="N11" s="204">
        <v>0.71</v>
      </c>
      <c r="O11" s="208" t="s">
        <v>124</v>
      </c>
      <c r="P11" s="11"/>
      <c r="Q11" s="10"/>
      <c r="R11" s="3"/>
      <c r="S11" s="11"/>
      <c r="T11" s="3"/>
      <c r="U11" s="3"/>
      <c r="V11" s="3"/>
      <c r="AD11" s="3"/>
    </row>
    <row r="12" spans="2:30" x14ac:dyDescent="0.25">
      <c r="B12" s="161" t="s">
        <v>133</v>
      </c>
      <c r="C12" s="203">
        <f>$G$11/$G$10</f>
        <v>0.92159999999999997</v>
      </c>
      <c r="D12" s="5" t="s">
        <v>94</v>
      </c>
      <c r="E12" s="3"/>
      <c r="F12" s="3"/>
      <c r="G12" s="87"/>
      <c r="H12" s="94"/>
      <c r="I12" s="11"/>
      <c r="J12" s="10"/>
      <c r="K12" s="3"/>
      <c r="L12" s="11"/>
      <c r="M12" s="10"/>
      <c r="N12" s="3"/>
      <c r="O12" s="3"/>
      <c r="P12" s="11"/>
      <c r="Q12" s="17" t="s">
        <v>20</v>
      </c>
      <c r="R12" s="33" t="s">
        <v>28</v>
      </c>
      <c r="S12" s="29">
        <f>8*0.1</f>
        <v>0.8</v>
      </c>
      <c r="T12" s="3"/>
      <c r="U12" s="3"/>
      <c r="V12" s="3"/>
      <c r="AD12" s="3"/>
    </row>
    <row r="13" spans="2:30" x14ac:dyDescent="0.25">
      <c r="B13" s="161" t="s">
        <v>134</v>
      </c>
      <c r="C13" s="203">
        <f>$G$10/$G$11</f>
        <v>1.0850694444444444</v>
      </c>
      <c r="D13" s="5" t="s">
        <v>125</v>
      </c>
      <c r="E13" s="3"/>
      <c r="F13" s="3"/>
      <c r="G13" s="87"/>
      <c r="H13" s="94"/>
      <c r="I13" s="11"/>
      <c r="J13" s="10"/>
      <c r="K13" s="3"/>
      <c r="L13" s="11"/>
      <c r="M13" s="10"/>
      <c r="N13" s="3"/>
      <c r="O13" s="3"/>
      <c r="P13" s="11"/>
      <c r="Q13" s="17"/>
      <c r="R13" s="33" t="s">
        <v>26</v>
      </c>
      <c r="S13" s="209">
        <f>S12*3</f>
        <v>2.4000000000000004</v>
      </c>
      <c r="T13" s="3"/>
      <c r="U13" s="3"/>
      <c r="V13" s="3"/>
      <c r="AD13" s="3"/>
    </row>
    <row r="14" spans="2:30" x14ac:dyDescent="0.25">
      <c r="B14" s="12"/>
      <c r="C14" s="13"/>
      <c r="D14" s="13"/>
      <c r="E14" s="13"/>
      <c r="F14" s="13"/>
      <c r="G14" s="13"/>
      <c r="H14" s="13"/>
      <c r="I14" s="8"/>
      <c r="J14" s="12"/>
      <c r="K14" s="13"/>
      <c r="L14" s="8"/>
      <c r="M14" s="10"/>
      <c r="N14" s="3"/>
      <c r="O14" s="3"/>
      <c r="P14" s="11"/>
      <c r="Q14" s="10"/>
      <c r="R14" s="3"/>
      <c r="S14" s="11"/>
      <c r="T14" s="3"/>
      <c r="U14" s="3"/>
      <c r="V14" s="3"/>
      <c r="AD14" s="3"/>
    </row>
    <row r="15" spans="2:30" x14ac:dyDescent="0.25">
      <c r="B15" s="49" t="s">
        <v>137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49" t="s">
        <v>141</v>
      </c>
      <c r="N15" s="50"/>
      <c r="O15" s="50"/>
      <c r="P15" s="50"/>
      <c r="Q15" s="50"/>
      <c r="R15" s="50"/>
      <c r="S15" s="51"/>
      <c r="T15" s="3"/>
      <c r="U15" s="173"/>
      <c r="V15" s="3"/>
      <c r="AD15" s="3"/>
    </row>
    <row r="16" spans="2:30" x14ac:dyDescent="0.25">
      <c r="B16" s="194" t="s">
        <v>142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94"/>
      <c r="N16" s="25"/>
      <c r="O16" s="25"/>
      <c r="P16" s="25"/>
      <c r="Q16" s="25"/>
      <c r="R16" s="25"/>
      <c r="S16" s="26"/>
      <c r="T16" s="3"/>
      <c r="U16" s="173"/>
      <c r="V16" s="3"/>
      <c r="AD16" s="3"/>
    </row>
    <row r="17" spans="2:30" x14ac:dyDescent="0.25">
      <c r="B17" s="186" t="s">
        <v>101</v>
      </c>
      <c r="C17" s="166"/>
      <c r="D17" s="168" t="s">
        <v>0</v>
      </c>
      <c r="E17" s="168" t="s">
        <v>98</v>
      </c>
      <c r="F17" s="168" t="s">
        <v>67</v>
      </c>
      <c r="G17" s="168" t="s">
        <v>1</v>
      </c>
      <c r="H17" s="167"/>
      <c r="I17" s="3"/>
      <c r="J17" s="3"/>
      <c r="K17" s="3"/>
      <c r="L17" s="3"/>
      <c r="M17" s="186" t="s">
        <v>117</v>
      </c>
      <c r="N17" s="166"/>
      <c r="O17" s="174">
        <v>2.41</v>
      </c>
      <c r="P17" s="175" t="s">
        <v>120</v>
      </c>
      <c r="Q17" s="129"/>
      <c r="R17" s="6"/>
      <c r="S17" s="35"/>
      <c r="T17" s="3"/>
      <c r="U17" s="3"/>
      <c r="V17" s="3"/>
    </row>
    <row r="18" spans="2:30" x14ac:dyDescent="0.25">
      <c r="B18" s="186" t="s">
        <v>103</v>
      </c>
      <c r="C18" s="3" t="s">
        <v>4</v>
      </c>
      <c r="D18" s="14">
        <v>3.69</v>
      </c>
      <c r="E18" s="92">
        <f>$C$12</f>
        <v>0.92159999999999997</v>
      </c>
      <c r="F18" s="34">
        <f>$N$11</f>
        <v>0.71</v>
      </c>
      <c r="G18" s="170">
        <f>D18*E18*F18</f>
        <v>2.4144998399999995</v>
      </c>
      <c r="H18" s="164" t="s">
        <v>109</v>
      </c>
      <c r="I18" s="3"/>
      <c r="J18" s="3"/>
      <c r="K18" s="3"/>
      <c r="L18" s="3"/>
      <c r="M18" s="195" t="s">
        <v>70</v>
      </c>
      <c r="N18" s="6"/>
      <c r="O18" s="6"/>
      <c r="P18" s="6"/>
      <c r="Q18" s="6"/>
      <c r="R18" s="6"/>
      <c r="S18" s="35"/>
      <c r="T18" s="3"/>
      <c r="U18" s="91"/>
      <c r="V18" s="3"/>
    </row>
    <row r="19" spans="2:30" x14ac:dyDescent="0.25">
      <c r="B19" s="186" t="s">
        <v>104</v>
      </c>
      <c r="C19" s="3" t="s">
        <v>11</v>
      </c>
      <c r="D19" s="18">
        <v>1.1299999999999999</v>
      </c>
      <c r="E19" s="92">
        <f>$C$12</f>
        <v>0.92159999999999997</v>
      </c>
      <c r="F19" s="34">
        <f>$N$11</f>
        <v>0.71</v>
      </c>
      <c r="G19" s="97">
        <f>D19*E19*F19</f>
        <v>0.73939967999999989</v>
      </c>
      <c r="H19" s="164" t="s">
        <v>110</v>
      </c>
      <c r="I19" s="3"/>
      <c r="J19" s="3"/>
      <c r="K19" s="3"/>
      <c r="L19" s="3"/>
      <c r="M19" s="161" t="s">
        <v>116</v>
      </c>
      <c r="N19" s="183"/>
      <c r="O19" s="183"/>
      <c r="P19" s="183"/>
      <c r="Q19" s="184"/>
      <c r="R19" s="184"/>
      <c r="S19" s="196"/>
      <c r="T19" s="91"/>
      <c r="U19" s="91"/>
      <c r="V19" s="3"/>
      <c r="AD19" s="91"/>
    </row>
    <row r="20" spans="2:30" x14ac:dyDescent="0.25">
      <c r="B20" s="187"/>
      <c r="C20" s="3"/>
      <c r="D20" s="38">
        <f>SUM(D18:D19)</f>
        <v>4.82</v>
      </c>
      <c r="E20" s="38"/>
      <c r="F20" s="34"/>
      <c r="G20" s="176">
        <f>SUM(G18:G19)</f>
        <v>3.1538995199999995</v>
      </c>
      <c r="H20" s="164" t="s">
        <v>111</v>
      </c>
      <c r="I20" s="3"/>
      <c r="J20" s="3"/>
      <c r="K20" s="3"/>
      <c r="L20" s="3"/>
      <c r="M20" s="161" t="s">
        <v>118</v>
      </c>
      <c r="N20" s="166"/>
      <c r="O20" s="179">
        <f>G11*C13</f>
        <v>122.71875</v>
      </c>
      <c r="P20" s="210" t="s">
        <v>126</v>
      </c>
      <c r="Q20" s="3"/>
      <c r="R20" s="3"/>
      <c r="S20" s="11"/>
      <c r="T20" s="3"/>
      <c r="U20" s="91"/>
      <c r="V20" s="3"/>
      <c r="AD20" s="91"/>
    </row>
    <row r="21" spans="2:30" x14ac:dyDescent="0.25">
      <c r="B21" s="10"/>
      <c r="C21" s="3"/>
      <c r="D21" s="6"/>
      <c r="E21" s="6"/>
      <c r="F21" s="3"/>
      <c r="G21" s="3"/>
      <c r="H21" s="165"/>
      <c r="I21" s="3"/>
      <c r="J21" s="3"/>
      <c r="K21" s="3"/>
      <c r="L21" s="3"/>
      <c r="M21" s="10"/>
      <c r="N21" s="3"/>
      <c r="O21" s="3"/>
      <c r="P21" s="3"/>
      <c r="Q21" s="3"/>
      <c r="R21" s="3"/>
      <c r="S21" s="11"/>
      <c r="T21" s="91"/>
      <c r="U21" s="91"/>
      <c r="V21" s="3"/>
      <c r="AD21" s="91"/>
    </row>
    <row r="22" spans="2:30" x14ac:dyDescent="0.25">
      <c r="B22" s="187" t="s">
        <v>102</v>
      </c>
      <c r="C22" s="166"/>
      <c r="D22" s="168" t="s">
        <v>0</v>
      </c>
      <c r="E22" s="168" t="s">
        <v>98</v>
      </c>
      <c r="F22" s="168" t="s">
        <v>67</v>
      </c>
      <c r="G22" s="168" t="s">
        <v>1</v>
      </c>
      <c r="H22" s="167"/>
      <c r="I22" s="3"/>
      <c r="J22" s="3"/>
      <c r="K22" s="3"/>
      <c r="L22" s="3"/>
      <c r="M22" s="161" t="s">
        <v>106</v>
      </c>
      <c r="N22" s="183"/>
      <c r="O22" s="183"/>
      <c r="P22" s="183"/>
      <c r="Q22" s="184"/>
      <c r="R22" s="184"/>
      <c r="S22" s="196"/>
      <c r="T22" s="91"/>
      <c r="U22" s="91"/>
      <c r="V22" s="3"/>
      <c r="AD22" s="91"/>
    </row>
    <row r="23" spans="2:30" x14ac:dyDescent="0.25">
      <c r="B23" s="186" t="s">
        <v>103</v>
      </c>
      <c r="C23" s="3" t="s">
        <v>4</v>
      </c>
      <c r="D23" s="14">
        <v>4.1689999999999996</v>
      </c>
      <c r="E23" s="92">
        <f>$C$12</f>
        <v>0.92159999999999997</v>
      </c>
      <c r="F23" s="34">
        <f>$N$11</f>
        <v>0.71</v>
      </c>
      <c r="G23" s="170">
        <f>D23*E23*F23</f>
        <v>2.7279267839999997</v>
      </c>
      <c r="H23" s="164" t="s">
        <v>109</v>
      </c>
      <c r="I23" s="3"/>
      <c r="J23" s="3"/>
      <c r="K23" s="3"/>
      <c r="L23" s="3"/>
      <c r="M23" s="161" t="s">
        <v>119</v>
      </c>
      <c r="N23" s="166"/>
      <c r="O23" s="177">
        <f>O17*C13</f>
        <v>2.6150173611111112</v>
      </c>
      <c r="P23" s="180" t="s">
        <v>127</v>
      </c>
      <c r="Q23" s="3"/>
      <c r="R23" s="41"/>
      <c r="S23" s="197"/>
      <c r="T23" s="91"/>
      <c r="U23" s="91"/>
      <c r="V23" s="3"/>
      <c r="AD23" s="91"/>
    </row>
    <row r="24" spans="2:30" x14ac:dyDescent="0.25">
      <c r="B24" s="186" t="s">
        <v>105</v>
      </c>
      <c r="C24" s="3" t="s">
        <v>11</v>
      </c>
      <c r="D24" s="18">
        <v>1.1299999999999999</v>
      </c>
      <c r="E24" s="92">
        <f>$C$12</f>
        <v>0.92159999999999997</v>
      </c>
      <c r="F24" s="34">
        <f>$N$11</f>
        <v>0.71</v>
      </c>
      <c r="G24" s="97">
        <f>D24*E24*F24</f>
        <v>0.73939967999999989</v>
      </c>
      <c r="H24" s="164" t="s">
        <v>110</v>
      </c>
      <c r="I24" s="3"/>
      <c r="J24" s="3"/>
      <c r="K24" s="3"/>
      <c r="L24" s="3"/>
      <c r="M24" s="10"/>
      <c r="N24" s="3"/>
      <c r="O24" s="3"/>
      <c r="P24" s="3"/>
      <c r="Q24" s="3"/>
      <c r="R24" s="3"/>
      <c r="S24" s="11"/>
      <c r="T24" s="3"/>
      <c r="U24" s="91"/>
      <c r="V24" s="3"/>
      <c r="AD24" s="91"/>
    </row>
    <row r="25" spans="2:30" x14ac:dyDescent="0.25">
      <c r="B25" s="187"/>
      <c r="C25" s="3"/>
      <c r="D25" s="221">
        <f>SUM(D23:D24)</f>
        <v>5.2989999999999995</v>
      </c>
      <c r="E25" s="38"/>
      <c r="F25" s="34"/>
      <c r="G25" s="177">
        <f>SUM(G23:G24)</f>
        <v>3.4673264639999997</v>
      </c>
      <c r="H25" s="164" t="s">
        <v>112</v>
      </c>
      <c r="I25" s="3"/>
      <c r="J25" s="3"/>
      <c r="K25" s="3"/>
      <c r="L25" s="3"/>
      <c r="M25" s="161" t="s">
        <v>107</v>
      </c>
      <c r="N25" s="183"/>
      <c r="O25" s="183"/>
      <c r="P25" s="183"/>
      <c r="Q25" s="184"/>
      <c r="R25" s="172"/>
      <c r="S25" s="196"/>
      <c r="T25" s="91"/>
      <c r="V25" s="3"/>
      <c r="AD25" s="3"/>
    </row>
    <row r="26" spans="2:30" x14ac:dyDescent="0.25">
      <c r="B26" s="31"/>
      <c r="C26" s="3"/>
      <c r="D26" s="38"/>
      <c r="E26" s="38"/>
      <c r="F26" s="34"/>
      <c r="G26" s="38"/>
      <c r="H26" s="164"/>
      <c r="I26" s="3"/>
      <c r="J26" s="3"/>
      <c r="K26" s="3"/>
      <c r="L26" s="3"/>
      <c r="M26" s="161" t="s">
        <v>108</v>
      </c>
      <c r="N26" s="166"/>
      <c r="O26" s="177">
        <f>O23*N11</f>
        <v>1.8566623263888888</v>
      </c>
      <c r="P26" s="189" t="s">
        <v>128</v>
      </c>
      <c r="Q26" s="211"/>
      <c r="R26" s="212"/>
      <c r="S26" s="213"/>
      <c r="T26" s="91"/>
      <c r="U26" s="91"/>
      <c r="V26" s="3"/>
      <c r="AD26" s="3"/>
    </row>
    <row r="27" spans="2:30" x14ac:dyDescent="0.25"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10"/>
      <c r="N27" s="91"/>
      <c r="O27" s="180" t="s">
        <v>121</v>
      </c>
      <c r="P27" s="91"/>
      <c r="Q27" s="3"/>
      <c r="R27" s="3"/>
      <c r="S27" s="11"/>
      <c r="T27" s="3"/>
      <c r="U27" s="91"/>
      <c r="V27" s="3"/>
      <c r="AD27" s="3"/>
    </row>
    <row r="28" spans="2:30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2"/>
      <c r="N28" s="13"/>
      <c r="O28" s="13"/>
      <c r="P28" s="13"/>
      <c r="Q28" s="13"/>
      <c r="R28" s="13"/>
      <c r="S28" s="8"/>
      <c r="T28" s="3"/>
      <c r="U28" s="3"/>
      <c r="V28" s="88"/>
      <c r="W28" s="4"/>
      <c r="X28" s="4"/>
      <c r="Y28" s="4"/>
      <c r="Z28" s="87"/>
      <c r="AA28" s="34"/>
      <c r="AB28" s="87"/>
      <c r="AC28" s="3"/>
      <c r="AD28" s="4"/>
    </row>
    <row r="29" spans="2:30" x14ac:dyDescent="0.25">
      <c r="V29" s="88"/>
      <c r="W29" s="4"/>
      <c r="X29" s="4"/>
      <c r="Y29" s="4"/>
      <c r="Z29" s="87"/>
      <c r="AA29" s="34"/>
      <c r="AB29" s="87"/>
      <c r="AC29" s="3"/>
      <c r="AD29" s="4"/>
    </row>
    <row r="30" spans="2:30" x14ac:dyDescent="0.25">
      <c r="B30" s="169" t="s">
        <v>122</v>
      </c>
      <c r="C30" s="25"/>
      <c r="D30" s="215"/>
      <c r="E30" s="216"/>
      <c r="F30" s="216"/>
      <c r="G30" s="216"/>
      <c r="H30" s="83"/>
      <c r="I30" s="3"/>
      <c r="J30" s="3"/>
      <c r="V30" s="88"/>
      <c r="W30" s="4"/>
      <c r="X30" s="4"/>
      <c r="Y30" s="4"/>
      <c r="Z30" s="87"/>
      <c r="AA30" s="34"/>
      <c r="AB30" s="87"/>
      <c r="AC30" s="3"/>
      <c r="AD30" s="4"/>
    </row>
    <row r="31" spans="2:30" x14ac:dyDescent="0.25">
      <c r="B31" s="166" t="s">
        <v>136</v>
      </c>
      <c r="C31" s="166"/>
      <c r="D31" s="166"/>
      <c r="E31" s="166"/>
      <c r="F31" s="166"/>
      <c r="G31" s="166"/>
      <c r="H31" s="166"/>
      <c r="I31" s="3"/>
      <c r="J31" s="3"/>
      <c r="W31" s="4"/>
      <c r="X31" s="4"/>
      <c r="Y31" s="4"/>
    </row>
    <row r="32" spans="2:30" x14ac:dyDescent="0.25">
      <c r="B32" s="166" t="s">
        <v>100</v>
      </c>
      <c r="C32" s="190"/>
      <c r="D32" s="167" t="s">
        <v>0</v>
      </c>
      <c r="E32" s="168" t="s">
        <v>98</v>
      </c>
      <c r="F32" s="168" t="s">
        <v>67</v>
      </c>
      <c r="G32" s="200" t="s">
        <v>1</v>
      </c>
      <c r="H32" s="200"/>
      <c r="I32" s="79"/>
      <c r="J32" s="3"/>
      <c r="N32" s="49" t="s">
        <v>2</v>
      </c>
      <c r="O32" s="50"/>
      <c r="P32" s="51"/>
      <c r="R32" s="42">
        <v>3531</v>
      </c>
      <c r="S32" s="43"/>
      <c r="T32" s="43"/>
      <c r="U32" s="56" t="s">
        <v>52</v>
      </c>
      <c r="W32" s="4"/>
      <c r="X32" s="4"/>
      <c r="Y32" s="4"/>
    </row>
    <row r="33" spans="2:25" x14ac:dyDescent="0.25">
      <c r="B33" s="166"/>
      <c r="C33" s="3" t="s">
        <v>4</v>
      </c>
      <c r="D33" s="14">
        <v>1.7829999999999999</v>
      </c>
      <c r="E33" s="92">
        <f>$C$12</f>
        <v>0.92159999999999997</v>
      </c>
      <c r="F33" s="34">
        <f>$N$11</f>
        <v>0.71</v>
      </c>
      <c r="G33" s="201">
        <f>D33*E33*F33</f>
        <v>1.1666810879999998</v>
      </c>
      <c r="H33" s="217" t="s">
        <v>39</v>
      </c>
      <c r="I33" s="38"/>
      <c r="J33" s="3"/>
      <c r="N33" s="52" t="s">
        <v>6</v>
      </c>
      <c r="O33" s="48" t="s">
        <v>30</v>
      </c>
      <c r="P33" s="53" t="s">
        <v>7</v>
      </c>
      <c r="R33" s="52" t="s">
        <v>8</v>
      </c>
      <c r="S33" s="44" t="s">
        <v>9</v>
      </c>
      <c r="T33" s="45" t="s">
        <v>10</v>
      </c>
      <c r="U33" s="58">
        <v>0.71</v>
      </c>
      <c r="W33" s="4"/>
      <c r="X33" s="4"/>
      <c r="Y33" s="4"/>
    </row>
    <row r="34" spans="2:25" x14ac:dyDescent="0.25">
      <c r="B34" s="166"/>
      <c r="C34" s="3" t="s">
        <v>18</v>
      </c>
      <c r="D34" s="18">
        <v>4.8</v>
      </c>
      <c r="E34" s="92">
        <f>$C$12</f>
        <v>0.92159999999999997</v>
      </c>
      <c r="F34" s="34">
        <f>$N$11</f>
        <v>0.71</v>
      </c>
      <c r="G34" s="202">
        <f>D34*E34*F34</f>
        <v>3.1408128</v>
      </c>
      <c r="H34" s="218"/>
      <c r="I34" s="6"/>
      <c r="J34" s="3"/>
      <c r="N34" s="23"/>
      <c r="O34" s="48" t="s">
        <v>12</v>
      </c>
      <c r="P34" s="57" t="s">
        <v>0</v>
      </c>
      <c r="R34" s="15" t="s">
        <v>5</v>
      </c>
      <c r="S34" s="69">
        <v>3.5409999999999999</v>
      </c>
      <c r="T34" s="73"/>
      <c r="U34" s="19">
        <f>S34*U$33</f>
        <v>2.5141099999999996</v>
      </c>
      <c r="W34" s="4"/>
      <c r="X34" s="4"/>
      <c r="Y34" s="4"/>
    </row>
    <row r="35" spans="2:25" x14ac:dyDescent="0.25">
      <c r="B35" s="166"/>
      <c r="C35" s="3"/>
      <c r="D35" s="38">
        <f>SUM(D33:D34)</f>
        <v>6.5830000000000002</v>
      </c>
      <c r="E35" s="82"/>
      <c r="F35" s="81"/>
      <c r="G35" s="152">
        <f>SUM(G33:G34)</f>
        <v>4.3074938879999998</v>
      </c>
      <c r="H35" s="217" t="s">
        <v>40</v>
      </c>
      <c r="I35" s="38"/>
      <c r="J35" s="3"/>
      <c r="N35" s="15">
        <v>57</v>
      </c>
      <c r="O35" s="14">
        <v>1.1000000000000001</v>
      </c>
      <c r="P35" s="19">
        <f>(O35/2)^2*3.1416</f>
        <v>0.95033400000000012</v>
      </c>
      <c r="R35" s="15" t="s">
        <v>13</v>
      </c>
      <c r="S35" s="69">
        <v>3.6179999999999999</v>
      </c>
      <c r="T35" s="73">
        <f>S35/S34</f>
        <v>1.0217452696978255</v>
      </c>
      <c r="U35" s="19">
        <f>S35*U$33</f>
        <v>2.5687799999999998</v>
      </c>
      <c r="W35" s="4"/>
      <c r="X35" s="4"/>
      <c r="Y35" s="4"/>
    </row>
    <row r="36" spans="2:25" x14ac:dyDescent="0.25">
      <c r="B36" s="3"/>
      <c r="C36" s="3"/>
      <c r="D36" s="3"/>
      <c r="E36" s="65"/>
      <c r="F36" s="65"/>
      <c r="G36" s="84"/>
      <c r="H36" s="84"/>
      <c r="I36" s="6"/>
      <c r="J36" s="3"/>
      <c r="N36" s="15">
        <v>56</v>
      </c>
      <c r="O36" s="14">
        <v>1.2</v>
      </c>
      <c r="P36" s="19">
        <f>(O36/2)^2*3.1416</f>
        <v>1.130976</v>
      </c>
      <c r="R36" s="76" t="s">
        <v>4</v>
      </c>
      <c r="S36" s="71">
        <v>3.69</v>
      </c>
      <c r="T36" s="75">
        <f t="shared" ref="T36:T38" si="1">S36/S35</f>
        <v>1.0199004975124377</v>
      </c>
      <c r="U36" s="77">
        <f>S36*U$33</f>
        <v>2.6198999999999999</v>
      </c>
      <c r="W36" s="4"/>
      <c r="X36" s="4"/>
      <c r="Y36" s="4"/>
    </row>
    <row r="37" spans="2:25" x14ac:dyDescent="0.25">
      <c r="B37" s="166" t="s">
        <v>100</v>
      </c>
      <c r="C37" s="190"/>
      <c r="D37" s="167" t="s">
        <v>0</v>
      </c>
      <c r="E37" s="168" t="s">
        <v>98</v>
      </c>
      <c r="F37" s="168" t="s">
        <v>67</v>
      </c>
      <c r="G37" s="200" t="s">
        <v>1</v>
      </c>
      <c r="H37" s="200"/>
      <c r="I37" s="3"/>
      <c r="J37" s="3"/>
      <c r="N37" s="15">
        <v>55</v>
      </c>
      <c r="O37" s="14">
        <v>1.3</v>
      </c>
      <c r="P37" s="19">
        <f t="shared" ref="P37:P41" si="2">(O37/2)^2*3.1416</f>
        <v>1.327326</v>
      </c>
      <c r="R37" s="15" t="s">
        <v>15</v>
      </c>
      <c r="S37" s="69">
        <v>3.758</v>
      </c>
      <c r="T37" s="73">
        <f t="shared" si="1"/>
        <v>1.0184281842818428</v>
      </c>
      <c r="U37" s="19">
        <f>S37*U$33</f>
        <v>2.66818</v>
      </c>
      <c r="W37" s="4"/>
      <c r="X37" s="4"/>
      <c r="Y37" s="4"/>
    </row>
    <row r="38" spans="2:25" x14ac:dyDescent="0.25">
      <c r="B38" s="166"/>
      <c r="C38" s="3" t="s">
        <v>4</v>
      </c>
      <c r="D38" s="14">
        <v>1.7829999999999999</v>
      </c>
      <c r="E38" s="92">
        <f>$C$12</f>
        <v>0.92159999999999997</v>
      </c>
      <c r="F38" s="34">
        <f>$N$11</f>
        <v>0.71</v>
      </c>
      <c r="G38" s="201">
        <f>D38*E38*F38</f>
        <v>1.1666810879999998</v>
      </c>
      <c r="H38" s="217" t="s">
        <v>39</v>
      </c>
      <c r="I38" s="3"/>
      <c r="J38" s="3"/>
      <c r="N38" s="76">
        <v>54</v>
      </c>
      <c r="O38" s="39">
        <v>1.4</v>
      </c>
      <c r="P38" s="19">
        <f t="shared" si="2"/>
        <v>1.5393839999999999</v>
      </c>
      <c r="R38" s="22" t="s">
        <v>16</v>
      </c>
      <c r="S38" s="70">
        <v>3.823</v>
      </c>
      <c r="T38" s="74">
        <f t="shared" si="1"/>
        <v>1.0172964342735498</v>
      </c>
      <c r="U38" s="30">
        <f>S38*U$33</f>
        <v>2.7143299999999999</v>
      </c>
      <c r="W38" s="4"/>
      <c r="X38" s="4"/>
      <c r="Y38" s="4"/>
    </row>
    <row r="39" spans="2:25" x14ac:dyDescent="0.25">
      <c r="B39" s="166"/>
      <c r="C39" s="3" t="s">
        <v>18</v>
      </c>
      <c r="D39" s="18">
        <v>4.8</v>
      </c>
      <c r="E39" s="92">
        <f>$C$12</f>
        <v>0.92159999999999997</v>
      </c>
      <c r="F39" s="34">
        <f>$N$11</f>
        <v>0.71</v>
      </c>
      <c r="G39" s="202">
        <f>D39*E39*F39</f>
        <v>3.1408128</v>
      </c>
      <c r="H39" s="218"/>
      <c r="I39" s="3"/>
      <c r="J39" s="3"/>
      <c r="N39" s="116">
        <v>53</v>
      </c>
      <c r="O39" s="117">
        <v>1.5</v>
      </c>
      <c r="P39" s="118">
        <f>(O39/2)^2*3.1416</f>
        <v>1.76715</v>
      </c>
      <c r="W39" s="4"/>
      <c r="X39" s="4"/>
      <c r="Y39" s="4"/>
    </row>
    <row r="40" spans="2:25" x14ac:dyDescent="0.25">
      <c r="B40" s="166"/>
      <c r="C40" s="3"/>
      <c r="D40" s="38">
        <f>SUM(D38:D39)</f>
        <v>6.5830000000000002</v>
      </c>
      <c r="E40" s="82"/>
      <c r="F40" s="81"/>
      <c r="G40" s="152">
        <f>SUM(G38:G39)</f>
        <v>4.3074938879999998</v>
      </c>
      <c r="H40" s="217" t="s">
        <v>40</v>
      </c>
      <c r="I40" s="3"/>
      <c r="J40" s="3"/>
      <c r="N40" s="76">
        <v>52</v>
      </c>
      <c r="O40" s="39">
        <v>1.6</v>
      </c>
      <c r="P40" s="19">
        <f t="shared" si="2"/>
        <v>2.0106240000000004</v>
      </c>
      <c r="R40" s="42">
        <v>2151</v>
      </c>
      <c r="S40" s="72"/>
      <c r="T40" s="72"/>
      <c r="U40" s="56" t="s">
        <v>52</v>
      </c>
      <c r="W40" s="86" t="s">
        <v>43</v>
      </c>
      <c r="X40" s="85"/>
      <c r="Y40" s="51"/>
    </row>
    <row r="41" spans="2:25" x14ac:dyDescent="0.25">
      <c r="B41" s="3"/>
      <c r="C41" s="3"/>
      <c r="D41" s="3"/>
      <c r="E41" s="65"/>
      <c r="F41" s="65"/>
      <c r="G41" s="84"/>
      <c r="H41" s="84"/>
      <c r="I41" s="3"/>
      <c r="J41" s="3"/>
      <c r="N41" s="22">
        <v>51</v>
      </c>
      <c r="O41" s="28">
        <v>1.7</v>
      </c>
      <c r="P41" s="30">
        <f t="shared" si="2"/>
        <v>2.2698059999999995</v>
      </c>
      <c r="R41" s="52" t="s">
        <v>8</v>
      </c>
      <c r="S41" s="44" t="s">
        <v>9</v>
      </c>
      <c r="T41" s="45" t="s">
        <v>10</v>
      </c>
      <c r="U41" s="58">
        <v>0.71</v>
      </c>
      <c r="W41" s="52" t="s">
        <v>8</v>
      </c>
      <c r="X41" s="44"/>
      <c r="Y41" s="53" t="s">
        <v>9</v>
      </c>
    </row>
    <row r="42" spans="2:25" x14ac:dyDescent="0.25">
      <c r="B42" s="25"/>
      <c r="C42" s="25"/>
      <c r="D42" s="48" t="s">
        <v>0</v>
      </c>
      <c r="E42" s="83" t="s">
        <v>68</v>
      </c>
      <c r="F42" s="83" t="s">
        <v>67</v>
      </c>
      <c r="G42" s="83" t="s">
        <v>1</v>
      </c>
      <c r="H42" s="83"/>
      <c r="I42" s="3"/>
      <c r="J42" s="3"/>
      <c r="N42" s="4"/>
      <c r="O42" s="4"/>
      <c r="P42" s="34"/>
      <c r="R42" s="15" t="s">
        <v>5</v>
      </c>
      <c r="S42" s="69">
        <v>4.0410000000000004</v>
      </c>
      <c r="T42" s="73"/>
      <c r="U42" s="19">
        <f>S42*U$33</f>
        <v>2.86911</v>
      </c>
      <c r="W42" s="15" t="s">
        <v>5</v>
      </c>
      <c r="X42" s="34"/>
      <c r="Y42" s="19">
        <f>(U34+U42)/2</f>
        <v>2.6916099999999998</v>
      </c>
    </row>
    <row r="43" spans="2:25" x14ac:dyDescent="0.25">
      <c r="B43" s="25"/>
      <c r="C43" s="5" t="s">
        <v>19</v>
      </c>
      <c r="D43" s="14">
        <v>2.31</v>
      </c>
      <c r="E43" s="81" t="e">
        <f>#REF!</f>
        <v>#REF!</v>
      </c>
      <c r="F43" s="81" t="e">
        <f>#REF!</f>
        <v>#REF!</v>
      </c>
      <c r="G43" s="107" t="e">
        <f>D43*E43*F43</f>
        <v>#REF!</v>
      </c>
      <c r="H43" s="219" t="s">
        <v>39</v>
      </c>
      <c r="I43" s="3"/>
      <c r="J43" s="3"/>
      <c r="N43" s="61" t="s">
        <v>31</v>
      </c>
      <c r="O43" s="43"/>
      <c r="P43" s="62"/>
      <c r="R43" s="15" t="s">
        <v>13</v>
      </c>
      <c r="S43" s="69">
        <v>4.1059999999999999</v>
      </c>
      <c r="T43" s="73">
        <f>S43/S42</f>
        <v>1.0160851274437019</v>
      </c>
      <c r="U43" s="19">
        <f>S43*U$33</f>
        <v>2.91526</v>
      </c>
      <c r="W43" s="15" t="s">
        <v>13</v>
      </c>
      <c r="X43" s="34"/>
      <c r="Y43" s="19">
        <f>(U35+U43)/2</f>
        <v>2.7420200000000001</v>
      </c>
    </row>
    <row r="44" spans="2:25" x14ac:dyDescent="0.25">
      <c r="B44" s="25"/>
      <c r="C44" s="3" t="s">
        <v>18</v>
      </c>
      <c r="D44" s="18">
        <v>4.8</v>
      </c>
      <c r="E44" s="81" t="e">
        <f>#REF!</f>
        <v>#REF!</v>
      </c>
      <c r="F44" s="81" t="e">
        <f>#REF!</f>
        <v>#REF!</v>
      </c>
      <c r="G44" s="109" t="e">
        <f>D44*E44*F44</f>
        <v>#REF!</v>
      </c>
      <c r="H44" s="220"/>
      <c r="I44" s="3"/>
      <c r="J44" s="3"/>
      <c r="N44" s="31" t="s">
        <v>4</v>
      </c>
      <c r="O44" s="78">
        <v>1.7829999999999999</v>
      </c>
      <c r="P44" s="115" t="s">
        <v>79</v>
      </c>
      <c r="Q44" s="3"/>
      <c r="R44" s="76" t="s">
        <v>4</v>
      </c>
      <c r="S44" s="71">
        <v>4.1689999999999996</v>
      </c>
      <c r="T44" s="75">
        <f t="shared" ref="T44:T46" si="3">S44/S43</f>
        <v>1.0153433999025816</v>
      </c>
      <c r="U44" s="77">
        <f>S44*U$33</f>
        <v>2.9599899999999995</v>
      </c>
      <c r="W44" s="76" t="s">
        <v>4</v>
      </c>
      <c r="X44" s="38"/>
      <c r="Y44" s="77">
        <f>(U36+U44)/2</f>
        <v>2.7899449999999995</v>
      </c>
    </row>
    <row r="45" spans="2:25" x14ac:dyDescent="0.25">
      <c r="B45" s="25"/>
      <c r="C45" s="3"/>
      <c r="D45" s="36">
        <f>SUM(D43:D44)</f>
        <v>7.1099999999999994</v>
      </c>
      <c r="E45" s="82"/>
      <c r="F45" s="81"/>
      <c r="G45" s="82" t="e">
        <f>SUM(G43:G44)</f>
        <v>#REF!</v>
      </c>
      <c r="H45" s="219" t="s">
        <v>40</v>
      </c>
      <c r="I45" s="3"/>
      <c r="J45" s="3"/>
      <c r="N45" s="120" t="s">
        <v>33</v>
      </c>
      <c r="O45" s="18">
        <v>1.77</v>
      </c>
      <c r="P45" s="115" t="s">
        <v>80</v>
      </c>
      <c r="Q45" s="3"/>
      <c r="R45" s="15" t="s">
        <v>15</v>
      </c>
      <c r="S45" s="69">
        <v>4.2300000000000004</v>
      </c>
      <c r="T45" s="73">
        <f t="shared" si="3"/>
        <v>1.0146318061885347</v>
      </c>
      <c r="U45" s="19">
        <f>S45*U$33</f>
        <v>3.0033000000000003</v>
      </c>
      <c r="W45" s="15" t="s">
        <v>15</v>
      </c>
      <c r="X45" s="34"/>
      <c r="Y45" s="19">
        <f>(U37+U45)/2</f>
        <v>2.8357400000000004</v>
      </c>
    </row>
    <row r="46" spans="2:25" x14ac:dyDescent="0.25">
      <c r="B46" s="3"/>
      <c r="C46" s="3"/>
      <c r="D46" s="3"/>
      <c r="E46" s="65"/>
      <c r="F46" s="65"/>
      <c r="G46" s="84"/>
      <c r="H46" s="84"/>
      <c r="I46" s="3"/>
      <c r="J46" s="3"/>
      <c r="N46" s="31"/>
      <c r="O46" s="36">
        <f>SUM(O44:O45)</f>
        <v>3.5529999999999999</v>
      </c>
      <c r="P46" s="82"/>
      <c r="Q46" s="3"/>
      <c r="R46" s="22" t="s">
        <v>16</v>
      </c>
      <c r="S46" s="70">
        <v>4.29</v>
      </c>
      <c r="T46" s="74">
        <f t="shared" si="3"/>
        <v>1.0141843971631204</v>
      </c>
      <c r="U46" s="30">
        <f>S46*U$33</f>
        <v>3.0459000000000001</v>
      </c>
      <c r="W46" s="22" t="s">
        <v>16</v>
      </c>
      <c r="X46" s="21"/>
      <c r="Y46" s="30">
        <f>(U38+U46)/2</f>
        <v>2.880115</v>
      </c>
    </row>
    <row r="47" spans="2:25" x14ac:dyDescent="0.25">
      <c r="B47" s="25"/>
      <c r="C47" s="25"/>
      <c r="D47" s="48" t="s">
        <v>0</v>
      </c>
      <c r="E47" s="83" t="s">
        <v>68</v>
      </c>
      <c r="F47" s="83" t="s">
        <v>67</v>
      </c>
      <c r="G47" s="83" t="s">
        <v>1</v>
      </c>
      <c r="H47" s="83"/>
      <c r="I47" s="3"/>
      <c r="J47" s="3"/>
      <c r="N47" s="31"/>
      <c r="O47" s="3"/>
      <c r="P47" s="65"/>
      <c r="Q47" s="3"/>
    </row>
    <row r="48" spans="2:25" x14ac:dyDescent="0.25">
      <c r="B48" s="25"/>
      <c r="C48" s="5" t="s">
        <v>36</v>
      </c>
      <c r="D48" s="14">
        <v>2.31</v>
      </c>
      <c r="E48" s="81" t="e">
        <f>#REF!</f>
        <v>#REF!</v>
      </c>
      <c r="F48" s="81" t="e">
        <f>#REF!</f>
        <v>#REF!</v>
      </c>
      <c r="G48" s="107" t="e">
        <f>D48*E48*F48</f>
        <v>#REF!</v>
      </c>
      <c r="H48" s="219" t="s">
        <v>39</v>
      </c>
      <c r="I48" s="3"/>
      <c r="J48" s="3"/>
      <c r="N48" s="120" t="s">
        <v>16</v>
      </c>
      <c r="O48" s="78">
        <v>2.0529999999999999</v>
      </c>
      <c r="P48" s="115" t="s">
        <v>79</v>
      </c>
      <c r="Q48" s="3"/>
      <c r="R48" s="42" t="s">
        <v>17</v>
      </c>
      <c r="S48" s="43"/>
      <c r="T48" s="43"/>
      <c r="U48" s="56"/>
    </row>
    <row r="49" spans="2:21" x14ac:dyDescent="0.25">
      <c r="B49" s="25"/>
      <c r="C49" s="3" t="s">
        <v>20</v>
      </c>
      <c r="D49" s="18">
        <v>2.4</v>
      </c>
      <c r="E49" s="81" t="e">
        <f>#REF!</f>
        <v>#REF!</v>
      </c>
      <c r="F49" s="81" t="e">
        <f>#REF!</f>
        <v>#REF!</v>
      </c>
      <c r="G49" s="109" t="e">
        <f>D49*E49*F49</f>
        <v>#REF!</v>
      </c>
      <c r="H49" s="220"/>
      <c r="I49" s="3"/>
      <c r="J49" s="3"/>
      <c r="N49" s="120" t="s">
        <v>32</v>
      </c>
      <c r="O49" s="18">
        <v>1.54</v>
      </c>
      <c r="P49" s="115" t="s">
        <v>80</v>
      </c>
      <c r="Q49" s="3"/>
      <c r="R49" s="52" t="s">
        <v>8</v>
      </c>
      <c r="S49" s="44" t="s">
        <v>9</v>
      </c>
      <c r="T49" s="45" t="s">
        <v>10</v>
      </c>
      <c r="U49" s="53"/>
    </row>
    <row r="50" spans="2:21" x14ac:dyDescent="0.25">
      <c r="B50" s="25"/>
      <c r="C50" s="3"/>
      <c r="D50" s="36">
        <f>SUM(D48:D49)</f>
        <v>4.71</v>
      </c>
      <c r="E50" s="82"/>
      <c r="F50" s="81"/>
      <c r="G50" s="82" t="e">
        <f>SUM(G48:G49)</f>
        <v>#REF!</v>
      </c>
      <c r="H50" s="219" t="s">
        <v>40</v>
      </c>
      <c r="I50" s="3"/>
      <c r="J50" s="3"/>
      <c r="N50" s="31"/>
      <c r="O50" s="36">
        <f>SUM(O48:O49)</f>
        <v>3.593</v>
      </c>
      <c r="P50" s="82"/>
      <c r="Q50" s="3"/>
      <c r="R50" s="15" t="s">
        <v>4</v>
      </c>
      <c r="S50" s="14">
        <v>1.7829999999999999</v>
      </c>
      <c r="T50" s="73"/>
      <c r="U50" s="29"/>
    </row>
    <row r="51" spans="2:21" x14ac:dyDescent="0.25">
      <c r="B51" s="3"/>
      <c r="C51" s="3"/>
      <c r="D51" s="3"/>
      <c r="E51" s="3"/>
      <c r="F51" s="3"/>
      <c r="G51" s="3"/>
      <c r="H51" s="3"/>
      <c r="I51" s="3"/>
      <c r="J51" s="3"/>
      <c r="N51" s="31"/>
      <c r="O51" s="3"/>
      <c r="P51" s="65"/>
      <c r="Q51" s="3"/>
      <c r="R51" s="15" t="s">
        <v>15</v>
      </c>
      <c r="S51" s="14">
        <v>1.919</v>
      </c>
      <c r="T51" s="73">
        <f t="shared" ref="T51:T59" si="4">S51/S50</f>
        <v>1.0762759394279304</v>
      </c>
      <c r="U51" s="29"/>
    </row>
    <row r="52" spans="2:21" x14ac:dyDescent="0.25">
      <c r="B52" s="3"/>
      <c r="C52" s="3"/>
      <c r="D52" s="3"/>
      <c r="E52" s="3"/>
      <c r="F52" s="3"/>
      <c r="G52" s="3"/>
      <c r="H52" s="3"/>
      <c r="I52" s="3"/>
      <c r="J52" s="3"/>
      <c r="N52" s="120" t="s">
        <v>19</v>
      </c>
      <c r="O52" s="78">
        <v>2.31</v>
      </c>
      <c r="P52" s="115" t="s">
        <v>79</v>
      </c>
      <c r="Q52" s="3"/>
      <c r="R52" s="76" t="s">
        <v>16</v>
      </c>
      <c r="S52" s="39">
        <v>2.0529999999999999</v>
      </c>
      <c r="T52" s="73">
        <f t="shared" si="4"/>
        <v>1.0698280354351224</v>
      </c>
      <c r="U52" s="29"/>
    </row>
    <row r="53" spans="2:21" x14ac:dyDescent="0.25">
      <c r="N53" s="120" t="s">
        <v>38</v>
      </c>
      <c r="O53" s="18">
        <v>1.33</v>
      </c>
      <c r="P53" s="115" t="s">
        <v>80</v>
      </c>
      <c r="Q53" s="3"/>
      <c r="R53" s="76" t="s">
        <v>21</v>
      </c>
      <c r="S53" s="39">
        <v>2.1829999999999998</v>
      </c>
      <c r="T53" s="73">
        <f t="shared" si="4"/>
        <v>1.0633219678519239</v>
      </c>
      <c r="U53" s="29"/>
    </row>
    <row r="54" spans="2:21" x14ac:dyDescent="0.25">
      <c r="N54" s="31"/>
      <c r="O54" s="36">
        <f>SUM(O52:O53)</f>
        <v>3.64</v>
      </c>
      <c r="P54" s="82"/>
      <c r="Q54" s="3"/>
      <c r="R54" s="15" t="s">
        <v>19</v>
      </c>
      <c r="S54" s="14">
        <v>2.31</v>
      </c>
      <c r="T54" s="73">
        <f t="shared" si="4"/>
        <v>1.0581768208886855</v>
      </c>
      <c r="U54" s="29"/>
    </row>
    <row r="55" spans="2:21" x14ac:dyDescent="0.25">
      <c r="N55" s="31"/>
      <c r="O55" s="3"/>
      <c r="P55" s="65"/>
      <c r="Q55" s="3"/>
      <c r="R55" s="15" t="s">
        <v>22</v>
      </c>
      <c r="S55" s="14">
        <v>2.4369999999999998</v>
      </c>
      <c r="T55" s="73">
        <f t="shared" si="4"/>
        <v>1.0549783549783549</v>
      </c>
      <c r="U55" s="29"/>
    </row>
    <row r="56" spans="2:21" x14ac:dyDescent="0.25">
      <c r="N56" s="120" t="s">
        <v>34</v>
      </c>
      <c r="O56" s="78">
        <v>2.5579999999999998</v>
      </c>
      <c r="P56" s="115" t="s">
        <v>79</v>
      </c>
      <c r="R56" s="15" t="s">
        <v>34</v>
      </c>
      <c r="S56" s="14">
        <v>2.5579999999999998</v>
      </c>
      <c r="T56" s="73">
        <f t="shared" si="4"/>
        <v>1.0496512105047189</v>
      </c>
      <c r="U56" s="29"/>
    </row>
    <row r="57" spans="2:21" x14ac:dyDescent="0.25">
      <c r="N57" s="120" t="s">
        <v>11</v>
      </c>
      <c r="O57" s="18">
        <v>1.1299999999999999</v>
      </c>
      <c r="P57" s="115" t="s">
        <v>80</v>
      </c>
      <c r="R57" s="15" t="s">
        <v>35</v>
      </c>
      <c r="S57" s="14">
        <v>2.6760000000000002</v>
      </c>
      <c r="T57" s="73">
        <f t="shared" si="4"/>
        <v>1.0461297888975765</v>
      </c>
      <c r="U57" s="29"/>
    </row>
    <row r="58" spans="2:21" x14ac:dyDescent="0.25">
      <c r="N58" s="31"/>
      <c r="O58" s="36">
        <f>SUM(O56:O57)</f>
        <v>3.6879999999999997</v>
      </c>
      <c r="P58" s="82"/>
      <c r="R58" s="15" t="s">
        <v>36</v>
      </c>
      <c r="S58" s="78">
        <v>2.7909999999999999</v>
      </c>
      <c r="T58" s="73">
        <f t="shared" si="4"/>
        <v>1.0429745889387143</v>
      </c>
      <c r="U58" s="29"/>
    </row>
    <row r="59" spans="2:21" x14ac:dyDescent="0.25">
      <c r="N59" s="31"/>
      <c r="O59" s="3"/>
      <c r="P59" s="65"/>
      <c r="R59" s="15" t="s">
        <v>37</v>
      </c>
      <c r="S59" s="39">
        <v>2.903</v>
      </c>
      <c r="T59" s="73">
        <f t="shared" si="4"/>
        <v>1.0401289860265139</v>
      </c>
      <c r="U59" s="29"/>
    </row>
    <row r="60" spans="2:21" x14ac:dyDescent="0.25">
      <c r="N60" s="120" t="s">
        <v>36</v>
      </c>
      <c r="O60" s="78">
        <v>2.7909999999999999</v>
      </c>
      <c r="P60" s="115" t="s">
        <v>79</v>
      </c>
      <c r="Q60" s="3"/>
      <c r="R60" s="22" t="s">
        <v>42</v>
      </c>
      <c r="S60" s="67">
        <v>3.012</v>
      </c>
      <c r="T60" s="74">
        <f>S60/S59</f>
        <v>1.0375473647950395</v>
      </c>
      <c r="U60" s="8"/>
    </row>
    <row r="61" spans="2:21" x14ac:dyDescent="0.25">
      <c r="N61" s="120" t="s">
        <v>81</v>
      </c>
      <c r="O61" s="18">
        <v>0.95</v>
      </c>
      <c r="P61" s="115" t="s">
        <v>80</v>
      </c>
      <c r="Q61" s="3"/>
    </row>
    <row r="62" spans="2:21" x14ac:dyDescent="0.25">
      <c r="B62" s="3"/>
      <c r="C62" s="3"/>
      <c r="D62" s="3"/>
      <c r="E62" s="3"/>
      <c r="F62" s="3"/>
      <c r="G62" s="3"/>
      <c r="H62" s="3"/>
      <c r="N62" s="32"/>
      <c r="O62" s="37">
        <f>SUM(O60:O61)</f>
        <v>3.7409999999999997</v>
      </c>
      <c r="P62" s="111"/>
      <c r="Q62" s="3"/>
    </row>
    <row r="63" spans="2:21" x14ac:dyDescent="0.25">
      <c r="B63" s="3"/>
      <c r="C63" s="3"/>
      <c r="D63" s="3"/>
      <c r="E63" s="3"/>
      <c r="F63" s="3"/>
      <c r="G63" s="3"/>
      <c r="H63" s="3"/>
      <c r="J63" s="16"/>
      <c r="O63" s="95"/>
      <c r="P63" s="3"/>
      <c r="Q63" s="4"/>
      <c r="R63" s="4"/>
      <c r="S63" s="46"/>
    </row>
    <row r="64" spans="2:21" x14ac:dyDescent="0.25">
      <c r="Q64" s="4"/>
      <c r="R64" s="4"/>
      <c r="S64" s="46"/>
    </row>
  </sheetData>
  <pageMargins left="0.45" right="0.45" top="0.75" bottom="0.75" header="0.3" footer="0.3"/>
  <pageSetup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2:AE54"/>
  <sheetViews>
    <sheetView showGridLines="0" zoomScale="90" zoomScaleNormal="90" workbookViewId="0">
      <selection activeCell="P48" sqref="P48"/>
    </sheetView>
  </sheetViews>
  <sheetFormatPr defaultRowHeight="15" x14ac:dyDescent="0.25"/>
  <cols>
    <col min="1" max="1" width="8.7109375" style="1" customWidth="1"/>
    <col min="2" max="2" width="12" style="1" customWidth="1"/>
    <col min="3" max="7" width="8.7109375" style="1" customWidth="1"/>
    <col min="8" max="8" width="10" style="1" customWidth="1"/>
    <col min="9" max="9" width="6" style="1" customWidth="1"/>
    <col min="10" max="12" width="9.28515625" style="1" customWidth="1"/>
    <col min="13" max="17" width="8.7109375" style="1" customWidth="1"/>
    <col min="18" max="18" width="10" style="1" customWidth="1"/>
    <col min="19" max="20" width="8.7109375" style="1" customWidth="1"/>
    <col min="21" max="21" width="10.7109375" style="1" customWidth="1"/>
    <col min="22" max="28" width="8.7109375" style="1" customWidth="1"/>
    <col min="29" max="16384" width="9.140625" style="1"/>
  </cols>
  <sheetData>
    <row r="2" spans="2:31" x14ac:dyDescent="0.25">
      <c r="B2" s="54" t="s">
        <v>29</v>
      </c>
      <c r="C2" s="149" t="s">
        <v>89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119" t="s">
        <v>83</v>
      </c>
      <c r="T2" s="50"/>
      <c r="U2" s="50"/>
      <c r="V2" s="51"/>
    </row>
    <row r="3" spans="2:31" x14ac:dyDescent="0.25">
      <c r="B3" s="31"/>
      <c r="C3" s="5" t="s">
        <v>90</v>
      </c>
      <c r="D3" s="3"/>
      <c r="E3" s="3"/>
      <c r="F3" s="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35"/>
    </row>
    <row r="4" spans="2:3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8"/>
    </row>
    <row r="5" spans="2:31" x14ac:dyDescent="0.25">
      <c r="B5" s="5" t="s">
        <v>92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1"/>
    </row>
    <row r="6" spans="2:31" x14ac:dyDescent="0.25">
      <c r="B6" s="156" t="s">
        <v>44</v>
      </c>
      <c r="C6" s="156" t="s">
        <v>45</v>
      </c>
      <c r="D6" s="156" t="s">
        <v>46</v>
      </c>
      <c r="E6" s="156"/>
      <c r="F6" s="156" t="s">
        <v>47</v>
      </c>
      <c r="G6" s="156" t="s">
        <v>48</v>
      </c>
      <c r="H6" s="156" t="s">
        <v>53</v>
      </c>
      <c r="I6" s="3"/>
      <c r="J6" s="3"/>
      <c r="K6" s="3"/>
      <c r="L6" s="3"/>
      <c r="N6" s="121" t="s">
        <v>44</v>
      </c>
      <c r="O6" s="68" t="s">
        <v>45</v>
      </c>
      <c r="P6" s="68" t="s">
        <v>46</v>
      </c>
      <c r="Q6" s="50"/>
      <c r="R6" s="68" t="s">
        <v>47</v>
      </c>
      <c r="S6" s="68" t="s">
        <v>48</v>
      </c>
      <c r="T6" s="68" t="s">
        <v>53</v>
      </c>
      <c r="U6" s="9"/>
      <c r="V6" s="7"/>
      <c r="AE6" s="3"/>
    </row>
    <row r="7" spans="2:31" x14ac:dyDescent="0.25">
      <c r="B7" s="150" t="s">
        <v>91</v>
      </c>
      <c r="C7" s="14">
        <v>24</v>
      </c>
      <c r="D7" s="14">
        <v>12.5</v>
      </c>
      <c r="E7" s="4"/>
      <c r="F7" s="155">
        <f t="shared" ref="F7:G7" si="0">(C7/2)^2*3.1416</f>
        <v>452.3904</v>
      </c>
      <c r="G7" s="87">
        <f t="shared" si="0"/>
        <v>122.71875</v>
      </c>
      <c r="H7" s="155">
        <f>F7-G7</f>
        <v>329.67165</v>
      </c>
      <c r="I7" s="3"/>
      <c r="J7" s="3"/>
      <c r="K7" s="3"/>
      <c r="L7" s="3"/>
      <c r="N7" s="122" t="s">
        <v>49</v>
      </c>
      <c r="O7" s="4">
        <v>24</v>
      </c>
      <c r="P7" s="4">
        <v>12.5</v>
      </c>
      <c r="Q7" s="3"/>
      <c r="R7" s="87">
        <f t="shared" ref="R7:S9" si="1">(O7/2)^2*3.1416</f>
        <v>452.3904</v>
      </c>
      <c r="S7" s="87">
        <f t="shared" si="1"/>
        <v>122.71875</v>
      </c>
      <c r="T7" s="87">
        <f>R7-S7</f>
        <v>329.67165</v>
      </c>
      <c r="U7" s="3"/>
      <c r="V7" s="11"/>
      <c r="AE7" s="3"/>
    </row>
    <row r="8" spans="2:31" x14ac:dyDescent="0.25">
      <c r="B8" s="153" t="s">
        <v>51</v>
      </c>
      <c r="C8" s="39">
        <v>34</v>
      </c>
      <c r="D8" s="39">
        <v>12</v>
      </c>
      <c r="E8" s="41"/>
      <c r="F8" s="155">
        <f>(C8/2)^2*3.1416</f>
        <v>907.92240000000004</v>
      </c>
      <c r="G8" s="87">
        <f>(D8/2)^2*3.1416</f>
        <v>113.0976</v>
      </c>
      <c r="H8" s="155">
        <f>F8-G8</f>
        <v>794.8248000000001</v>
      </c>
      <c r="I8" s="3"/>
      <c r="J8" s="88"/>
      <c r="K8" s="3"/>
      <c r="L8" s="3"/>
      <c r="N8" s="123" t="s">
        <v>50</v>
      </c>
      <c r="O8" s="4">
        <v>24</v>
      </c>
      <c r="P8" s="4">
        <v>12.5</v>
      </c>
      <c r="Q8" s="3"/>
      <c r="R8" s="87">
        <f t="shared" si="1"/>
        <v>452.3904</v>
      </c>
      <c r="S8" s="87">
        <f t="shared" si="1"/>
        <v>122.71875</v>
      </c>
      <c r="T8" s="87">
        <f t="shared" ref="T8" si="2">R8-S8</f>
        <v>329.67165</v>
      </c>
      <c r="U8" s="3"/>
      <c r="V8" s="11"/>
      <c r="AE8" s="3"/>
    </row>
    <row r="9" spans="2:31" x14ac:dyDescent="0.25">
      <c r="B9" s="150" t="s">
        <v>93</v>
      </c>
      <c r="C9" s="157">
        <f>$G$8/$G$7</f>
        <v>0.92159999999999997</v>
      </c>
      <c r="D9" s="2" t="s">
        <v>94</v>
      </c>
      <c r="K9" s="3"/>
      <c r="L9" s="3"/>
      <c r="N9" s="123" t="s">
        <v>51</v>
      </c>
      <c r="O9" s="41">
        <v>34</v>
      </c>
      <c r="P9" s="41">
        <v>12</v>
      </c>
      <c r="Q9" s="3"/>
      <c r="R9" s="87">
        <f t="shared" si="1"/>
        <v>907.92240000000004</v>
      </c>
      <c r="S9" s="87">
        <f t="shared" si="1"/>
        <v>113.0976</v>
      </c>
      <c r="T9" s="87">
        <f>R9-S9</f>
        <v>794.8248000000001</v>
      </c>
      <c r="U9" s="3"/>
      <c r="V9" s="11"/>
      <c r="AE9" s="3"/>
    </row>
    <row r="10" spans="2:31" x14ac:dyDescent="0.25">
      <c r="B10" s="150"/>
      <c r="C10" s="3"/>
      <c r="D10" s="151"/>
      <c r="E10" s="41"/>
      <c r="F10" s="87"/>
      <c r="G10" s="87"/>
      <c r="H10" s="87"/>
      <c r="I10" s="3"/>
      <c r="K10" s="3"/>
      <c r="L10" s="3"/>
      <c r="N10" s="124" t="s">
        <v>74</v>
      </c>
      <c r="O10" s="13"/>
      <c r="P10" s="125" t="s">
        <v>73</v>
      </c>
      <c r="Q10" s="13"/>
      <c r="R10" s="127">
        <f>R9</f>
        <v>907.92240000000004</v>
      </c>
      <c r="S10" s="127">
        <f>S9*$V$10</f>
        <v>122.71875</v>
      </c>
      <c r="T10" s="127">
        <f>R10-S10</f>
        <v>785.20365000000004</v>
      </c>
      <c r="U10" s="13"/>
      <c r="V10" s="63">
        <f>$S$7/$S$9</f>
        <v>1.0850694444444444</v>
      </c>
      <c r="AE10" s="3"/>
    </row>
    <row r="11" spans="2:31" x14ac:dyDescent="0.25">
      <c r="B11" s="88"/>
      <c r="C11" s="4"/>
      <c r="D11" s="4"/>
      <c r="E11" s="4"/>
      <c r="F11" s="87"/>
      <c r="G11" s="87"/>
      <c r="H11" s="87"/>
      <c r="I11" s="3"/>
      <c r="J11" s="3"/>
      <c r="K11" s="3"/>
      <c r="L11" s="3"/>
      <c r="N11" s="88"/>
      <c r="O11" s="4"/>
      <c r="Q11" s="87"/>
      <c r="R11" s="87"/>
      <c r="S11" s="87"/>
      <c r="T11" s="3"/>
      <c r="U11" s="3"/>
    </row>
    <row r="12" spans="2:31" x14ac:dyDescent="0.25">
      <c r="B12" s="49" t="s">
        <v>75</v>
      </c>
      <c r="C12" s="50"/>
      <c r="D12" s="50"/>
      <c r="E12" s="50"/>
      <c r="F12" s="50"/>
      <c r="G12" s="50"/>
      <c r="H12" s="50"/>
      <c r="I12" s="9"/>
      <c r="J12" s="142" t="s">
        <v>70</v>
      </c>
      <c r="N12" s="49" t="s">
        <v>76</v>
      </c>
      <c r="O12" s="50"/>
      <c r="P12" s="50"/>
      <c r="Q12" s="50"/>
      <c r="R12" s="50"/>
      <c r="S12" s="50"/>
      <c r="T12" s="50"/>
      <c r="U12" s="9"/>
      <c r="V12" s="143" t="s">
        <v>69</v>
      </c>
    </row>
    <row r="13" spans="2:31" x14ac:dyDescent="0.25">
      <c r="B13" s="31" t="s">
        <v>56</v>
      </c>
      <c r="C13" s="39">
        <v>3.69</v>
      </c>
      <c r="D13" s="128" t="s">
        <v>58</v>
      </c>
      <c r="E13" s="128"/>
      <c r="F13" s="129">
        <v>12</v>
      </c>
      <c r="G13" s="6"/>
      <c r="H13" s="6"/>
      <c r="I13" s="91"/>
      <c r="J13" s="104"/>
      <c r="K13" s="91"/>
      <c r="N13" s="31" t="s">
        <v>56</v>
      </c>
      <c r="O13" s="39">
        <v>2.31</v>
      </c>
      <c r="P13" s="128" t="s">
        <v>58</v>
      </c>
      <c r="Q13" s="129">
        <v>16</v>
      </c>
      <c r="R13" s="6"/>
      <c r="S13" s="6"/>
      <c r="T13" s="3"/>
      <c r="U13" s="91"/>
      <c r="V13" s="104"/>
      <c r="AE13" s="91"/>
    </row>
    <row r="14" spans="2:31" x14ac:dyDescent="0.25">
      <c r="B14" s="130" t="s">
        <v>61</v>
      </c>
      <c r="C14" s="24"/>
      <c r="D14" s="24"/>
      <c r="E14" s="24"/>
      <c r="F14" s="89"/>
      <c r="G14" s="89"/>
      <c r="H14" s="89"/>
      <c r="I14" s="91"/>
      <c r="J14" s="131" t="s">
        <v>54</v>
      </c>
      <c r="K14" s="91"/>
      <c r="N14" s="130" t="s">
        <v>61</v>
      </c>
      <c r="O14" s="24"/>
      <c r="P14" s="24"/>
      <c r="Q14" s="89"/>
      <c r="R14" s="89"/>
      <c r="S14" s="89"/>
      <c r="T14" s="25"/>
      <c r="U14" s="91"/>
      <c r="V14" s="131" t="s">
        <v>54</v>
      </c>
      <c r="AE14" s="91"/>
    </row>
    <row r="15" spans="2:31" x14ac:dyDescent="0.25">
      <c r="B15" s="132" t="s">
        <v>62</v>
      </c>
      <c r="C15" s="93"/>
      <c r="D15" s="93"/>
      <c r="E15" s="93"/>
      <c r="F15" s="94"/>
      <c r="G15" s="94">
        <f>G8*J15</f>
        <v>104.23074815999999</v>
      </c>
      <c r="H15" s="94"/>
      <c r="I15" s="91" t="s">
        <v>66</v>
      </c>
      <c r="J15" s="133">
        <f>$G$8/$G$7</f>
        <v>0.92159999999999997</v>
      </c>
      <c r="K15" s="91"/>
      <c r="N15" s="132" t="s">
        <v>62</v>
      </c>
      <c r="O15" s="93"/>
      <c r="P15" s="93"/>
      <c r="Q15" s="94"/>
      <c r="R15" s="94">
        <f>S9*V15</f>
        <v>122.71875</v>
      </c>
      <c r="S15" s="94"/>
      <c r="T15" s="3"/>
      <c r="U15" s="91" t="s">
        <v>66</v>
      </c>
      <c r="V15" s="133">
        <f>$S$7/$S$9</f>
        <v>1.0850694444444444</v>
      </c>
      <c r="AE15" s="91"/>
    </row>
    <row r="16" spans="2:31" x14ac:dyDescent="0.25">
      <c r="B16" s="130" t="s">
        <v>55</v>
      </c>
      <c r="C16" s="24"/>
      <c r="D16" s="24"/>
      <c r="E16" s="24"/>
      <c r="F16" s="89"/>
      <c r="G16" s="89"/>
      <c r="H16" s="89"/>
      <c r="I16" s="91"/>
      <c r="J16" s="131" t="s">
        <v>57</v>
      </c>
      <c r="K16" s="91"/>
      <c r="N16" s="130" t="s">
        <v>72</v>
      </c>
      <c r="O16" s="24"/>
      <c r="P16" s="24"/>
      <c r="Q16" s="89"/>
      <c r="R16" s="89"/>
      <c r="S16" s="89"/>
      <c r="T16" s="25"/>
      <c r="U16" s="91"/>
      <c r="V16" s="131" t="s">
        <v>57</v>
      </c>
      <c r="AE16" s="91"/>
    </row>
    <row r="17" spans="2:31" x14ac:dyDescent="0.25">
      <c r="B17" s="134" t="s">
        <v>63</v>
      </c>
      <c r="C17" s="41"/>
      <c r="D17" s="41"/>
      <c r="E17" s="41"/>
      <c r="F17" s="90"/>
      <c r="G17" s="38">
        <f>C13*J17</f>
        <v>3.4007039999999997</v>
      </c>
      <c r="H17" s="90"/>
      <c r="I17" s="91" t="s">
        <v>66</v>
      </c>
      <c r="J17" s="133">
        <f>$G$8/$G$7</f>
        <v>0.92159999999999997</v>
      </c>
      <c r="K17" s="91"/>
      <c r="N17" s="134" t="s">
        <v>63</v>
      </c>
      <c r="O17" s="41"/>
      <c r="P17" s="41"/>
      <c r="Q17" s="90"/>
      <c r="R17" s="38">
        <f>O13*V17</f>
        <v>2.5065104166666665</v>
      </c>
      <c r="S17" s="90"/>
      <c r="T17" s="3"/>
      <c r="U17" s="91" t="s">
        <v>66</v>
      </c>
      <c r="V17" s="133">
        <f>$S$7/$S$9</f>
        <v>1.0850694444444444</v>
      </c>
      <c r="AE17" s="91"/>
    </row>
    <row r="18" spans="2:31" x14ac:dyDescent="0.25">
      <c r="B18" s="130" t="s">
        <v>59</v>
      </c>
      <c r="C18" s="24"/>
      <c r="D18" s="24"/>
      <c r="E18" s="24"/>
      <c r="F18" s="89"/>
      <c r="G18" s="60"/>
      <c r="H18" s="89"/>
      <c r="I18" s="91"/>
      <c r="J18" s="135" t="s">
        <v>60</v>
      </c>
      <c r="K18" s="91"/>
      <c r="N18" s="130" t="s">
        <v>71</v>
      </c>
      <c r="O18" s="24"/>
      <c r="P18" s="24"/>
      <c r="Q18" s="89"/>
      <c r="R18" s="60"/>
      <c r="S18" s="89"/>
      <c r="T18" s="25"/>
      <c r="U18" s="91"/>
      <c r="V18" s="135" t="s">
        <v>60</v>
      </c>
      <c r="AE18" s="91"/>
    </row>
    <row r="19" spans="2:31" x14ac:dyDescent="0.25">
      <c r="B19" s="136" t="s">
        <v>64</v>
      </c>
      <c r="C19" s="126"/>
      <c r="D19" s="126"/>
      <c r="E19" s="126"/>
      <c r="F19" s="137"/>
      <c r="G19" s="138">
        <f>G17*J19</f>
        <v>2.4144998399999995</v>
      </c>
      <c r="H19" s="139"/>
      <c r="I19" s="140" t="s">
        <v>66</v>
      </c>
      <c r="J19" s="141">
        <v>0.71</v>
      </c>
      <c r="K19" s="3"/>
      <c r="L19" s="3"/>
      <c r="N19" s="136" t="s">
        <v>64</v>
      </c>
      <c r="O19" s="126"/>
      <c r="P19" s="126"/>
      <c r="Q19" s="137"/>
      <c r="R19" s="138">
        <f>R17*V19</f>
        <v>3.5341796874999996</v>
      </c>
      <c r="S19" s="139"/>
      <c r="T19" s="13"/>
      <c r="U19" s="140" t="s">
        <v>66</v>
      </c>
      <c r="V19" s="141">
        <v>1.41</v>
      </c>
      <c r="AE19" s="3"/>
    </row>
    <row r="20" spans="2:3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W20" s="88"/>
      <c r="X20" s="4"/>
      <c r="Y20" s="4"/>
      <c r="Z20" s="4"/>
      <c r="AA20" s="87"/>
      <c r="AB20" s="34"/>
      <c r="AC20" s="87"/>
      <c r="AD20" s="3"/>
      <c r="AE20" s="4"/>
    </row>
    <row r="21" spans="2:31" x14ac:dyDescent="0.25">
      <c r="E21" s="2" t="s">
        <v>82</v>
      </c>
    </row>
    <row r="22" spans="2:31" x14ac:dyDescent="0.25">
      <c r="B22" s="54"/>
      <c r="C22" s="50"/>
      <c r="D22" s="55" t="s">
        <v>0</v>
      </c>
      <c r="E22" s="55" t="s">
        <v>68</v>
      </c>
      <c r="F22" s="55" t="s">
        <v>67</v>
      </c>
      <c r="G22" s="55" t="s">
        <v>1</v>
      </c>
      <c r="H22" s="56"/>
      <c r="I22" s="79"/>
      <c r="J22" s="49" t="s">
        <v>2</v>
      </c>
      <c r="K22" s="50"/>
      <c r="L22" s="51"/>
      <c r="O22" s="42">
        <v>3531</v>
      </c>
      <c r="P22" s="43"/>
      <c r="Q22" s="43"/>
      <c r="R22" s="56" t="s">
        <v>52</v>
      </c>
      <c r="T22" s="54" t="s">
        <v>25</v>
      </c>
      <c r="U22" s="50"/>
      <c r="V22" s="51"/>
    </row>
    <row r="23" spans="2:31" x14ac:dyDescent="0.25">
      <c r="B23" s="23" t="s">
        <v>3</v>
      </c>
      <c r="C23" s="3" t="s">
        <v>4</v>
      </c>
      <c r="D23" s="14">
        <v>3.69</v>
      </c>
      <c r="E23" s="92">
        <f>$J$17</f>
        <v>0.92159999999999997</v>
      </c>
      <c r="F23" s="34">
        <f>$J$19</f>
        <v>0.71</v>
      </c>
      <c r="G23" s="96">
        <f>D23*E23*F23</f>
        <v>2.4144998399999995</v>
      </c>
      <c r="H23" s="98" t="s">
        <v>77</v>
      </c>
      <c r="I23" s="80"/>
      <c r="J23" s="52" t="s">
        <v>6</v>
      </c>
      <c r="K23" s="48" t="s">
        <v>30</v>
      </c>
      <c r="L23" s="53" t="s">
        <v>7</v>
      </c>
      <c r="M23" s="41"/>
      <c r="O23" s="52" t="s">
        <v>8</v>
      </c>
      <c r="P23" s="44" t="s">
        <v>9</v>
      </c>
      <c r="Q23" s="45" t="s">
        <v>10</v>
      </c>
      <c r="R23" s="58">
        <v>0.71</v>
      </c>
      <c r="T23" s="23"/>
      <c r="U23" s="25"/>
      <c r="V23" s="26"/>
    </row>
    <row r="24" spans="2:31" x14ac:dyDescent="0.25">
      <c r="B24" s="23" t="s">
        <v>23</v>
      </c>
      <c r="C24" s="3" t="s">
        <v>11</v>
      </c>
      <c r="D24" s="18">
        <v>1.1299999999999999</v>
      </c>
      <c r="E24" s="92">
        <f>$J$17</f>
        <v>0.92159999999999997</v>
      </c>
      <c r="F24" s="34">
        <f>$J$19</f>
        <v>0.71</v>
      </c>
      <c r="G24" s="97">
        <f>D24*E24*F24</f>
        <v>0.73939967999999989</v>
      </c>
      <c r="H24" s="99"/>
      <c r="I24" s="16"/>
      <c r="J24" s="23"/>
      <c r="K24" s="48" t="s">
        <v>12</v>
      </c>
      <c r="L24" s="57" t="s">
        <v>0</v>
      </c>
      <c r="M24" s="113" t="s">
        <v>65</v>
      </c>
      <c r="O24" s="15" t="s">
        <v>5</v>
      </c>
      <c r="P24" s="69">
        <v>3.5409999999999999</v>
      </c>
      <c r="Q24" s="73"/>
      <c r="R24" s="19">
        <f>P24*R$23</f>
        <v>2.5141099999999996</v>
      </c>
      <c r="T24" s="10" t="s">
        <v>18</v>
      </c>
      <c r="U24" s="33" t="s">
        <v>27</v>
      </c>
      <c r="V24" s="29">
        <f>8*0.2</f>
        <v>1.6</v>
      </c>
    </row>
    <row r="25" spans="2:31" x14ac:dyDescent="0.25">
      <c r="B25" s="23"/>
      <c r="C25" s="3"/>
      <c r="D25" s="38">
        <f>SUM(D23:D24)</f>
        <v>4.82</v>
      </c>
      <c r="E25" s="38"/>
      <c r="F25" s="34"/>
      <c r="G25" s="36">
        <f>SUM(G23:G24)</f>
        <v>3.1538995199999995</v>
      </c>
      <c r="H25" s="98" t="s">
        <v>78</v>
      </c>
      <c r="I25" s="80"/>
      <c r="J25" s="15">
        <v>57</v>
      </c>
      <c r="K25" s="14">
        <v>1.1000000000000001</v>
      </c>
      <c r="L25" s="19">
        <f>(K25/2)^2*3.1416</f>
        <v>0.95033400000000012</v>
      </c>
      <c r="M25" s="114">
        <f t="shared" ref="M25:M31" si="3">K25*V$17*V$19</f>
        <v>1.6829427083333335</v>
      </c>
      <c r="O25" s="15" t="s">
        <v>13</v>
      </c>
      <c r="P25" s="69">
        <v>3.6179999999999999</v>
      </c>
      <c r="Q25" s="73">
        <f>P25/P24</f>
        <v>1.0217452696978255</v>
      </c>
      <c r="R25" s="19">
        <f t="shared" ref="R25:R28" si="4">P25*R$23</f>
        <v>2.5687799999999998</v>
      </c>
      <c r="T25" s="10"/>
      <c r="U25" s="33" t="s">
        <v>26</v>
      </c>
      <c r="V25" s="20">
        <f>V24*3</f>
        <v>4.8000000000000007</v>
      </c>
    </row>
    <row r="26" spans="2:31" x14ac:dyDescent="0.25">
      <c r="B26" s="10"/>
      <c r="C26" s="3"/>
      <c r="D26" s="6"/>
      <c r="E26" s="6"/>
      <c r="F26" s="3"/>
      <c r="G26" s="3"/>
      <c r="H26" s="100"/>
      <c r="I26" s="16"/>
      <c r="J26" s="15">
        <v>56</v>
      </c>
      <c r="K26" s="14">
        <v>1.2</v>
      </c>
      <c r="L26" s="19">
        <f>(K26/2)^2*3.1416</f>
        <v>1.130976</v>
      </c>
      <c r="M26" s="114">
        <f t="shared" si="3"/>
        <v>1.8359374999999998</v>
      </c>
      <c r="O26" s="76" t="s">
        <v>4</v>
      </c>
      <c r="P26" s="71">
        <v>3.69</v>
      </c>
      <c r="Q26" s="75">
        <f t="shared" ref="Q26:Q28" si="5">P26/P25</f>
        <v>1.0199004975124377</v>
      </c>
      <c r="R26" s="77">
        <f t="shared" si="4"/>
        <v>2.6198999999999999</v>
      </c>
      <c r="T26" s="10"/>
      <c r="U26" s="3"/>
      <c r="V26" s="11"/>
    </row>
    <row r="27" spans="2:31" x14ac:dyDescent="0.25">
      <c r="B27" s="23"/>
      <c r="C27" s="25"/>
      <c r="D27" s="48" t="s">
        <v>0</v>
      </c>
      <c r="E27" s="48" t="s">
        <v>68</v>
      </c>
      <c r="F27" s="48" t="s">
        <v>67</v>
      </c>
      <c r="G27" s="48" t="s">
        <v>1</v>
      </c>
      <c r="H27" s="57"/>
      <c r="J27" s="15">
        <v>55</v>
      </c>
      <c r="K27" s="14">
        <v>1.3</v>
      </c>
      <c r="L27" s="19">
        <f t="shared" ref="L27:L31" si="6">(K27/2)^2*3.1416</f>
        <v>1.327326</v>
      </c>
      <c r="M27" s="114">
        <f t="shared" si="3"/>
        <v>1.9889322916666667</v>
      </c>
      <c r="O27" s="15" t="s">
        <v>15</v>
      </c>
      <c r="P27" s="69">
        <v>3.758</v>
      </c>
      <c r="Q27" s="73">
        <f t="shared" si="5"/>
        <v>1.0184281842818428</v>
      </c>
      <c r="R27" s="19">
        <f t="shared" si="4"/>
        <v>2.66818</v>
      </c>
      <c r="T27" s="17" t="s">
        <v>20</v>
      </c>
      <c r="U27" s="33" t="s">
        <v>28</v>
      </c>
      <c r="V27" s="29">
        <f>8*0.1</f>
        <v>0.8</v>
      </c>
    </row>
    <row r="28" spans="2:31" x14ac:dyDescent="0.25">
      <c r="B28" s="23" t="s">
        <v>14</v>
      </c>
      <c r="C28" s="3" t="s">
        <v>4</v>
      </c>
      <c r="D28" s="14">
        <v>4.1689999999999996</v>
      </c>
      <c r="E28" s="92">
        <f>$J$17</f>
        <v>0.92159999999999997</v>
      </c>
      <c r="F28" s="34">
        <f>$J$19</f>
        <v>0.71</v>
      </c>
      <c r="G28" s="96">
        <f>D28*E28*F28</f>
        <v>2.7279267839999997</v>
      </c>
      <c r="H28" s="98" t="s">
        <v>77</v>
      </c>
      <c r="J28" s="76">
        <v>54</v>
      </c>
      <c r="K28" s="39">
        <v>1.4</v>
      </c>
      <c r="L28" s="19">
        <f t="shared" si="6"/>
        <v>1.5393839999999999</v>
      </c>
      <c r="M28" s="114">
        <f t="shared" si="3"/>
        <v>2.141927083333333</v>
      </c>
      <c r="O28" s="22" t="s">
        <v>16</v>
      </c>
      <c r="P28" s="70">
        <v>3.823</v>
      </c>
      <c r="Q28" s="74">
        <f t="shared" si="5"/>
        <v>1.0172964342735498</v>
      </c>
      <c r="R28" s="30">
        <f t="shared" si="4"/>
        <v>2.7143299999999999</v>
      </c>
      <c r="T28" s="12"/>
      <c r="U28" s="59" t="s">
        <v>26</v>
      </c>
      <c r="V28" s="27">
        <f>V27*3</f>
        <v>2.4000000000000004</v>
      </c>
    </row>
    <row r="29" spans="2:31" x14ac:dyDescent="0.25">
      <c r="B29" s="23" t="s">
        <v>24</v>
      </c>
      <c r="C29" s="3" t="s">
        <v>11</v>
      </c>
      <c r="D29" s="18">
        <v>1.1299999999999999</v>
      </c>
      <c r="E29" s="92">
        <f>$J$17</f>
        <v>0.92159999999999997</v>
      </c>
      <c r="F29" s="34">
        <f>$J$19</f>
        <v>0.71</v>
      </c>
      <c r="G29" s="97">
        <f>D29*E29*F29</f>
        <v>0.73939967999999989</v>
      </c>
      <c r="H29" s="99"/>
      <c r="J29" s="116">
        <v>53</v>
      </c>
      <c r="K29" s="117">
        <v>1.5</v>
      </c>
      <c r="L29" s="118">
        <f>(K29/2)^2*3.1416</f>
        <v>1.76715</v>
      </c>
      <c r="M29" s="114">
        <f t="shared" si="3"/>
        <v>2.2949218749999996</v>
      </c>
    </row>
    <row r="30" spans="2:31" x14ac:dyDescent="0.25">
      <c r="B30" s="47"/>
      <c r="C30" s="13"/>
      <c r="D30" s="40">
        <f>SUM(D28:D29)</f>
        <v>5.2989999999999995</v>
      </c>
      <c r="E30" s="40"/>
      <c r="F30" s="21"/>
      <c r="G30" s="37">
        <f>SUM(G28:G29)</f>
        <v>3.4673264639999997</v>
      </c>
      <c r="H30" s="101" t="s">
        <v>78</v>
      </c>
      <c r="J30" s="76">
        <v>52</v>
      </c>
      <c r="K30" s="39">
        <v>1.6</v>
      </c>
      <c r="L30" s="19">
        <f t="shared" si="6"/>
        <v>2.0106240000000004</v>
      </c>
      <c r="M30" s="114">
        <f t="shared" si="3"/>
        <v>2.4479166666666665</v>
      </c>
      <c r="O30" s="42">
        <v>2151</v>
      </c>
      <c r="P30" s="72"/>
      <c r="Q30" s="72"/>
      <c r="R30" s="56" t="s">
        <v>52</v>
      </c>
      <c r="T30" s="86" t="s">
        <v>43</v>
      </c>
      <c r="U30" s="85"/>
      <c r="V30" s="51"/>
    </row>
    <row r="31" spans="2:31" x14ac:dyDescent="0.25">
      <c r="B31" s="3"/>
      <c r="C31" s="3"/>
      <c r="D31" s="3"/>
      <c r="E31" s="3"/>
      <c r="F31" s="3"/>
      <c r="G31" s="3"/>
      <c r="H31" s="6"/>
      <c r="J31" s="22">
        <v>51</v>
      </c>
      <c r="K31" s="28">
        <v>1.7</v>
      </c>
      <c r="L31" s="30">
        <f t="shared" si="6"/>
        <v>2.2698059999999995</v>
      </c>
      <c r="M31" s="114">
        <f t="shared" si="3"/>
        <v>2.600911458333333</v>
      </c>
      <c r="O31" s="52" t="s">
        <v>8</v>
      </c>
      <c r="P31" s="44" t="s">
        <v>9</v>
      </c>
      <c r="Q31" s="45" t="s">
        <v>10</v>
      </c>
      <c r="R31" s="58">
        <v>0.71</v>
      </c>
      <c r="T31" s="52" t="s">
        <v>8</v>
      </c>
      <c r="U31" s="44"/>
      <c r="V31" s="53" t="s">
        <v>9</v>
      </c>
    </row>
    <row r="32" spans="2:31" x14ac:dyDescent="0.25">
      <c r="B32" s="54"/>
      <c r="C32" s="50"/>
      <c r="D32" s="102" t="s">
        <v>8</v>
      </c>
      <c r="E32" s="105"/>
      <c r="F32" s="105"/>
      <c r="G32" s="105" t="s">
        <v>65</v>
      </c>
      <c r="H32" s="66"/>
      <c r="J32" s="4"/>
      <c r="K32" s="4"/>
      <c r="L32" s="34"/>
      <c r="M32" s="3"/>
      <c r="O32" s="15" t="s">
        <v>5</v>
      </c>
      <c r="P32" s="69">
        <v>4.0410000000000004</v>
      </c>
      <c r="Q32" s="73"/>
      <c r="R32" s="19">
        <f>P32*R$23</f>
        <v>2.86911</v>
      </c>
      <c r="T32" s="15" t="s">
        <v>5</v>
      </c>
      <c r="U32" s="34"/>
      <c r="V32" s="19">
        <f>(R24+R32)/2</f>
        <v>2.6916099999999998</v>
      </c>
    </row>
    <row r="33" spans="2:22" x14ac:dyDescent="0.25">
      <c r="B33" s="23"/>
      <c r="C33" s="25"/>
      <c r="D33" s="48" t="s">
        <v>0</v>
      </c>
      <c r="E33" s="83" t="s">
        <v>68</v>
      </c>
      <c r="F33" s="83" t="s">
        <v>67</v>
      </c>
      <c r="G33" s="83" t="s">
        <v>1</v>
      </c>
      <c r="H33" s="106"/>
      <c r="J33" s="61" t="s">
        <v>31</v>
      </c>
      <c r="K33" s="43"/>
      <c r="L33" s="62"/>
      <c r="M33" s="51"/>
      <c r="O33" s="15" t="s">
        <v>13</v>
      </c>
      <c r="P33" s="69">
        <v>4.1059999999999999</v>
      </c>
      <c r="Q33" s="73">
        <f>P33/P32</f>
        <v>1.0160851274437019</v>
      </c>
      <c r="R33" s="19">
        <f t="shared" ref="R33:R36" si="7">P33*R$23</f>
        <v>2.91526</v>
      </c>
      <c r="T33" s="15" t="s">
        <v>13</v>
      </c>
      <c r="U33" s="34"/>
      <c r="V33" s="19">
        <f>(R25+R33)/2</f>
        <v>2.7420200000000001</v>
      </c>
    </row>
    <row r="34" spans="2:22" x14ac:dyDescent="0.25">
      <c r="B34" s="23" t="s">
        <v>17</v>
      </c>
      <c r="C34" s="3" t="s">
        <v>4</v>
      </c>
      <c r="D34" s="14">
        <v>1.7829999999999999</v>
      </c>
      <c r="E34" s="81">
        <f>$V$17</f>
        <v>1.0850694444444444</v>
      </c>
      <c r="F34" s="81">
        <f>$V$19</f>
        <v>1.41</v>
      </c>
      <c r="G34" s="107">
        <f>D34*E34*F34</f>
        <v>2.7278971354166663</v>
      </c>
      <c r="H34" s="108" t="s">
        <v>39</v>
      </c>
      <c r="J34" s="31" t="s">
        <v>4</v>
      </c>
      <c r="K34" s="78">
        <v>1.7829999999999999</v>
      </c>
      <c r="L34" s="115" t="s">
        <v>79</v>
      </c>
      <c r="M34" s="11"/>
      <c r="N34" s="3"/>
      <c r="O34" s="76" t="s">
        <v>4</v>
      </c>
      <c r="P34" s="71">
        <v>4.1689999999999996</v>
      </c>
      <c r="Q34" s="75">
        <f t="shared" ref="Q34:Q36" si="8">P34/P33</f>
        <v>1.0153433999025816</v>
      </c>
      <c r="R34" s="77">
        <f t="shared" si="7"/>
        <v>2.9599899999999995</v>
      </c>
      <c r="T34" s="76" t="s">
        <v>4</v>
      </c>
      <c r="U34" s="38"/>
      <c r="V34" s="77">
        <f>(R26+R34)/2</f>
        <v>2.7899449999999995</v>
      </c>
    </row>
    <row r="35" spans="2:22" x14ac:dyDescent="0.25">
      <c r="B35" s="23" t="s">
        <v>41</v>
      </c>
      <c r="C35" s="3" t="s">
        <v>18</v>
      </c>
      <c r="D35" s="18">
        <v>4.8</v>
      </c>
      <c r="E35" s="81">
        <f>$V$17</f>
        <v>1.0850694444444444</v>
      </c>
      <c r="F35" s="81">
        <f>$V$19</f>
        <v>1.41</v>
      </c>
      <c r="G35" s="109">
        <f>D35*E35*F35</f>
        <v>7.3437499999999991</v>
      </c>
      <c r="H35" s="110"/>
      <c r="J35" s="120" t="s">
        <v>33</v>
      </c>
      <c r="K35" s="18">
        <v>1.77</v>
      </c>
      <c r="L35" s="115" t="s">
        <v>80</v>
      </c>
      <c r="M35" s="11"/>
      <c r="N35" s="3"/>
      <c r="O35" s="15" t="s">
        <v>15</v>
      </c>
      <c r="P35" s="69">
        <v>4.2300000000000004</v>
      </c>
      <c r="Q35" s="73">
        <f t="shared" si="8"/>
        <v>1.0146318061885347</v>
      </c>
      <c r="R35" s="19">
        <f t="shared" si="7"/>
        <v>3.0033000000000003</v>
      </c>
      <c r="T35" s="15" t="s">
        <v>15</v>
      </c>
      <c r="U35" s="34"/>
      <c r="V35" s="19">
        <f>(R27+R35)/2</f>
        <v>2.8357400000000004</v>
      </c>
    </row>
    <row r="36" spans="2:22" x14ac:dyDescent="0.25">
      <c r="B36" s="23"/>
      <c r="C36" s="3"/>
      <c r="D36" s="36">
        <f>SUM(D34:D35)</f>
        <v>6.5830000000000002</v>
      </c>
      <c r="E36" s="82"/>
      <c r="F36" s="81"/>
      <c r="G36" s="82">
        <f>SUM(G34:G35)</f>
        <v>10.071647135416665</v>
      </c>
      <c r="H36" s="108" t="s">
        <v>40</v>
      </c>
      <c r="J36" s="31"/>
      <c r="K36" s="36">
        <f>SUM(K34:K35)</f>
        <v>3.5529999999999999</v>
      </c>
      <c r="L36" s="82"/>
      <c r="M36" s="11"/>
      <c r="N36" s="3"/>
      <c r="O36" s="22" t="s">
        <v>16</v>
      </c>
      <c r="P36" s="70">
        <v>4.29</v>
      </c>
      <c r="Q36" s="74">
        <f t="shared" si="8"/>
        <v>1.0141843971631204</v>
      </c>
      <c r="R36" s="30">
        <f t="shared" si="7"/>
        <v>3.0459000000000001</v>
      </c>
      <c r="T36" s="22" t="s">
        <v>16</v>
      </c>
      <c r="U36" s="21"/>
      <c r="V36" s="30">
        <f>(R28+R36)/2</f>
        <v>2.880115</v>
      </c>
    </row>
    <row r="37" spans="2:22" x14ac:dyDescent="0.25">
      <c r="B37" s="10"/>
      <c r="C37" s="3"/>
      <c r="D37" s="3"/>
      <c r="E37" s="65"/>
      <c r="F37" s="65"/>
      <c r="G37" s="84"/>
      <c r="H37" s="103"/>
      <c r="J37" s="31"/>
      <c r="K37" s="3"/>
      <c r="L37" s="65"/>
      <c r="M37" s="11"/>
      <c r="N37" s="3"/>
    </row>
    <row r="38" spans="2:22" x14ac:dyDescent="0.25">
      <c r="B38" s="23"/>
      <c r="C38" s="25"/>
      <c r="D38" s="48" t="s">
        <v>0</v>
      </c>
      <c r="E38" s="83" t="s">
        <v>68</v>
      </c>
      <c r="F38" s="83" t="s">
        <v>67</v>
      </c>
      <c r="G38" s="83" t="s">
        <v>1</v>
      </c>
      <c r="H38" s="106"/>
      <c r="J38" s="120" t="s">
        <v>16</v>
      </c>
      <c r="K38" s="78">
        <v>2.0529999999999999</v>
      </c>
      <c r="L38" s="115" t="s">
        <v>79</v>
      </c>
      <c r="M38" s="11"/>
      <c r="N38" s="3"/>
      <c r="O38" s="42" t="s">
        <v>17</v>
      </c>
      <c r="P38" s="43"/>
      <c r="Q38" s="43"/>
      <c r="R38" s="56"/>
    </row>
    <row r="39" spans="2:22" x14ac:dyDescent="0.25">
      <c r="B39" s="23"/>
      <c r="C39" s="3" t="s">
        <v>4</v>
      </c>
      <c r="D39" s="14">
        <v>1.7829999999999999</v>
      </c>
      <c r="E39" s="81">
        <f>$V$17</f>
        <v>1.0850694444444444</v>
      </c>
      <c r="F39" s="81">
        <f>$V$19</f>
        <v>1.41</v>
      </c>
      <c r="G39" s="107">
        <f>D39*E39*F39</f>
        <v>2.7278971354166663</v>
      </c>
      <c r="H39" s="108" t="s">
        <v>39</v>
      </c>
      <c r="J39" s="120" t="s">
        <v>32</v>
      </c>
      <c r="K39" s="18">
        <v>1.54</v>
      </c>
      <c r="L39" s="115" t="s">
        <v>80</v>
      </c>
      <c r="M39" s="11"/>
      <c r="N39" s="3"/>
      <c r="O39" s="52" t="s">
        <v>8</v>
      </c>
      <c r="P39" s="44" t="s">
        <v>9</v>
      </c>
      <c r="Q39" s="45" t="s">
        <v>10</v>
      </c>
      <c r="R39" s="53"/>
    </row>
    <row r="40" spans="2:22" x14ac:dyDescent="0.25">
      <c r="B40" s="23"/>
      <c r="C40" s="3" t="s">
        <v>20</v>
      </c>
      <c r="D40" s="18">
        <v>2.4</v>
      </c>
      <c r="E40" s="81">
        <f>$V$17</f>
        <v>1.0850694444444444</v>
      </c>
      <c r="F40" s="81">
        <f>$V$19</f>
        <v>1.41</v>
      </c>
      <c r="G40" s="109">
        <f>D40*E40*F40</f>
        <v>3.6718749999999996</v>
      </c>
      <c r="H40" s="110"/>
      <c r="J40" s="31"/>
      <c r="K40" s="36">
        <f>SUM(K38:K39)</f>
        <v>3.593</v>
      </c>
      <c r="L40" s="82"/>
      <c r="M40" s="11"/>
      <c r="N40" s="3"/>
      <c r="O40" s="15" t="s">
        <v>4</v>
      </c>
      <c r="P40" s="14">
        <v>1.7829999999999999</v>
      </c>
      <c r="Q40" s="73"/>
      <c r="R40" s="29"/>
    </row>
    <row r="41" spans="2:22" x14ac:dyDescent="0.25">
      <c r="B41" s="23"/>
      <c r="C41" s="3"/>
      <c r="D41" s="36">
        <f>SUM(D39:D40)</f>
        <v>4.1829999999999998</v>
      </c>
      <c r="E41" s="82"/>
      <c r="F41" s="81"/>
      <c r="G41" s="82">
        <f>SUM(G39:G40)</f>
        <v>6.3997721354166659</v>
      </c>
      <c r="H41" s="108" t="s">
        <v>40</v>
      </c>
      <c r="J41" s="31"/>
      <c r="K41" s="3"/>
      <c r="L41" s="65"/>
      <c r="M41" s="11"/>
      <c r="N41" s="3"/>
      <c r="O41" s="15" t="s">
        <v>15</v>
      </c>
      <c r="P41" s="14">
        <v>1.919</v>
      </c>
      <c r="Q41" s="73">
        <f t="shared" ref="Q41:Q49" si="9">P41/P40</f>
        <v>1.0762759394279304</v>
      </c>
      <c r="R41" s="29"/>
    </row>
    <row r="42" spans="2:22" x14ac:dyDescent="0.25">
      <c r="B42" s="10"/>
      <c r="C42" s="3"/>
      <c r="D42" s="3"/>
      <c r="E42" s="65"/>
      <c r="F42" s="65"/>
      <c r="G42" s="84"/>
      <c r="H42" s="103"/>
      <c r="J42" s="120" t="s">
        <v>19</v>
      </c>
      <c r="K42" s="78">
        <v>2.31</v>
      </c>
      <c r="L42" s="115" t="s">
        <v>79</v>
      </c>
      <c r="M42" s="11"/>
      <c r="N42" s="3"/>
      <c r="O42" s="76" t="s">
        <v>16</v>
      </c>
      <c r="P42" s="39">
        <v>2.0529999999999999</v>
      </c>
      <c r="Q42" s="73">
        <f t="shared" si="9"/>
        <v>1.0698280354351224</v>
      </c>
      <c r="R42" s="29"/>
    </row>
    <row r="43" spans="2:22" x14ac:dyDescent="0.25">
      <c r="B43" s="23"/>
      <c r="C43" s="25"/>
      <c r="D43" s="48" t="s">
        <v>0</v>
      </c>
      <c r="E43" s="83" t="s">
        <v>68</v>
      </c>
      <c r="F43" s="83" t="s">
        <v>67</v>
      </c>
      <c r="G43" s="83" t="s">
        <v>1</v>
      </c>
      <c r="H43" s="106"/>
      <c r="J43" s="120" t="s">
        <v>38</v>
      </c>
      <c r="K43" s="18">
        <v>1.33</v>
      </c>
      <c r="L43" s="115" t="s">
        <v>80</v>
      </c>
      <c r="M43" s="11"/>
      <c r="N43" s="3"/>
      <c r="O43" s="76" t="s">
        <v>21</v>
      </c>
      <c r="P43" s="39">
        <v>2.1829999999999998</v>
      </c>
      <c r="Q43" s="73">
        <f t="shared" si="9"/>
        <v>1.0633219678519239</v>
      </c>
      <c r="R43" s="29"/>
    </row>
    <row r="44" spans="2:22" x14ac:dyDescent="0.25">
      <c r="B44" s="23"/>
      <c r="C44" s="5" t="s">
        <v>19</v>
      </c>
      <c r="D44" s="14">
        <v>2.31</v>
      </c>
      <c r="E44" s="81">
        <f>$V$17</f>
        <v>1.0850694444444444</v>
      </c>
      <c r="F44" s="81">
        <f>$V$19</f>
        <v>1.41</v>
      </c>
      <c r="G44" s="107">
        <f>D44*E44*F44</f>
        <v>3.5341796874999996</v>
      </c>
      <c r="H44" s="108" t="s">
        <v>39</v>
      </c>
      <c r="J44" s="31"/>
      <c r="K44" s="36">
        <f>SUM(K42:K43)</f>
        <v>3.64</v>
      </c>
      <c r="L44" s="82"/>
      <c r="M44" s="11"/>
      <c r="N44" s="3"/>
      <c r="O44" s="15" t="s">
        <v>19</v>
      </c>
      <c r="P44" s="14">
        <v>2.31</v>
      </c>
      <c r="Q44" s="73">
        <f t="shared" si="9"/>
        <v>1.0581768208886855</v>
      </c>
      <c r="R44" s="29"/>
    </row>
    <row r="45" spans="2:22" x14ac:dyDescent="0.25">
      <c r="B45" s="23"/>
      <c r="C45" s="3" t="s">
        <v>18</v>
      </c>
      <c r="D45" s="18">
        <v>4.8</v>
      </c>
      <c r="E45" s="81">
        <f>$V$17</f>
        <v>1.0850694444444444</v>
      </c>
      <c r="F45" s="81">
        <f>$V$19</f>
        <v>1.41</v>
      </c>
      <c r="G45" s="109">
        <f>D45*E45*F45</f>
        <v>7.3437499999999991</v>
      </c>
      <c r="H45" s="110"/>
      <c r="J45" s="31"/>
      <c r="K45" s="3"/>
      <c r="L45" s="65"/>
      <c r="M45" s="11"/>
      <c r="N45" s="3"/>
      <c r="O45" s="15" t="s">
        <v>22</v>
      </c>
      <c r="P45" s="14">
        <v>2.4369999999999998</v>
      </c>
      <c r="Q45" s="73">
        <f t="shared" si="9"/>
        <v>1.0549783549783549</v>
      </c>
      <c r="R45" s="29"/>
    </row>
    <row r="46" spans="2:22" x14ac:dyDescent="0.25">
      <c r="B46" s="23"/>
      <c r="C46" s="3"/>
      <c r="D46" s="36">
        <f>SUM(D44:D45)</f>
        <v>7.1099999999999994</v>
      </c>
      <c r="E46" s="82"/>
      <c r="F46" s="81"/>
      <c r="G46" s="82">
        <f>SUM(G44:G45)</f>
        <v>10.877929687499998</v>
      </c>
      <c r="H46" s="108" t="s">
        <v>40</v>
      </c>
      <c r="J46" s="120" t="s">
        <v>34</v>
      </c>
      <c r="K46" s="78">
        <v>2.5579999999999998</v>
      </c>
      <c r="L46" s="115" t="s">
        <v>79</v>
      </c>
      <c r="M46" s="11"/>
      <c r="O46" s="15" t="s">
        <v>34</v>
      </c>
      <c r="P46" s="14">
        <v>2.5579999999999998</v>
      </c>
      <c r="Q46" s="73">
        <f t="shared" si="9"/>
        <v>1.0496512105047189</v>
      </c>
      <c r="R46" s="29"/>
    </row>
    <row r="47" spans="2:22" x14ac:dyDescent="0.25">
      <c r="B47" s="10"/>
      <c r="C47" s="3"/>
      <c r="D47" s="3"/>
      <c r="E47" s="65"/>
      <c r="F47" s="65"/>
      <c r="G47" s="84"/>
      <c r="H47" s="103"/>
      <c r="J47" s="120" t="s">
        <v>11</v>
      </c>
      <c r="K47" s="18">
        <v>1.1299999999999999</v>
      </c>
      <c r="L47" s="115" t="s">
        <v>80</v>
      </c>
      <c r="M47" s="11"/>
      <c r="O47" s="15" t="s">
        <v>35</v>
      </c>
      <c r="P47" s="14">
        <v>2.6760000000000002</v>
      </c>
      <c r="Q47" s="73">
        <f t="shared" si="9"/>
        <v>1.0461297888975765</v>
      </c>
      <c r="R47" s="29"/>
    </row>
    <row r="48" spans="2:22" x14ac:dyDescent="0.25">
      <c r="B48" s="23"/>
      <c r="C48" s="25"/>
      <c r="D48" s="48" t="s">
        <v>0</v>
      </c>
      <c r="E48" s="83" t="s">
        <v>68</v>
      </c>
      <c r="F48" s="83" t="s">
        <v>67</v>
      </c>
      <c r="G48" s="83" t="s">
        <v>1</v>
      </c>
      <c r="H48" s="106"/>
      <c r="J48" s="31"/>
      <c r="K48" s="36">
        <f>SUM(K46:K47)</f>
        <v>3.6879999999999997</v>
      </c>
      <c r="L48" s="82"/>
      <c r="M48" s="11"/>
      <c r="O48" s="15" t="s">
        <v>36</v>
      </c>
      <c r="P48" s="78">
        <v>2.7909999999999999</v>
      </c>
      <c r="Q48" s="73">
        <f t="shared" si="9"/>
        <v>1.0429745889387143</v>
      </c>
      <c r="R48" s="29"/>
    </row>
    <row r="49" spans="2:18" x14ac:dyDescent="0.25">
      <c r="B49" s="23"/>
      <c r="C49" s="5" t="s">
        <v>36</v>
      </c>
      <c r="D49" s="14">
        <v>2.31</v>
      </c>
      <c r="E49" s="81">
        <f>$V$17</f>
        <v>1.0850694444444444</v>
      </c>
      <c r="F49" s="81">
        <f>$V$19</f>
        <v>1.41</v>
      </c>
      <c r="G49" s="107">
        <f>D49*E49*F49</f>
        <v>3.5341796874999996</v>
      </c>
      <c r="H49" s="108" t="s">
        <v>39</v>
      </c>
      <c r="J49" s="31"/>
      <c r="K49" s="3"/>
      <c r="L49" s="65"/>
      <c r="M49" s="11"/>
      <c r="O49" s="15" t="s">
        <v>37</v>
      </c>
      <c r="P49" s="39">
        <v>2.903</v>
      </c>
      <c r="Q49" s="73">
        <f t="shared" si="9"/>
        <v>1.0401289860265139</v>
      </c>
      <c r="R49" s="29"/>
    </row>
    <row r="50" spans="2:18" x14ac:dyDescent="0.25">
      <c r="B50" s="23"/>
      <c r="C50" s="3" t="s">
        <v>20</v>
      </c>
      <c r="D50" s="18">
        <v>2.4</v>
      </c>
      <c r="E50" s="81">
        <f>$V$17</f>
        <v>1.0850694444444444</v>
      </c>
      <c r="F50" s="81">
        <f>$V$19</f>
        <v>1.41</v>
      </c>
      <c r="G50" s="109">
        <f>D50*E50*F50</f>
        <v>3.6718749999999996</v>
      </c>
      <c r="H50" s="110"/>
      <c r="J50" s="120" t="s">
        <v>36</v>
      </c>
      <c r="K50" s="78">
        <v>2.7909999999999999</v>
      </c>
      <c r="L50" s="115" t="s">
        <v>79</v>
      </c>
      <c r="M50" s="11"/>
      <c r="N50" s="3"/>
      <c r="O50" s="22" t="s">
        <v>42</v>
      </c>
      <c r="P50" s="67">
        <v>3.012</v>
      </c>
      <c r="Q50" s="74">
        <f>P50/P49</f>
        <v>1.0375473647950395</v>
      </c>
      <c r="R50" s="8"/>
    </row>
    <row r="51" spans="2:18" x14ac:dyDescent="0.25">
      <c r="B51" s="47"/>
      <c r="C51" s="13"/>
      <c r="D51" s="37">
        <f>SUM(D49:D50)</f>
        <v>4.71</v>
      </c>
      <c r="E51" s="111"/>
      <c r="F51" s="64"/>
      <c r="G51" s="111">
        <f>SUM(G49:G50)</f>
        <v>7.2060546874999991</v>
      </c>
      <c r="H51" s="112" t="s">
        <v>40</v>
      </c>
      <c r="J51" s="120" t="s">
        <v>81</v>
      </c>
      <c r="K51" s="18">
        <v>0.95</v>
      </c>
      <c r="L51" s="115" t="s">
        <v>80</v>
      </c>
      <c r="M51" s="11"/>
      <c r="N51" s="3"/>
    </row>
    <row r="52" spans="2:18" x14ac:dyDescent="0.25">
      <c r="B52" s="3"/>
      <c r="C52" s="3"/>
      <c r="D52" s="3"/>
      <c r="E52" s="3"/>
      <c r="F52" s="3"/>
      <c r="G52" s="3"/>
      <c r="H52" s="3"/>
      <c r="J52" s="32"/>
      <c r="K52" s="37">
        <f>SUM(K50:K51)</f>
        <v>3.7409999999999997</v>
      </c>
      <c r="L52" s="111"/>
      <c r="M52" s="8"/>
      <c r="N52" s="3"/>
    </row>
    <row r="53" spans="2:18" x14ac:dyDescent="0.25">
      <c r="B53" s="3"/>
      <c r="C53" s="3"/>
      <c r="D53" s="3"/>
      <c r="E53" s="3"/>
      <c r="F53" s="3"/>
      <c r="G53" s="3"/>
      <c r="H53" s="3"/>
      <c r="J53" s="16"/>
      <c r="L53" s="95"/>
      <c r="N53" s="3"/>
      <c r="O53" s="4"/>
      <c r="P53" s="4"/>
      <c r="Q53" s="46"/>
    </row>
    <row r="54" spans="2:18" x14ac:dyDescent="0.25">
      <c r="O54" s="4"/>
      <c r="P54" s="4"/>
      <c r="Q54" s="46"/>
    </row>
  </sheetData>
  <pageMargins left="0.45" right="0.45" top="0.75" bottom="0.75" header="0.3" footer="0.3"/>
  <pageSetup scale="6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E56"/>
  <sheetViews>
    <sheetView showGridLines="0" tabSelected="1" zoomScale="80" zoomScaleNormal="80" workbookViewId="0"/>
  </sheetViews>
  <sheetFormatPr defaultRowHeight="15" x14ac:dyDescent="0.25"/>
  <cols>
    <col min="1" max="2" width="8.7109375" customWidth="1"/>
    <col min="3" max="3" width="8.7109375" style="1" customWidth="1"/>
    <col min="4" max="4" width="8.7109375" customWidth="1"/>
    <col min="5" max="5" width="9.85546875" customWidth="1"/>
    <col min="6" max="6" width="8.7109375" style="1" customWidth="1"/>
    <col min="7" max="8" width="8.7109375" customWidth="1"/>
    <col min="9" max="9" width="8.7109375" style="1" customWidth="1"/>
    <col min="10" max="29" width="8.7109375" customWidth="1"/>
  </cols>
  <sheetData>
    <row r="1" spans="2:31" x14ac:dyDescent="0.25">
      <c r="B1" s="1"/>
      <c r="D1" s="1"/>
      <c r="E1" s="1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31" s="1" customFormat="1" x14ac:dyDescent="0.25">
      <c r="B2" s="54" t="s">
        <v>29</v>
      </c>
      <c r="C2" s="50"/>
      <c r="D2" s="242" t="s">
        <v>174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93" t="s">
        <v>83</v>
      </c>
      <c r="S2" s="50"/>
      <c r="T2" s="51"/>
      <c r="W2" s="3"/>
    </row>
    <row r="3" spans="2:31" s="1" customFormat="1" x14ac:dyDescent="0.25">
      <c r="B3" s="120" t="s">
        <v>148</v>
      </c>
      <c r="C3" s="180"/>
      <c r="D3" s="18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14"/>
      <c r="S3" s="6"/>
      <c r="T3" s="35"/>
      <c r="W3" s="3"/>
    </row>
    <row r="4" spans="2:31" s="1" customFormat="1" x14ac:dyDescent="0.25">
      <c r="B4" s="120" t="s">
        <v>149</v>
      </c>
      <c r="C4" s="180"/>
      <c r="D4" s="18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4"/>
      <c r="S4" s="6"/>
      <c r="T4" s="35"/>
      <c r="W4" s="3"/>
    </row>
    <row r="5" spans="2:31" s="1" customFormat="1" x14ac:dyDescent="0.25">
      <c r="B5" s="120" t="s">
        <v>129</v>
      </c>
      <c r="C5" s="180"/>
      <c r="D5" s="18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14"/>
      <c r="S5" s="6"/>
      <c r="T5" s="35"/>
      <c r="W5" s="3"/>
    </row>
    <row r="6" spans="2:31" s="1" customFormat="1" x14ac:dyDescent="0.25">
      <c r="B6" s="243" t="s">
        <v>150</v>
      </c>
      <c r="C6" s="158"/>
      <c r="D6" s="158"/>
      <c r="E6" s="13"/>
      <c r="F6" s="13"/>
      <c r="G6" s="13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5"/>
      <c r="W6" s="3"/>
    </row>
    <row r="7" spans="2:31" s="1" customFormat="1" x14ac:dyDescent="0.25">
      <c r="B7" s="49" t="s">
        <v>151</v>
      </c>
      <c r="C7" s="149"/>
      <c r="D7" s="50"/>
      <c r="E7" s="50"/>
      <c r="F7" s="50"/>
      <c r="G7" s="50"/>
      <c r="H7" s="50"/>
      <c r="I7" s="50"/>
      <c r="J7" s="51"/>
      <c r="K7" s="49" t="s">
        <v>139</v>
      </c>
      <c r="L7" s="50"/>
      <c r="M7" s="51"/>
      <c r="N7" s="49" t="s">
        <v>135</v>
      </c>
      <c r="O7" s="50"/>
      <c r="P7" s="50"/>
      <c r="Q7" s="51"/>
      <c r="R7" s="49" t="s">
        <v>140</v>
      </c>
      <c r="S7" s="50"/>
      <c r="T7" s="51"/>
    </row>
    <row r="8" spans="2:31" s="1" customFormat="1" x14ac:dyDescent="0.25">
      <c r="B8" s="194" t="s">
        <v>152</v>
      </c>
      <c r="C8" s="169"/>
      <c r="D8" s="25"/>
      <c r="E8" s="25"/>
      <c r="F8" s="25"/>
      <c r="G8" s="25"/>
      <c r="H8" s="25"/>
      <c r="I8" s="25"/>
      <c r="J8" s="26"/>
      <c r="K8" s="194"/>
      <c r="L8" s="25"/>
      <c r="M8" s="26"/>
      <c r="N8" s="194"/>
      <c r="O8" s="25"/>
      <c r="P8" s="25"/>
      <c r="Q8" s="26"/>
      <c r="R8" s="23"/>
      <c r="S8" s="25"/>
      <c r="T8" s="57" t="s">
        <v>0</v>
      </c>
    </row>
    <row r="9" spans="2:31" s="1" customFormat="1" x14ac:dyDescent="0.25">
      <c r="B9" s="229" t="s">
        <v>44</v>
      </c>
      <c r="C9" s="230"/>
      <c r="D9" s="230" t="s">
        <v>45</v>
      </c>
      <c r="E9" s="230" t="s">
        <v>46</v>
      </c>
      <c r="F9" s="230"/>
      <c r="G9" s="230" t="s">
        <v>47</v>
      </c>
      <c r="H9" s="230" t="s">
        <v>48</v>
      </c>
      <c r="I9" s="230" t="s">
        <v>53</v>
      </c>
      <c r="J9" s="182"/>
      <c r="K9" s="166"/>
      <c r="L9" s="166"/>
      <c r="M9" s="182"/>
      <c r="N9" s="199" t="s">
        <v>165</v>
      </c>
      <c r="O9" s="166"/>
      <c r="P9" s="166"/>
      <c r="Q9" s="182"/>
      <c r="R9" s="10" t="s">
        <v>18</v>
      </c>
      <c r="S9" s="173" t="s">
        <v>27</v>
      </c>
      <c r="T9" s="29">
        <f>8*0.2</f>
        <v>1.6</v>
      </c>
      <c r="AE9" s="3"/>
    </row>
    <row r="10" spans="2:31" s="1" customFormat="1" x14ac:dyDescent="0.25">
      <c r="B10" s="161" t="s">
        <v>99</v>
      </c>
      <c r="C10" s="181"/>
      <c r="D10" s="14">
        <v>24</v>
      </c>
      <c r="E10" s="14">
        <v>12.5</v>
      </c>
      <c r="F10" s="4"/>
      <c r="G10" s="154">
        <f>(D10/2)^2*3.1416</f>
        <v>452.3904</v>
      </c>
      <c r="H10" s="154">
        <f>(E10/2)^2*3.1416</f>
        <v>122.71875</v>
      </c>
      <c r="I10" s="179">
        <f>G10-H10</f>
        <v>329.67165</v>
      </c>
      <c r="J10" s="11"/>
      <c r="K10" s="191">
        <v>1.2</v>
      </c>
      <c r="L10" s="5" t="s">
        <v>173</v>
      </c>
      <c r="M10" s="11"/>
      <c r="N10" s="198" t="s">
        <v>114</v>
      </c>
      <c r="O10" s="204">
        <v>1.41</v>
      </c>
      <c r="P10" s="208" t="s">
        <v>123</v>
      </c>
      <c r="Q10" s="11"/>
      <c r="R10" s="10"/>
      <c r="S10" s="173" t="s">
        <v>26</v>
      </c>
      <c r="T10" s="205">
        <f>T9*3</f>
        <v>4.8000000000000007</v>
      </c>
      <c r="U10" s="3"/>
      <c r="V10" s="3"/>
      <c r="W10" s="3"/>
      <c r="AE10" s="3"/>
    </row>
    <row r="11" spans="2:31" s="1" customFormat="1" x14ac:dyDescent="0.25">
      <c r="B11" s="162" t="s">
        <v>100</v>
      </c>
      <c r="C11" s="178"/>
      <c r="D11" s="39">
        <v>34</v>
      </c>
      <c r="E11" s="39">
        <v>12</v>
      </c>
      <c r="F11" s="41"/>
      <c r="G11" s="154">
        <f>(D11/2)^2*3.1416</f>
        <v>907.92240000000004</v>
      </c>
      <c r="H11" s="154">
        <f>(E11/2)^2*3.1416</f>
        <v>113.0976</v>
      </c>
      <c r="I11" s="179">
        <f>G11-H11</f>
        <v>794.8248000000001</v>
      </c>
      <c r="J11" s="11"/>
      <c r="K11" s="192">
        <f>(K10/2)^2*3.1416</f>
        <v>1.130976</v>
      </c>
      <c r="L11" s="3" t="s">
        <v>96</v>
      </c>
      <c r="M11" s="11"/>
      <c r="N11" s="199" t="s">
        <v>115</v>
      </c>
      <c r="O11" s="204">
        <v>0.71</v>
      </c>
      <c r="P11" s="208" t="s">
        <v>124</v>
      </c>
      <c r="Q11" s="11"/>
      <c r="R11" s="10"/>
      <c r="S11" s="207"/>
      <c r="T11" s="11"/>
      <c r="U11" s="3"/>
      <c r="V11" s="3"/>
      <c r="W11" s="3"/>
      <c r="AE11" s="3"/>
    </row>
    <row r="12" spans="2:31" s="1" customFormat="1" x14ac:dyDescent="0.25">
      <c r="B12" s="161" t="s">
        <v>154</v>
      </c>
      <c r="C12" s="181"/>
      <c r="D12" s="203">
        <f>I11/I10</f>
        <v>2.4109589041095894</v>
      </c>
      <c r="E12" s="5" t="s">
        <v>155</v>
      </c>
      <c r="F12" s="3"/>
      <c r="G12" s="3"/>
      <c r="H12" s="3"/>
      <c r="I12" s="94"/>
      <c r="J12" s="11"/>
      <c r="K12" s="191">
        <v>2.14</v>
      </c>
      <c r="L12" s="5" t="s">
        <v>173</v>
      </c>
      <c r="M12" s="11"/>
      <c r="N12" s="10"/>
      <c r="O12" s="3"/>
      <c r="P12" s="3"/>
      <c r="Q12" s="11"/>
      <c r="R12" s="17" t="s">
        <v>20</v>
      </c>
      <c r="S12" s="173" t="s">
        <v>28</v>
      </c>
      <c r="T12" s="29">
        <f>8*0.1</f>
        <v>0.8</v>
      </c>
      <c r="U12" s="3"/>
      <c r="V12" s="3"/>
      <c r="W12" s="3"/>
      <c r="AE12" s="3"/>
    </row>
    <row r="13" spans="2:31" s="1" customFormat="1" x14ac:dyDescent="0.25">
      <c r="B13" s="163" t="s">
        <v>153</v>
      </c>
      <c r="C13" s="188"/>
      <c r="D13" s="246">
        <f>I10/I11</f>
        <v>0.41477272727272724</v>
      </c>
      <c r="E13" s="158" t="s">
        <v>156</v>
      </c>
      <c r="F13" s="13"/>
      <c r="G13" s="13"/>
      <c r="H13" s="127"/>
      <c r="I13" s="247"/>
      <c r="J13" s="8"/>
      <c r="K13" s="192">
        <f>(K12/2)^2*3.1416</f>
        <v>3.5968178399999999</v>
      </c>
      <c r="L13" s="3" t="s">
        <v>96</v>
      </c>
      <c r="M13" s="8"/>
      <c r="N13" s="12"/>
      <c r="O13" s="13"/>
      <c r="P13" s="13"/>
      <c r="Q13" s="8"/>
      <c r="R13" s="243"/>
      <c r="S13" s="248" t="s">
        <v>26</v>
      </c>
      <c r="T13" s="206">
        <f>T12*3</f>
        <v>2.4000000000000004</v>
      </c>
      <c r="U13" s="3"/>
      <c r="V13" s="3"/>
      <c r="W13" s="3"/>
      <c r="AE13" s="3"/>
    </row>
    <row r="14" spans="2:31" s="1" customFormat="1" x14ac:dyDescent="0.25">
      <c r="B14" s="49" t="s">
        <v>137</v>
      </c>
      <c r="C14" s="1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9"/>
      <c r="O14" s="9"/>
      <c r="P14" s="9"/>
      <c r="Q14" s="9"/>
      <c r="R14" s="9"/>
      <c r="S14" s="9"/>
      <c r="T14" s="7"/>
      <c r="U14" s="3"/>
      <c r="V14" s="173"/>
      <c r="W14" s="3"/>
      <c r="AE14" s="3"/>
    </row>
    <row r="15" spans="2:31" s="1" customFormat="1" x14ac:dyDescent="0.25">
      <c r="B15" s="194" t="s">
        <v>142</v>
      </c>
      <c r="C15" s="16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"/>
      <c r="O15" s="3"/>
      <c r="P15" s="3"/>
      <c r="Q15" s="3"/>
      <c r="R15" s="3"/>
      <c r="S15" s="3"/>
      <c r="T15" s="11"/>
      <c r="U15" s="3"/>
      <c r="V15" s="173"/>
      <c r="W15" s="3"/>
      <c r="AE15" s="3"/>
    </row>
    <row r="16" spans="2:31" s="1" customFormat="1" x14ac:dyDescent="0.25">
      <c r="B16" s="186" t="s">
        <v>101</v>
      </c>
      <c r="C16" s="171"/>
      <c r="D16" s="166"/>
      <c r="E16" s="168" t="s">
        <v>0</v>
      </c>
      <c r="F16" s="168" t="s">
        <v>98</v>
      </c>
      <c r="G16" s="168" t="s">
        <v>67</v>
      </c>
      <c r="H16" s="168" t="s">
        <v>1</v>
      </c>
      <c r="I16" s="167"/>
      <c r="J16" s="3"/>
      <c r="K16" s="3"/>
      <c r="L16" s="3"/>
      <c r="M16" s="3"/>
      <c r="N16" s="3"/>
      <c r="O16" s="3"/>
      <c r="P16" s="3"/>
      <c r="Q16" s="3"/>
      <c r="R16" s="3"/>
      <c r="S16" s="3"/>
      <c r="T16" s="11"/>
      <c r="U16" s="3"/>
      <c r="V16" s="3"/>
      <c r="W16" s="3"/>
    </row>
    <row r="17" spans="2:31" s="1" customFormat="1" x14ac:dyDescent="0.25">
      <c r="B17" s="186" t="s">
        <v>157</v>
      </c>
      <c r="C17" s="171"/>
      <c r="D17" s="3" t="s">
        <v>4</v>
      </c>
      <c r="E17" s="14">
        <v>3.69</v>
      </c>
      <c r="F17" s="92">
        <f>$D$12</f>
        <v>2.4109589041095894</v>
      </c>
      <c r="G17" s="34">
        <f>$O$11</f>
        <v>0.71</v>
      </c>
      <c r="H17" s="170">
        <f>E17*F17*G17</f>
        <v>6.3164712328767134</v>
      </c>
      <c r="I17" s="164" t="s">
        <v>109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11"/>
      <c r="U17" s="3"/>
      <c r="V17" s="91"/>
      <c r="W17" s="3"/>
    </row>
    <row r="18" spans="2:31" s="1" customFormat="1" x14ac:dyDescent="0.25">
      <c r="B18" s="186" t="s">
        <v>103</v>
      </c>
      <c r="C18" s="171"/>
      <c r="D18" s="3" t="s">
        <v>11</v>
      </c>
      <c r="E18" s="18">
        <v>1.1299999999999999</v>
      </c>
      <c r="F18" s="92">
        <f>$D$12</f>
        <v>2.4109589041095894</v>
      </c>
      <c r="G18" s="34">
        <f>$O$11</f>
        <v>0.71</v>
      </c>
      <c r="H18" s="97">
        <f>E18*F18*G18</f>
        <v>1.9343123287671233</v>
      </c>
      <c r="I18" s="164" t="s">
        <v>110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11"/>
      <c r="U18" s="91"/>
      <c r="V18" s="91"/>
      <c r="W18" s="3"/>
      <c r="AE18" s="91"/>
    </row>
    <row r="19" spans="2:31" s="1" customFormat="1" x14ac:dyDescent="0.25">
      <c r="B19" s="186" t="s">
        <v>104</v>
      </c>
      <c r="C19" s="171"/>
      <c r="D19" s="3"/>
      <c r="E19" s="38">
        <f>SUM(E17:E18)</f>
        <v>4.82</v>
      </c>
      <c r="F19" s="38"/>
      <c r="G19" s="34"/>
      <c r="H19" s="176">
        <f>SUM(H17:H18)</f>
        <v>8.2507835616438374</v>
      </c>
      <c r="I19" s="164" t="s">
        <v>111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11"/>
      <c r="U19" s="3"/>
      <c r="V19" s="91"/>
      <c r="W19" s="3"/>
      <c r="AE19" s="91"/>
    </row>
    <row r="20" spans="2:31" s="1" customFormat="1" x14ac:dyDescent="0.25">
      <c r="B20" s="10"/>
      <c r="C20" s="3"/>
      <c r="D20" s="3"/>
      <c r="E20" s="6"/>
      <c r="F20" s="6"/>
      <c r="G20" s="3"/>
      <c r="H20" s="3"/>
      <c r="I20" s="165"/>
      <c r="J20" s="3"/>
      <c r="K20" s="3"/>
      <c r="L20" s="3"/>
      <c r="M20" s="3"/>
      <c r="N20" s="3"/>
      <c r="O20" s="3"/>
      <c r="P20" s="3"/>
      <c r="Q20" s="3"/>
      <c r="R20" s="3"/>
      <c r="S20" s="3"/>
      <c r="T20" s="11"/>
      <c r="U20" s="91"/>
      <c r="V20" s="91"/>
      <c r="W20" s="3"/>
      <c r="AE20" s="91"/>
    </row>
    <row r="21" spans="2:31" s="1" customFormat="1" x14ac:dyDescent="0.25">
      <c r="B21" s="187" t="s">
        <v>102</v>
      </c>
      <c r="C21" s="166"/>
      <c r="D21" s="166"/>
      <c r="E21" s="168" t="s">
        <v>0</v>
      </c>
      <c r="F21" s="168" t="s">
        <v>98</v>
      </c>
      <c r="G21" s="168" t="s">
        <v>67</v>
      </c>
      <c r="H21" s="168" t="s">
        <v>1</v>
      </c>
      <c r="I21" s="167"/>
      <c r="J21" s="3"/>
      <c r="K21" s="3"/>
      <c r="L21" s="3"/>
      <c r="M21" s="3"/>
      <c r="N21" s="3"/>
      <c r="O21" s="3"/>
      <c r="P21" s="3"/>
      <c r="Q21" s="3"/>
      <c r="R21" s="3"/>
      <c r="S21" s="3"/>
      <c r="T21" s="11"/>
      <c r="U21" s="91"/>
      <c r="V21" s="91"/>
      <c r="W21" s="3"/>
      <c r="AE21" s="91"/>
    </row>
    <row r="22" spans="2:31" s="1" customFormat="1" x14ac:dyDescent="0.25">
      <c r="B22" s="186" t="s">
        <v>157</v>
      </c>
      <c r="C22" s="171"/>
      <c r="D22" s="3" t="s">
        <v>4</v>
      </c>
      <c r="E22" s="14">
        <v>4.17</v>
      </c>
      <c r="F22" s="92">
        <f>$D$12</f>
        <v>2.4109589041095894</v>
      </c>
      <c r="G22" s="34">
        <f>$O$11</f>
        <v>0.71</v>
      </c>
      <c r="H22" s="170">
        <f>E22*F22*G22</f>
        <v>7.1381260273972602</v>
      </c>
      <c r="I22" s="164" t="s">
        <v>109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11"/>
      <c r="U22" s="91"/>
      <c r="V22" s="91"/>
      <c r="W22" s="3"/>
      <c r="AE22" s="91"/>
    </row>
    <row r="23" spans="2:31" s="1" customFormat="1" x14ac:dyDescent="0.25">
      <c r="B23" s="186" t="s">
        <v>103</v>
      </c>
      <c r="C23" s="171"/>
      <c r="D23" s="3" t="s">
        <v>11</v>
      </c>
      <c r="E23" s="18">
        <v>1.1299999999999999</v>
      </c>
      <c r="F23" s="92">
        <f>$D$12</f>
        <v>2.4109589041095894</v>
      </c>
      <c r="G23" s="34">
        <f>$O$11</f>
        <v>0.71</v>
      </c>
      <c r="H23" s="97">
        <f>E23*F23*G23</f>
        <v>1.9343123287671233</v>
      </c>
      <c r="I23" s="164" t="s">
        <v>110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11"/>
      <c r="U23" s="3"/>
      <c r="V23" s="91"/>
      <c r="W23" s="3"/>
      <c r="AE23" s="91"/>
    </row>
    <row r="24" spans="2:31" s="1" customFormat="1" x14ac:dyDescent="0.25">
      <c r="B24" s="186" t="s">
        <v>105</v>
      </c>
      <c r="C24" s="171"/>
      <c r="D24" s="3"/>
      <c r="E24" s="221">
        <f>SUM(E22:E23)</f>
        <v>5.3</v>
      </c>
      <c r="F24" s="38"/>
      <c r="G24" s="34"/>
      <c r="H24" s="177">
        <f>SUM(H22:H23)</f>
        <v>9.0724383561643833</v>
      </c>
      <c r="I24" s="164" t="s">
        <v>112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11"/>
      <c r="U24" s="91"/>
      <c r="W24" s="3"/>
      <c r="AE24" s="3"/>
    </row>
    <row r="25" spans="2:31" s="1" customFormat="1" x14ac:dyDescent="0.25">
      <c r="B25" s="49" t="s">
        <v>122</v>
      </c>
      <c r="C25" s="149"/>
      <c r="D25" s="50"/>
      <c r="E25" s="102"/>
      <c r="F25" s="105"/>
      <c r="G25" s="105"/>
      <c r="H25" s="105"/>
      <c r="I25" s="23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W25" s="88"/>
      <c r="X25" s="4"/>
      <c r="Y25" s="4"/>
      <c r="Z25" s="4"/>
      <c r="AA25" s="87"/>
      <c r="AB25" s="34"/>
      <c r="AC25" s="87"/>
      <c r="AD25" s="3"/>
      <c r="AE25" s="4"/>
    </row>
    <row r="26" spans="2:31" x14ac:dyDescent="0.25">
      <c r="B26" s="186" t="s">
        <v>166</v>
      </c>
      <c r="C26" s="171"/>
      <c r="D26" s="166"/>
      <c r="E26" s="166"/>
      <c r="F26" s="166"/>
      <c r="G26" s="166"/>
      <c r="H26" s="166"/>
      <c r="I26" s="166"/>
      <c r="J26" s="166"/>
      <c r="K26" s="166"/>
      <c r="L26" s="169" t="s">
        <v>167</v>
      </c>
      <c r="M26" s="25"/>
      <c r="N26" s="25"/>
      <c r="O26" s="25"/>
      <c r="P26" s="25"/>
      <c r="Q26" s="25"/>
      <c r="R26" s="25"/>
      <c r="S26" s="25"/>
      <c r="T26" s="26"/>
      <c r="U26" s="1"/>
      <c r="V26" s="1"/>
      <c r="W26" s="88"/>
      <c r="X26" s="4"/>
      <c r="Y26" s="4"/>
      <c r="Z26" s="4"/>
    </row>
    <row r="27" spans="2:31" x14ac:dyDescent="0.25">
      <c r="B27" s="233" t="s">
        <v>145</v>
      </c>
      <c r="C27" s="223"/>
      <c r="D27" s="234" t="s">
        <v>170</v>
      </c>
      <c r="E27" s="223"/>
      <c r="F27" s="225"/>
      <c r="G27" s="3"/>
      <c r="H27" s="3"/>
      <c r="I27" s="3"/>
      <c r="J27" s="3"/>
      <c r="K27" s="3"/>
      <c r="L27" s="166"/>
      <c r="M27" s="224" t="s">
        <v>162</v>
      </c>
      <c r="N27" s="222"/>
      <c r="O27" s="231"/>
      <c r="P27" s="222"/>
      <c r="Q27" s="224" t="s">
        <v>162</v>
      </c>
      <c r="R27" s="224" t="s">
        <v>143</v>
      </c>
      <c r="S27" s="224" t="s">
        <v>164</v>
      </c>
      <c r="T27" s="182"/>
      <c r="V27" s="1"/>
      <c r="W27" s="88"/>
      <c r="X27" s="4"/>
      <c r="Y27" s="4"/>
      <c r="Z27" s="4"/>
    </row>
    <row r="28" spans="2:31" x14ac:dyDescent="0.25">
      <c r="B28" s="235" t="s">
        <v>144</v>
      </c>
      <c r="C28" s="166"/>
      <c r="D28" s="167" t="s">
        <v>144</v>
      </c>
      <c r="E28" s="166"/>
      <c r="F28" s="227" t="s">
        <v>147</v>
      </c>
      <c r="G28" s="3"/>
      <c r="H28" s="3"/>
      <c r="I28" s="3"/>
      <c r="J28" s="3"/>
      <c r="K28" s="3"/>
      <c r="L28" s="166" t="s">
        <v>23</v>
      </c>
      <c r="M28" s="228" t="s">
        <v>0</v>
      </c>
      <c r="N28" s="236" t="s">
        <v>161</v>
      </c>
      <c r="O28" s="3"/>
      <c r="P28" s="166" t="s">
        <v>23</v>
      </c>
      <c r="Q28" s="228" t="s">
        <v>0</v>
      </c>
      <c r="R28" s="228" t="s">
        <v>0</v>
      </c>
      <c r="S28" s="228" t="s">
        <v>0</v>
      </c>
      <c r="T28" s="249" t="s">
        <v>161</v>
      </c>
      <c r="V28" s="1"/>
      <c r="W28" s="88"/>
      <c r="X28" s="4"/>
      <c r="Y28" s="4"/>
      <c r="Z28" s="4"/>
    </row>
    <row r="29" spans="2:31" x14ac:dyDescent="0.25">
      <c r="B29" s="235" t="s">
        <v>146</v>
      </c>
      <c r="C29" s="167" t="s">
        <v>0</v>
      </c>
      <c r="D29" s="167" t="s">
        <v>146</v>
      </c>
      <c r="E29" s="167" t="s">
        <v>0</v>
      </c>
      <c r="F29" s="227" t="s">
        <v>10</v>
      </c>
      <c r="G29" s="3"/>
      <c r="H29" s="3"/>
      <c r="I29" s="3"/>
      <c r="J29" s="3"/>
      <c r="K29" s="3"/>
      <c r="L29" s="166" t="s">
        <v>160</v>
      </c>
      <c r="M29" s="14">
        <v>3.3780000000000001</v>
      </c>
      <c r="N29" s="238">
        <f>M29/M30</f>
        <v>0.91544715447154479</v>
      </c>
      <c r="O29" s="3"/>
      <c r="P29" s="166" t="s">
        <v>160</v>
      </c>
      <c r="Q29" s="14">
        <v>3.3780000000000001</v>
      </c>
      <c r="R29" s="14">
        <v>1.1299999999999999</v>
      </c>
      <c r="S29" s="34">
        <f>SUM(Q29:R29)</f>
        <v>4.508</v>
      </c>
      <c r="T29" s="250">
        <f>S29/S30</f>
        <v>0.93526970954356836</v>
      </c>
      <c r="V29" s="1"/>
      <c r="W29" s="88"/>
      <c r="X29" s="4"/>
      <c r="Y29" s="4"/>
      <c r="Z29" s="4"/>
    </row>
    <row r="30" spans="2:31" x14ac:dyDescent="0.25">
      <c r="B30" s="120" t="s">
        <v>19</v>
      </c>
      <c r="C30" s="14">
        <v>2.31</v>
      </c>
      <c r="D30" s="3" t="s">
        <v>4</v>
      </c>
      <c r="E30" s="92">
        <f>$H$17</f>
        <v>6.3164712328767134</v>
      </c>
      <c r="F30" s="237">
        <f>C30/E30</f>
        <v>0.36571052330241605</v>
      </c>
      <c r="G30" s="185" t="s">
        <v>158</v>
      </c>
      <c r="H30" s="3"/>
      <c r="I30" s="3"/>
      <c r="J30" s="3"/>
      <c r="K30" s="3"/>
      <c r="L30" s="166" t="s">
        <v>4</v>
      </c>
      <c r="M30" s="14">
        <v>3.69</v>
      </c>
      <c r="N30" s="3"/>
      <c r="O30" s="3"/>
      <c r="P30" s="166" t="s">
        <v>4</v>
      </c>
      <c r="Q30" s="14">
        <v>3.69</v>
      </c>
      <c r="R30" s="14">
        <v>1.1299999999999999</v>
      </c>
      <c r="S30" s="34">
        <f t="shared" ref="S30:S31" si="0">SUM(Q30:R30)</f>
        <v>4.82</v>
      </c>
      <c r="T30" s="11"/>
      <c r="V30" s="1"/>
      <c r="W30" s="88"/>
      <c r="X30" s="4"/>
      <c r="Y30" s="4"/>
      <c r="Z30" s="4"/>
    </row>
    <row r="31" spans="2:31" x14ac:dyDescent="0.25">
      <c r="B31" s="120" t="s">
        <v>18</v>
      </c>
      <c r="C31" s="18">
        <v>4.8</v>
      </c>
      <c r="D31" s="3" t="s">
        <v>11</v>
      </c>
      <c r="E31" s="226">
        <f>$H$18</f>
        <v>1.9343123287671233</v>
      </c>
      <c r="F31" s="237">
        <f>C31/E31</f>
        <v>2.481502045256252</v>
      </c>
      <c r="G31" s="185" t="s">
        <v>159</v>
      </c>
      <c r="H31" s="3"/>
      <c r="I31" s="3"/>
      <c r="J31" s="3"/>
      <c r="K31" s="3"/>
      <c r="L31" s="171" t="s">
        <v>19</v>
      </c>
      <c r="M31" s="14">
        <v>3.94</v>
      </c>
      <c r="N31" s="238">
        <f>M31/M30</f>
        <v>1.0677506775067751</v>
      </c>
      <c r="O31" s="3"/>
      <c r="P31" s="171" t="s">
        <v>19</v>
      </c>
      <c r="Q31" s="14">
        <v>3.94</v>
      </c>
      <c r="R31" s="14">
        <v>1.1299999999999999</v>
      </c>
      <c r="S31" s="34">
        <f t="shared" si="0"/>
        <v>5.07</v>
      </c>
      <c r="T31" s="250">
        <f>S31/S30</f>
        <v>1.0518672199170125</v>
      </c>
      <c r="V31" s="1"/>
      <c r="W31" s="88"/>
      <c r="X31" s="4"/>
      <c r="Y31" s="4"/>
      <c r="Z31" s="4"/>
    </row>
    <row r="32" spans="2:31" x14ac:dyDescent="0.25">
      <c r="B32" s="31"/>
      <c r="C32" s="177">
        <f>SUM(C30:C31)</f>
        <v>7.1099999999999994</v>
      </c>
      <c r="D32" s="3"/>
      <c r="E32" s="174">
        <f>SUM(E30:E31)</f>
        <v>8.2507835616438374</v>
      </c>
      <c r="F32" s="237">
        <f>C32/E32</f>
        <v>0.86173633654055581</v>
      </c>
      <c r="G32" s="185" t="s">
        <v>163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1"/>
      <c r="V32" s="1"/>
      <c r="W32" s="88"/>
      <c r="X32" s="4"/>
      <c r="Y32" s="4"/>
      <c r="Z32" s="4"/>
    </row>
    <row r="33" spans="2:26" x14ac:dyDescent="0.25">
      <c r="B33" s="10"/>
      <c r="C33" s="3"/>
      <c r="D33" s="3"/>
      <c r="E33" s="3"/>
      <c r="F33" s="3"/>
      <c r="G33" s="3"/>
      <c r="H33" s="3"/>
      <c r="I33" s="3"/>
      <c r="J33" s="3"/>
      <c r="K33" s="3"/>
      <c r="L33" s="166" t="s">
        <v>24</v>
      </c>
      <c r="M33" s="167" t="s">
        <v>0</v>
      </c>
      <c r="N33" s="3"/>
      <c r="O33" s="3"/>
      <c r="P33" s="166" t="s">
        <v>24</v>
      </c>
      <c r="Q33" s="167" t="s">
        <v>0</v>
      </c>
      <c r="R33" s="228" t="s">
        <v>0</v>
      </c>
      <c r="S33" s="228" t="s">
        <v>0</v>
      </c>
      <c r="T33" s="249" t="s">
        <v>161</v>
      </c>
      <c r="V33" s="1"/>
      <c r="W33" s="88"/>
      <c r="X33" s="4"/>
      <c r="Y33" s="4"/>
      <c r="Z33" s="4"/>
    </row>
    <row r="34" spans="2:26" x14ac:dyDescent="0.25">
      <c r="B34" s="233" t="s">
        <v>145</v>
      </c>
      <c r="C34" s="223"/>
      <c r="D34" s="234" t="s">
        <v>170</v>
      </c>
      <c r="E34" s="223"/>
      <c r="F34" s="225"/>
      <c r="G34" s="3"/>
      <c r="H34" s="253" t="s">
        <v>184</v>
      </c>
      <c r="I34" s="3"/>
      <c r="J34" s="3"/>
      <c r="K34" s="3"/>
      <c r="L34" s="166" t="s">
        <v>160</v>
      </c>
      <c r="M34" s="14">
        <v>3.9049999999999998</v>
      </c>
      <c r="N34" s="238">
        <f>M34/M35</f>
        <v>0.9366754617414248</v>
      </c>
      <c r="O34" s="3"/>
      <c r="P34" s="166" t="s">
        <v>160</v>
      </c>
      <c r="Q34" s="14">
        <v>3.9049999999999998</v>
      </c>
      <c r="R34" s="14">
        <v>1.1299999999999999</v>
      </c>
      <c r="S34" s="34">
        <f>SUM(Q34:R34)</f>
        <v>5.0350000000000001</v>
      </c>
      <c r="T34" s="250">
        <f>S34/S35</f>
        <v>0.95017927910926603</v>
      </c>
      <c r="V34" s="1"/>
      <c r="W34" s="88"/>
      <c r="X34" s="4"/>
      <c r="Y34" s="4"/>
      <c r="Z34" s="4"/>
    </row>
    <row r="35" spans="2:26" x14ac:dyDescent="0.25">
      <c r="B35" s="235" t="s">
        <v>144</v>
      </c>
      <c r="C35" s="166"/>
      <c r="D35" s="167" t="s">
        <v>144</v>
      </c>
      <c r="E35" s="166"/>
      <c r="F35" s="227" t="s">
        <v>147</v>
      </c>
      <c r="G35" s="3"/>
      <c r="H35" s="254" t="s">
        <v>185</v>
      </c>
      <c r="I35" s="3"/>
      <c r="J35" s="3"/>
      <c r="K35" s="3"/>
      <c r="L35" s="166" t="s">
        <v>4</v>
      </c>
      <c r="M35" s="14">
        <v>4.1689999999999996</v>
      </c>
      <c r="N35" s="3"/>
      <c r="O35" s="3"/>
      <c r="P35" s="166" t="s">
        <v>4</v>
      </c>
      <c r="Q35" s="14">
        <v>4.1689999999999996</v>
      </c>
      <c r="R35" s="14">
        <v>1.1299999999999999</v>
      </c>
      <c r="S35" s="34">
        <f t="shared" ref="S35:S36" si="1">SUM(Q35:R35)</f>
        <v>5.2989999999999995</v>
      </c>
      <c r="T35" s="11"/>
      <c r="V35" s="1"/>
      <c r="W35" s="88"/>
      <c r="X35" s="4"/>
      <c r="Y35" s="4"/>
      <c r="Z35" s="4"/>
    </row>
    <row r="36" spans="2:26" x14ac:dyDescent="0.25">
      <c r="B36" s="235" t="s">
        <v>146</v>
      </c>
      <c r="C36" s="167" t="s">
        <v>0</v>
      </c>
      <c r="D36" s="167" t="s">
        <v>146</v>
      </c>
      <c r="E36" s="167" t="s">
        <v>0</v>
      </c>
      <c r="F36" s="227" t="s">
        <v>10</v>
      </c>
      <c r="G36" s="3"/>
      <c r="H36" s="253" t="s">
        <v>186</v>
      </c>
      <c r="I36" s="3"/>
      <c r="J36" s="3"/>
      <c r="K36" s="3"/>
      <c r="L36" s="171" t="s">
        <v>19</v>
      </c>
      <c r="M36" s="14">
        <v>4.4029999999999996</v>
      </c>
      <c r="N36" s="238">
        <f>M36/M35</f>
        <v>1.056128568001919</v>
      </c>
      <c r="O36" s="3"/>
      <c r="P36" s="171" t="s">
        <v>19</v>
      </c>
      <c r="Q36" s="14">
        <v>4.4029999999999996</v>
      </c>
      <c r="R36" s="14">
        <v>1.1299999999999999</v>
      </c>
      <c r="S36" s="34">
        <f t="shared" si="1"/>
        <v>5.5329999999999995</v>
      </c>
      <c r="T36" s="250">
        <f>S36/S35</f>
        <v>1.0441592753349689</v>
      </c>
      <c r="V36" s="1"/>
      <c r="W36" s="88"/>
      <c r="X36" s="4"/>
      <c r="Y36" s="4"/>
      <c r="Z36" s="4"/>
    </row>
    <row r="37" spans="2:26" x14ac:dyDescent="0.25">
      <c r="B37" s="120" t="s">
        <v>19</v>
      </c>
      <c r="C37" s="14">
        <v>2.31</v>
      </c>
      <c r="D37" s="3" t="s">
        <v>4</v>
      </c>
      <c r="E37" s="92">
        <f>$H$17</f>
        <v>6.3164712328767134</v>
      </c>
      <c r="F37" s="237">
        <f>C37/E37</f>
        <v>0.36571052330241605</v>
      </c>
      <c r="G37" s="3"/>
      <c r="H37" s="253" t="s">
        <v>187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1"/>
      <c r="V37" s="1"/>
      <c r="W37" s="88"/>
      <c r="X37" s="4"/>
      <c r="Y37" s="4"/>
      <c r="Z37" s="4"/>
    </row>
    <row r="38" spans="2:26" x14ac:dyDescent="0.25">
      <c r="B38" s="120" t="s">
        <v>20</v>
      </c>
      <c r="C38" s="18">
        <v>2.4</v>
      </c>
      <c r="D38" s="3" t="s">
        <v>11</v>
      </c>
      <c r="E38" s="226">
        <f>$H$18</f>
        <v>1.9343123287671233</v>
      </c>
      <c r="F38" s="237">
        <f>C38/E38</f>
        <v>1.240751022628126</v>
      </c>
      <c r="G38" s="3"/>
      <c r="I38" s="3"/>
      <c r="J38" s="3"/>
      <c r="K38" s="3"/>
      <c r="L38" s="166" t="s">
        <v>41</v>
      </c>
      <c r="M38" s="167" t="s">
        <v>0</v>
      </c>
      <c r="N38" s="3"/>
      <c r="O38" s="3"/>
      <c r="P38" s="166" t="s">
        <v>41</v>
      </c>
      <c r="Q38" s="167" t="s">
        <v>0</v>
      </c>
      <c r="R38" s="228" t="s">
        <v>0</v>
      </c>
      <c r="S38" s="228" t="s">
        <v>0</v>
      </c>
      <c r="T38" s="249" t="s">
        <v>161</v>
      </c>
      <c r="V38" s="1"/>
      <c r="W38" s="88"/>
      <c r="X38" s="4"/>
      <c r="Y38" s="4"/>
      <c r="Z38" s="4"/>
    </row>
    <row r="39" spans="2:26" x14ac:dyDescent="0.25">
      <c r="B39" s="31"/>
      <c r="C39" s="177">
        <f>SUM(C37:C38)</f>
        <v>4.71</v>
      </c>
      <c r="D39" s="3"/>
      <c r="E39" s="174">
        <f>SUM(E37:E38)</f>
        <v>8.2507835616438374</v>
      </c>
      <c r="F39" s="237">
        <f>C39/E39</f>
        <v>0.57085487272939772</v>
      </c>
      <c r="G39" s="3"/>
      <c r="I39" s="3"/>
      <c r="J39" s="3"/>
      <c r="K39" s="3"/>
      <c r="L39" s="171" t="s">
        <v>4</v>
      </c>
      <c r="M39" s="14">
        <v>1.7829999999999999</v>
      </c>
      <c r="N39" s="238">
        <f>M39/M40</f>
        <v>0.7718614718614718</v>
      </c>
      <c r="O39" s="3"/>
      <c r="P39" s="171" t="s">
        <v>4</v>
      </c>
      <c r="Q39" s="14">
        <v>1.7829999999999999</v>
      </c>
      <c r="R39" s="14">
        <v>4.8</v>
      </c>
      <c r="S39" s="34">
        <f>SUM(Q39:R39)</f>
        <v>6.5830000000000002</v>
      </c>
      <c r="T39" s="250">
        <f>S39/S40</f>
        <v>0.92587904360056272</v>
      </c>
      <c r="V39" s="1"/>
      <c r="W39" s="88"/>
      <c r="X39" s="4"/>
      <c r="Y39" s="4"/>
      <c r="Z39" s="4"/>
    </row>
    <row r="40" spans="2:26" x14ac:dyDescent="0.25">
      <c r="B40" s="10"/>
      <c r="C40" s="3"/>
      <c r="D40" s="3"/>
      <c r="E40" s="3"/>
      <c r="F40" s="3"/>
      <c r="G40" s="3"/>
      <c r="H40" s="3"/>
      <c r="I40" s="3"/>
      <c r="J40" s="3"/>
      <c r="K40" s="3"/>
      <c r="L40" s="171" t="s">
        <v>19</v>
      </c>
      <c r="M40" s="14">
        <v>2.31</v>
      </c>
      <c r="N40" s="3"/>
      <c r="O40" s="3"/>
      <c r="P40" s="171" t="s">
        <v>19</v>
      </c>
      <c r="Q40" s="14">
        <v>2.31</v>
      </c>
      <c r="R40" s="14">
        <v>4.8</v>
      </c>
      <c r="S40" s="34">
        <f t="shared" ref="S40:S41" si="2">SUM(Q40:R40)</f>
        <v>7.1099999999999994</v>
      </c>
      <c r="T40" s="11"/>
      <c r="V40" s="1"/>
      <c r="W40" s="88"/>
      <c r="X40" s="4"/>
      <c r="Y40" s="4"/>
      <c r="Z40" s="4"/>
    </row>
    <row r="41" spans="2:26" x14ac:dyDescent="0.25">
      <c r="B41" s="23" t="s">
        <v>168</v>
      </c>
      <c r="C41" s="25"/>
      <c r="D41" s="25"/>
      <c r="E41" s="25"/>
      <c r="F41" s="25"/>
      <c r="G41" s="25"/>
      <c r="H41" s="25"/>
      <c r="I41" s="3"/>
      <c r="J41" s="3"/>
      <c r="K41" s="3"/>
      <c r="L41" s="171" t="s">
        <v>36</v>
      </c>
      <c r="M41" s="14">
        <v>2.7909999999999999</v>
      </c>
      <c r="N41" s="238">
        <f>M41/M40</f>
        <v>1.2082251082251081</v>
      </c>
      <c r="O41" s="3"/>
      <c r="P41" s="171" t="s">
        <v>36</v>
      </c>
      <c r="Q41" s="14">
        <v>2.7909999999999999</v>
      </c>
      <c r="R41" s="14">
        <v>4.8</v>
      </c>
      <c r="S41" s="34">
        <f t="shared" si="2"/>
        <v>7.5909999999999993</v>
      </c>
      <c r="T41" s="250">
        <f>S41/S40</f>
        <v>1.0676511954992967</v>
      </c>
      <c r="V41" s="1"/>
      <c r="W41" s="88"/>
      <c r="X41" s="4"/>
      <c r="Y41" s="4"/>
      <c r="Z41" s="4"/>
    </row>
    <row r="42" spans="2:26" x14ac:dyDescent="0.25">
      <c r="B42" s="17" t="s">
        <v>169</v>
      </c>
      <c r="C42" s="3"/>
      <c r="D42" s="3"/>
      <c r="E42" s="3"/>
      <c r="F42" s="3"/>
      <c r="G42" s="3"/>
      <c r="H42" s="3"/>
      <c r="I42" s="3"/>
      <c r="J42" s="3"/>
      <c r="K42" s="3"/>
      <c r="L42" s="6"/>
      <c r="M42" s="6"/>
      <c r="N42" s="6"/>
      <c r="O42" s="6"/>
      <c r="P42" s="6"/>
      <c r="Q42" s="6"/>
      <c r="R42" s="6"/>
      <c r="S42" s="6"/>
      <c r="T42" s="35"/>
      <c r="V42" s="1"/>
      <c r="W42" s="88"/>
      <c r="X42" s="4"/>
      <c r="Y42" s="4"/>
      <c r="Z42" s="4"/>
    </row>
    <row r="43" spans="2:26" x14ac:dyDescent="0.25">
      <c r="B43" s="17" t="s">
        <v>175</v>
      </c>
      <c r="C43" s="3"/>
      <c r="D43" s="3"/>
      <c r="E43" s="3"/>
      <c r="F43" s="3"/>
      <c r="G43" s="3"/>
      <c r="H43" s="3"/>
      <c r="I43" s="3"/>
      <c r="J43" s="3"/>
      <c r="K43" s="3"/>
      <c r="L43" s="239" t="s">
        <v>168</v>
      </c>
      <c r="M43" s="25"/>
      <c r="N43" s="25"/>
      <c r="O43" s="25"/>
      <c r="P43" s="25"/>
      <c r="Q43" s="25"/>
      <c r="R43" s="25"/>
      <c r="S43" s="25"/>
      <c r="T43" s="26"/>
      <c r="V43" s="1"/>
      <c r="W43" s="88"/>
      <c r="X43" s="4"/>
      <c r="Y43" s="4"/>
      <c r="Z43" s="4"/>
    </row>
    <row r="44" spans="2:26" x14ac:dyDescent="0.25">
      <c r="B44" s="17" t="s">
        <v>179</v>
      </c>
      <c r="C44" s="3"/>
      <c r="D44" s="3"/>
      <c r="E44" s="3"/>
      <c r="F44" s="3"/>
      <c r="G44" s="3"/>
      <c r="H44" s="3"/>
      <c r="I44" s="3"/>
      <c r="J44" s="3"/>
      <c r="K44" s="3"/>
      <c r="L44" s="180" t="s">
        <v>177</v>
      </c>
      <c r="M44" s="3"/>
      <c r="N44" s="3"/>
      <c r="O44" s="3"/>
      <c r="P44" s="3"/>
      <c r="Q44" s="3"/>
      <c r="R44" s="3"/>
      <c r="S44" s="3"/>
      <c r="T44" s="11"/>
      <c r="V44" s="1"/>
      <c r="W44" s="88"/>
      <c r="X44" s="4"/>
      <c r="Y44" s="4"/>
      <c r="Z44" s="4"/>
    </row>
    <row r="45" spans="2:26" x14ac:dyDescent="0.25">
      <c r="B45" s="241">
        <v>2.4</v>
      </c>
      <c r="C45" s="208" t="s">
        <v>178</v>
      </c>
      <c r="D45" s="3">
        <v>1.74</v>
      </c>
      <c r="E45" s="208" t="s">
        <v>180</v>
      </c>
      <c r="F45" s="231" t="s">
        <v>181</v>
      </c>
      <c r="G45" s="3"/>
      <c r="H45" s="3"/>
      <c r="I45" s="3"/>
      <c r="J45" s="3"/>
      <c r="K45" s="3"/>
      <c r="L45" s="5" t="s">
        <v>176</v>
      </c>
      <c r="M45" s="3"/>
      <c r="N45" s="3"/>
      <c r="O45" s="3"/>
      <c r="P45" s="3"/>
      <c r="Q45" s="3"/>
      <c r="R45" s="3"/>
      <c r="S45" s="3"/>
      <c r="T45" s="11"/>
      <c r="U45" s="1"/>
      <c r="V45" s="1"/>
      <c r="W45" s="88"/>
      <c r="X45" s="4"/>
      <c r="Y45" s="4"/>
      <c r="Z45" s="4"/>
    </row>
    <row r="46" spans="2:26" x14ac:dyDescent="0.25">
      <c r="B46" s="241">
        <v>3.6</v>
      </c>
      <c r="C46" s="208" t="s">
        <v>178</v>
      </c>
      <c r="D46" s="3">
        <v>2.14</v>
      </c>
      <c r="E46" s="208" t="s">
        <v>180</v>
      </c>
      <c r="F46" s="3" t="s">
        <v>182</v>
      </c>
      <c r="G46" s="3"/>
      <c r="H46" s="3"/>
      <c r="I46" s="3"/>
      <c r="J46" s="3"/>
      <c r="K46" s="3"/>
      <c r="L46" s="5" t="s">
        <v>171</v>
      </c>
      <c r="M46" s="3"/>
      <c r="N46" s="3"/>
      <c r="O46" s="3"/>
      <c r="P46" s="3"/>
      <c r="Q46" s="3"/>
      <c r="R46" s="3"/>
      <c r="S46" s="3"/>
      <c r="T46" s="11"/>
      <c r="U46" s="1"/>
      <c r="V46" s="1"/>
      <c r="W46" s="88"/>
      <c r="X46" s="4"/>
      <c r="Y46" s="4"/>
      <c r="Z46" s="4"/>
    </row>
    <row r="47" spans="2:26" x14ac:dyDescent="0.25">
      <c r="B47" s="251">
        <v>4.8</v>
      </c>
      <c r="C47" s="252" t="s">
        <v>178</v>
      </c>
      <c r="D47" s="13">
        <v>2.4700000000000002</v>
      </c>
      <c r="E47" s="252" t="s">
        <v>180</v>
      </c>
      <c r="F47" s="13" t="s">
        <v>183</v>
      </c>
      <c r="G47" s="13"/>
      <c r="H47" s="13"/>
      <c r="I47" s="13"/>
      <c r="J47" s="13"/>
      <c r="K47" s="13"/>
      <c r="L47" s="240" t="s">
        <v>172</v>
      </c>
      <c r="M47" s="13"/>
      <c r="N47" s="13"/>
      <c r="O47" s="13"/>
      <c r="P47" s="13"/>
      <c r="Q47" s="13"/>
      <c r="R47" s="13"/>
      <c r="S47" s="13"/>
      <c r="T47" s="8"/>
      <c r="U47" s="3"/>
      <c r="V47" s="3"/>
      <c r="W47" s="88"/>
      <c r="X47" s="4"/>
      <c r="Y47" s="4"/>
      <c r="Z47" s="4"/>
    </row>
    <row r="48" spans="2:26" x14ac:dyDescent="0.25">
      <c r="J48" s="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88"/>
      <c r="X48" s="4"/>
      <c r="Y48" s="4"/>
      <c r="Z48" s="4"/>
    </row>
    <row r="49" spans="2:26" x14ac:dyDescent="0.25">
      <c r="J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88"/>
      <c r="X49" s="4"/>
      <c r="Y49" s="4"/>
      <c r="Z49" s="4"/>
    </row>
    <row r="50" spans="2:26" x14ac:dyDescent="0.25">
      <c r="J50" s="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88"/>
      <c r="X50" s="4"/>
      <c r="Y50" s="4"/>
      <c r="Z50" s="4"/>
    </row>
    <row r="51" spans="2:26" x14ac:dyDescent="0.25">
      <c r="J51" s="1"/>
      <c r="O51" s="1"/>
      <c r="P51" s="1"/>
      <c r="Q51" s="1"/>
      <c r="R51" s="1"/>
      <c r="S51" s="1"/>
      <c r="T51" s="1"/>
      <c r="U51" s="1"/>
      <c r="V51" s="1"/>
      <c r="W51" s="88"/>
      <c r="X51" s="4"/>
      <c r="Y51" s="4"/>
      <c r="Z51" s="4"/>
    </row>
    <row r="52" spans="2:26" x14ac:dyDescent="0.25">
      <c r="J52" s="1"/>
      <c r="O52" s="1"/>
      <c r="P52" s="1"/>
      <c r="Q52" s="1"/>
      <c r="R52" s="1"/>
      <c r="S52" s="1"/>
      <c r="T52" s="1"/>
      <c r="U52" s="1"/>
      <c r="V52" s="1"/>
      <c r="W52" s="88"/>
      <c r="X52" s="4"/>
      <c r="Y52" s="4"/>
      <c r="Z52" s="4"/>
    </row>
    <row r="53" spans="2:26" x14ac:dyDescent="0.25">
      <c r="J53" s="1"/>
      <c r="O53" s="1"/>
      <c r="P53" s="1"/>
      <c r="Q53" s="1"/>
      <c r="R53" s="1"/>
      <c r="S53" s="1"/>
      <c r="T53" s="1"/>
      <c r="U53" s="1"/>
      <c r="V53" s="1"/>
      <c r="W53" s="88"/>
      <c r="X53" s="4"/>
      <c r="Y53" s="4"/>
      <c r="Z53" s="4"/>
    </row>
    <row r="54" spans="2:26" x14ac:dyDescent="0.25">
      <c r="B54" s="3"/>
      <c r="C54" s="3"/>
      <c r="D54" s="3"/>
      <c r="E54" s="3"/>
      <c r="F54" s="3"/>
      <c r="G54" s="3"/>
      <c r="H54" s="3"/>
      <c r="I54" s="3"/>
      <c r="O54" s="1"/>
      <c r="P54" s="1"/>
      <c r="Q54" s="1"/>
      <c r="R54" s="1"/>
      <c r="S54" s="1"/>
      <c r="T54" s="1"/>
      <c r="U54" s="1"/>
      <c r="V54" s="1"/>
      <c r="W54" s="88"/>
      <c r="X54" s="4"/>
      <c r="Y54" s="4"/>
      <c r="Z54" s="4"/>
    </row>
    <row r="55" spans="2:26" x14ac:dyDescent="0.25">
      <c r="B55" s="3"/>
      <c r="C55" s="3"/>
      <c r="D55" s="3"/>
      <c r="E55" s="3"/>
      <c r="F55" s="3"/>
      <c r="G55" s="3"/>
      <c r="H55" s="3"/>
      <c r="I55" s="3"/>
      <c r="J55" s="1"/>
      <c r="K55" s="16"/>
      <c r="O55" s="1"/>
      <c r="P55" s="1"/>
      <c r="Q55" s="1"/>
      <c r="R55" s="1"/>
      <c r="S55" s="1"/>
      <c r="T55" s="1"/>
      <c r="U55" s="1"/>
      <c r="V55" s="1"/>
      <c r="W55" s="88"/>
      <c r="X55" s="4"/>
      <c r="Y55" s="4"/>
      <c r="Z55" s="4"/>
    </row>
    <row r="56" spans="2:26" x14ac:dyDescent="0.25">
      <c r="B56" s="1"/>
      <c r="D56" s="1"/>
      <c r="E56" s="1"/>
      <c r="G56" s="1"/>
      <c r="H56" s="1"/>
      <c r="J56" s="1"/>
      <c r="O56" s="1"/>
      <c r="P56" s="1"/>
      <c r="Q56" s="1"/>
      <c r="R56" s="1"/>
      <c r="S56" s="1"/>
      <c r="T56" s="1"/>
      <c r="U56" s="1"/>
      <c r="V56" s="1"/>
      <c r="W56" s="88"/>
      <c r="X56" s="4"/>
      <c r="Y56" s="4"/>
      <c r="Z56" s="4"/>
    </row>
  </sheetData>
  <pageMargins left="0.45" right="0.45" top="0.75" bottom="0.75" header="0.3" footer="0.3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32"/>
  <sheetViews>
    <sheetView showGridLines="0" zoomScale="90" zoomScaleNormal="90" workbookViewId="0"/>
  </sheetViews>
  <sheetFormatPr defaultRowHeight="15" x14ac:dyDescent="0.25"/>
  <cols>
    <col min="1" max="15" width="9.28515625" customWidth="1"/>
    <col min="16" max="16" width="10.140625" customWidth="1"/>
    <col min="17" max="18" width="9.28515625" customWidth="1"/>
    <col min="19" max="19" width="10.5703125" customWidth="1"/>
    <col min="20" max="22" width="9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" customFormat="1" x14ac:dyDescent="0.25"/>
    <row r="3" spans="1:18" x14ac:dyDescent="0.25">
      <c r="A3" s="1"/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 t="s">
        <v>88</v>
      </c>
      <c r="E4" s="1" t="s">
        <v>87</v>
      </c>
      <c r="F4" s="1" t="s">
        <v>86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44" t="s">
        <v>84</v>
      </c>
      <c r="D5" s="144" t="s">
        <v>85</v>
      </c>
      <c r="E5" s="144" t="s">
        <v>85</v>
      </c>
      <c r="F5" s="144" t="s">
        <v>85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44">
        <v>1</v>
      </c>
      <c r="D6" s="145">
        <f>-D19</f>
        <v>3.3</v>
      </c>
      <c r="E6" s="145">
        <f t="shared" ref="E6:F6" si="0">-E19</f>
        <v>2.4</v>
      </c>
      <c r="F6" s="145">
        <f t="shared" si="0"/>
        <v>1.8</v>
      </c>
      <c r="G6" s="146">
        <f>D6/$F6</f>
        <v>1.8333333333333333</v>
      </c>
      <c r="H6" s="146">
        <f>E6/$F6</f>
        <v>1.3333333333333333</v>
      </c>
      <c r="I6" s="146">
        <f>F6/$F6</f>
        <v>1</v>
      </c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44">
        <v>2</v>
      </c>
      <c r="D7" s="147">
        <f t="shared" ref="D7:F17" si="1">-D20</f>
        <v>5.9</v>
      </c>
      <c r="E7" s="147">
        <f t="shared" si="1"/>
        <v>4</v>
      </c>
      <c r="F7" s="147">
        <f t="shared" si="1"/>
        <v>2.9</v>
      </c>
      <c r="G7" s="146">
        <f t="shared" ref="G7:I17" si="2">D7/$F7</f>
        <v>2.0344827586206899</v>
      </c>
      <c r="H7" s="146">
        <f t="shared" si="2"/>
        <v>1.3793103448275863</v>
      </c>
      <c r="I7" s="146">
        <f t="shared" si="2"/>
        <v>1</v>
      </c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44">
        <v>3</v>
      </c>
      <c r="D8" s="148">
        <f t="shared" si="1"/>
        <v>8.1</v>
      </c>
      <c r="E8" s="148">
        <f t="shared" si="1"/>
        <v>5.9</v>
      </c>
      <c r="F8" s="148">
        <f t="shared" si="1"/>
        <v>4.5</v>
      </c>
      <c r="G8" s="146">
        <f t="shared" si="2"/>
        <v>1.7999999999999998</v>
      </c>
      <c r="H8" s="146">
        <f t="shared" si="2"/>
        <v>1.3111111111111111</v>
      </c>
      <c r="I8" s="146">
        <f t="shared" si="2"/>
        <v>1</v>
      </c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44">
        <v>4</v>
      </c>
      <c r="D9" s="147">
        <f t="shared" si="1"/>
        <v>9.9</v>
      </c>
      <c r="E9" s="147">
        <f t="shared" si="1"/>
        <v>7.8</v>
      </c>
      <c r="F9" s="147">
        <f t="shared" si="1"/>
        <v>6.2</v>
      </c>
      <c r="G9" s="146">
        <f t="shared" si="2"/>
        <v>1.596774193548387</v>
      </c>
      <c r="H9" s="146">
        <f t="shared" si="2"/>
        <v>1.2580645161290323</v>
      </c>
      <c r="I9" s="146">
        <f t="shared" si="2"/>
        <v>1</v>
      </c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44">
        <v>5</v>
      </c>
      <c r="D10" s="147">
        <f t="shared" si="1"/>
        <v>12</v>
      </c>
      <c r="E10" s="147">
        <f t="shared" si="1"/>
        <v>9.6999999999999993</v>
      </c>
      <c r="F10" s="147">
        <f t="shared" si="1"/>
        <v>8.3000000000000007</v>
      </c>
      <c r="G10" s="146">
        <f t="shared" si="2"/>
        <v>1.4457831325301203</v>
      </c>
      <c r="H10" s="146">
        <f t="shared" si="2"/>
        <v>1.1686746987951806</v>
      </c>
      <c r="I10" s="146">
        <f t="shared" si="2"/>
        <v>1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44">
        <v>10</v>
      </c>
      <c r="D11" s="148">
        <f t="shared" si="1"/>
        <v>20.8</v>
      </c>
      <c r="E11" s="148">
        <f t="shared" si="1"/>
        <v>19.3</v>
      </c>
      <c r="F11" s="148">
        <f t="shared" si="1"/>
        <v>19</v>
      </c>
      <c r="G11" s="146">
        <f t="shared" si="2"/>
        <v>1.0947368421052632</v>
      </c>
      <c r="H11" s="146">
        <f t="shared" si="2"/>
        <v>1.0157894736842106</v>
      </c>
      <c r="I11" s="146">
        <f t="shared" si="2"/>
        <v>1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44">
        <v>20</v>
      </c>
      <c r="D12" s="147">
        <f t="shared" si="1"/>
        <v>37.1</v>
      </c>
      <c r="E12" s="147">
        <f t="shared" si="1"/>
        <v>36.700000000000003</v>
      </c>
      <c r="F12" s="147">
        <f t="shared" si="1"/>
        <v>37.6</v>
      </c>
      <c r="G12" s="146">
        <f t="shared" si="2"/>
        <v>0.98670212765957444</v>
      </c>
      <c r="H12" s="146">
        <f t="shared" si="2"/>
        <v>0.97606382978723405</v>
      </c>
      <c r="I12" s="146">
        <f t="shared" si="2"/>
        <v>1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44">
        <v>30</v>
      </c>
      <c r="D13" s="147">
        <f t="shared" si="1"/>
        <v>51.7</v>
      </c>
      <c r="E13" s="147">
        <f t="shared" si="1"/>
        <v>52.3</v>
      </c>
      <c r="F13" s="147">
        <f t="shared" si="1"/>
        <v>54.5</v>
      </c>
      <c r="G13" s="146">
        <f t="shared" si="2"/>
        <v>0.94862385321100917</v>
      </c>
      <c r="H13" s="146">
        <f t="shared" si="2"/>
        <v>0.95963302752293578</v>
      </c>
      <c r="I13" s="146">
        <f t="shared" si="2"/>
        <v>1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44">
        <v>40</v>
      </c>
      <c r="D14" s="147">
        <f t="shared" si="1"/>
        <v>66.099999999999994</v>
      </c>
      <c r="E14" s="147">
        <f t="shared" si="1"/>
        <v>67.599999999999994</v>
      </c>
      <c r="F14" s="147">
        <f t="shared" si="1"/>
        <v>70.8</v>
      </c>
      <c r="G14" s="146">
        <f t="shared" si="2"/>
        <v>0.93361581920903947</v>
      </c>
      <c r="H14" s="146">
        <f t="shared" si="2"/>
        <v>0.95480225988700562</v>
      </c>
      <c r="I14" s="146">
        <f t="shared" si="2"/>
        <v>1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44">
        <v>50</v>
      </c>
      <c r="D15" s="147">
        <f t="shared" si="1"/>
        <v>80.8</v>
      </c>
      <c r="E15" s="147">
        <f t="shared" si="1"/>
        <v>83.1</v>
      </c>
      <c r="F15" s="147">
        <f t="shared" si="1"/>
        <v>87.5</v>
      </c>
      <c r="G15" s="146">
        <f t="shared" si="2"/>
        <v>0.92342857142857138</v>
      </c>
      <c r="H15" s="146">
        <f t="shared" si="2"/>
        <v>0.94971428571428562</v>
      </c>
      <c r="I15" s="146">
        <f t="shared" si="2"/>
        <v>1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44">
        <v>60</v>
      </c>
      <c r="D16" s="147">
        <f t="shared" si="1"/>
        <v>95.4</v>
      </c>
      <c r="E16" s="147">
        <f t="shared" si="1"/>
        <v>98.7</v>
      </c>
      <c r="F16" s="147">
        <f t="shared" si="1"/>
        <v>104.6</v>
      </c>
      <c r="G16" s="146">
        <f t="shared" si="2"/>
        <v>0.91204588910133855</v>
      </c>
      <c r="H16" s="146">
        <f t="shared" si="2"/>
        <v>0.94359464627151057</v>
      </c>
      <c r="I16" s="146">
        <f t="shared" si="2"/>
        <v>1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44">
        <v>70</v>
      </c>
      <c r="D17" s="148">
        <f t="shared" si="1"/>
        <v>109.6</v>
      </c>
      <c r="E17" s="148">
        <f t="shared" si="1"/>
        <v>114.1</v>
      </c>
      <c r="F17" s="148">
        <f t="shared" si="1"/>
        <v>120.3</v>
      </c>
      <c r="G17" s="146">
        <f t="shared" si="2"/>
        <v>0.91105569409808806</v>
      </c>
      <c r="H17" s="146">
        <f t="shared" si="2"/>
        <v>0.94846217788861176</v>
      </c>
      <c r="I17" s="146">
        <f t="shared" si="2"/>
        <v>1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45">
        <v>-3.3</v>
      </c>
      <c r="E19" s="145">
        <v>-2.4</v>
      </c>
      <c r="F19" s="145">
        <v>-1.8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47">
        <v>-5.9</v>
      </c>
      <c r="E20" s="147">
        <v>-4</v>
      </c>
      <c r="F20" s="147">
        <v>-2.9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48">
        <v>-8.1</v>
      </c>
      <c r="E21" s="148">
        <v>-5.9</v>
      </c>
      <c r="F21" s="148">
        <v>-4.5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47">
        <v>-9.9</v>
      </c>
      <c r="E22" s="147">
        <v>-7.8</v>
      </c>
      <c r="F22" s="147">
        <v>-6.2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47">
        <v>-12</v>
      </c>
      <c r="E23" s="147">
        <v>-9.6999999999999993</v>
      </c>
      <c r="F23" s="147">
        <v>-8.3000000000000007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48">
        <v>-20.8</v>
      </c>
      <c r="E24" s="148">
        <v>-19.3</v>
      </c>
      <c r="F24" s="148">
        <v>-19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47">
        <v>-37.1</v>
      </c>
      <c r="E25" s="147">
        <v>-36.700000000000003</v>
      </c>
      <c r="F25" s="147">
        <v>-37.6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47">
        <v>-51.7</v>
      </c>
      <c r="E26" s="147">
        <v>-52.3</v>
      </c>
      <c r="F26" s="147">
        <v>-54.5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47">
        <v>-66.099999999999994</v>
      </c>
      <c r="E27" s="147">
        <v>-67.599999999999994</v>
      </c>
      <c r="F27" s="147">
        <v>-70.8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47">
        <v>-80.8</v>
      </c>
      <c r="E28" s="147">
        <v>-83.1</v>
      </c>
      <c r="F28" s="147">
        <v>-87.5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47">
        <v>-95.4</v>
      </c>
      <c r="E29" s="147">
        <v>-98.7</v>
      </c>
      <c r="F29" s="147">
        <v>-104.6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48">
        <v>-109.6</v>
      </c>
      <c r="E30" s="148">
        <v>-114.1</v>
      </c>
      <c r="F30" s="148">
        <v>-120.3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pageMargins left="0.45" right="0.45" top="0.75" bottom="0.75" header="0.3" footer="0.3"/>
  <pageSetup scale="72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sff_dff_rebBld (3)</vt:lpstr>
      <vt:lpstr>sff_dff_rebBld (2)</vt:lpstr>
      <vt:lpstr>sff_dff_rebBld</vt:lpstr>
      <vt:lpstr>aer_rebBldShim_2955</vt:lpstr>
      <vt:lpstr>Sheet3</vt:lpstr>
      <vt:lpstr>aer_rebBldShim_2955!Print_Area</vt:lpstr>
      <vt:lpstr>sff_dff_rebBld!Print_Area</vt:lpstr>
      <vt:lpstr>'sff_dff_rebBld (2)'!Print_Area</vt:lpstr>
      <vt:lpstr>'sff_dff_rebBld (3)'!Print_Area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hp1010</cp:lastModifiedBy>
  <cp:lastPrinted>2019-12-29T04:41:39Z</cp:lastPrinted>
  <dcterms:created xsi:type="dcterms:W3CDTF">2019-12-20T21:55:23Z</dcterms:created>
  <dcterms:modified xsi:type="dcterms:W3CDTF">2019-12-29T09:22:31Z</dcterms:modified>
</cp:coreProperties>
</file>