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74B8CE5C-CA5C-4B28-87F6-5FD6B1EC80E3}" xr6:coauthVersionLast="47" xr6:coauthVersionMax="47" xr10:uidLastSave="{00000000-0000-0000-0000-000000000000}"/>
  <bookViews>
    <workbookView xWindow="-120" yWindow="-120" windowWidth="24240" windowHeight="13140" tabRatio="755" xr2:uid="{65671B87-F0E4-4044-AF34-8C516A4AE916}"/>
  </bookViews>
  <sheets>
    <sheet name="WHAT_IF_rcratio_rzeta" sheetId="9" r:id="rId1"/>
    <sheet name="1-10ips_exact_ips_formula" sheetId="3" r:id="rId2"/>
    <sheet name="Sheet6" sheetId="8" r:id="rId3"/>
    <sheet name="Sheet5" sheetId="7" r:id="rId4"/>
    <sheet name="1-10ips_summary_vdb" sheetId="6" r:id="rId5"/>
    <sheet name="1-10ips_summary" sheetId="2" r:id="rId6"/>
    <sheet name="1-10ips_all_data" sheetId="1" r:id="rId7"/>
    <sheet name="50ips_summary" sheetId="5" r:id="rId8"/>
    <sheet name="50ips_all_data" sheetId="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6" i="9" l="1"/>
  <c r="G56" i="9"/>
  <c r="M56" i="9"/>
  <c r="S56" i="9"/>
  <c r="Y56" i="9"/>
  <c r="Y124" i="9"/>
  <c r="Y123" i="9"/>
  <c r="Y122" i="9"/>
  <c r="Y121" i="9"/>
  <c r="Y120" i="9"/>
  <c r="Y119" i="9"/>
  <c r="Y118" i="9"/>
  <c r="Y117" i="9"/>
  <c r="Y116" i="9"/>
  <c r="Y115" i="9"/>
  <c r="S124" i="9"/>
  <c r="S123" i="9"/>
  <c r="S122" i="9"/>
  <c r="S121" i="9"/>
  <c r="S120" i="9"/>
  <c r="S119" i="9"/>
  <c r="S118" i="9"/>
  <c r="S117" i="9"/>
  <c r="S116" i="9"/>
  <c r="S115" i="9"/>
  <c r="M124" i="9"/>
  <c r="M123" i="9"/>
  <c r="M122" i="9"/>
  <c r="M121" i="9"/>
  <c r="M120" i="9"/>
  <c r="M119" i="9"/>
  <c r="M118" i="9"/>
  <c r="M117" i="9"/>
  <c r="M116" i="9"/>
  <c r="M115" i="9"/>
  <c r="G124" i="9"/>
  <c r="G123" i="9"/>
  <c r="G122" i="9"/>
  <c r="G121" i="9"/>
  <c r="G120" i="9"/>
  <c r="G119" i="9"/>
  <c r="G118" i="9"/>
  <c r="G117" i="9"/>
  <c r="G116" i="9"/>
  <c r="G115" i="9"/>
  <c r="A96" i="9"/>
  <c r="A105" i="9"/>
  <c r="A104" i="9"/>
  <c r="A103" i="9"/>
  <c r="A102" i="9"/>
  <c r="A101" i="9"/>
  <c r="A100" i="9"/>
  <c r="A99" i="9"/>
  <c r="A98" i="9"/>
  <c r="A97" i="9"/>
  <c r="M105" i="9"/>
  <c r="M104" i="9"/>
  <c r="M103" i="9"/>
  <c r="M102" i="9"/>
  <c r="M101" i="9"/>
  <c r="M100" i="9"/>
  <c r="M99" i="9"/>
  <c r="M98" i="9"/>
  <c r="M97" i="9"/>
  <c r="M96" i="9"/>
  <c r="G105" i="9"/>
  <c r="G104" i="9"/>
  <c r="G103" i="9"/>
  <c r="G102" i="9"/>
  <c r="G101" i="9"/>
  <c r="G100" i="9"/>
  <c r="G99" i="9"/>
  <c r="G98" i="9"/>
  <c r="G97" i="9"/>
  <c r="G96" i="9"/>
  <c r="Y105" i="9"/>
  <c r="Y104" i="9"/>
  <c r="Y103" i="9"/>
  <c r="Y102" i="9"/>
  <c r="Y101" i="9"/>
  <c r="Y100" i="9"/>
  <c r="Y99" i="9"/>
  <c r="Y98" i="9"/>
  <c r="Y97" i="9"/>
  <c r="Y96" i="9"/>
  <c r="S105" i="9"/>
  <c r="S104" i="9"/>
  <c r="S103" i="9"/>
  <c r="S102" i="9"/>
  <c r="S101" i="9"/>
  <c r="S100" i="9"/>
  <c r="S99" i="9"/>
  <c r="S98" i="9"/>
  <c r="S97" i="9"/>
  <c r="S96" i="9"/>
  <c r="Y45" i="9"/>
  <c r="Y44" i="9"/>
  <c r="Y43" i="9"/>
  <c r="Y42" i="9"/>
  <c r="Y41" i="9"/>
  <c r="Y40" i="9"/>
  <c r="Y39" i="9"/>
  <c r="Y38" i="9"/>
  <c r="Y37" i="9"/>
  <c r="Y36" i="9"/>
  <c r="Y84" i="9"/>
  <c r="Y83" i="9"/>
  <c r="Y82" i="9"/>
  <c r="Y81" i="9"/>
  <c r="Y80" i="9"/>
  <c r="Y79" i="9"/>
  <c r="Y78" i="9"/>
  <c r="Y77" i="9"/>
  <c r="Y76" i="9"/>
  <c r="Y75" i="9"/>
  <c r="S84" i="9"/>
  <c r="S83" i="9"/>
  <c r="S82" i="9"/>
  <c r="S81" i="9"/>
  <c r="S80" i="9"/>
  <c r="S79" i="9"/>
  <c r="S78" i="9"/>
  <c r="S77" i="9"/>
  <c r="S76" i="9"/>
  <c r="S75" i="9"/>
  <c r="T93" i="3"/>
  <c r="T92" i="3"/>
  <c r="T91" i="3"/>
  <c r="T90" i="3"/>
  <c r="T89" i="3"/>
  <c r="T88" i="3"/>
  <c r="T87" i="3"/>
  <c r="T86" i="3"/>
  <c r="T85" i="3"/>
  <c r="T84" i="3"/>
  <c r="I85" i="3"/>
  <c r="I86" i="3"/>
  <c r="I87" i="3"/>
  <c r="I88" i="3"/>
  <c r="I89" i="3"/>
  <c r="I90" i="3"/>
  <c r="I91" i="3"/>
  <c r="I92" i="3"/>
  <c r="I93" i="3"/>
  <c r="I84" i="3"/>
  <c r="M84" i="9"/>
  <c r="G84" i="9"/>
  <c r="M83" i="9"/>
  <c r="G83" i="9"/>
  <c r="M82" i="9"/>
  <c r="G82" i="9"/>
  <c r="M81" i="9"/>
  <c r="G81" i="9"/>
  <c r="M80" i="9"/>
  <c r="G80" i="9"/>
  <c r="M79" i="9"/>
  <c r="G79" i="9"/>
  <c r="M78" i="9"/>
  <c r="G78" i="9"/>
  <c r="M77" i="9"/>
  <c r="G77" i="9"/>
  <c r="M76" i="9"/>
  <c r="G76" i="9"/>
  <c r="M75" i="9"/>
  <c r="G75" i="9"/>
  <c r="S45" i="9"/>
  <c r="S44" i="9"/>
  <c r="S43" i="9"/>
  <c r="S42" i="9"/>
  <c r="S41" i="9"/>
  <c r="S40" i="9"/>
  <c r="S39" i="9"/>
  <c r="S38" i="9"/>
  <c r="S37" i="9"/>
  <c r="S36" i="9"/>
  <c r="A17" i="9"/>
  <c r="G45" i="9"/>
  <c r="G44" i="9"/>
  <c r="G43" i="9"/>
  <c r="G42" i="9"/>
  <c r="G41" i="9"/>
  <c r="G40" i="9"/>
  <c r="G39" i="9"/>
  <c r="G38" i="9"/>
  <c r="G37" i="9"/>
  <c r="G36" i="9"/>
  <c r="M45" i="9"/>
  <c r="M44" i="9"/>
  <c r="M43" i="9"/>
  <c r="M42" i="9"/>
  <c r="M41" i="9"/>
  <c r="M40" i="9"/>
  <c r="M39" i="9"/>
  <c r="M38" i="9"/>
  <c r="M37" i="9"/>
  <c r="M36" i="9"/>
  <c r="A18" i="9"/>
  <c r="A19" i="9"/>
  <c r="A20" i="9"/>
  <c r="A21" i="9"/>
  <c r="A22" i="9"/>
  <c r="A23" i="9"/>
  <c r="A24" i="9"/>
  <c r="A25" i="9"/>
  <c r="A26" i="9"/>
  <c r="Y65" i="9"/>
  <c r="S65" i="9"/>
  <c r="M65" i="9"/>
  <c r="G65" i="9"/>
  <c r="Y64" i="9"/>
  <c r="S64" i="9"/>
  <c r="M64" i="9"/>
  <c r="G64" i="9"/>
  <c r="Y63" i="9"/>
  <c r="S63" i="9"/>
  <c r="M63" i="9"/>
  <c r="G63" i="9"/>
  <c r="Y62" i="9"/>
  <c r="S62" i="9"/>
  <c r="M62" i="9"/>
  <c r="G62" i="9"/>
  <c r="Y61" i="9"/>
  <c r="S61" i="9"/>
  <c r="M61" i="9"/>
  <c r="G61" i="9"/>
  <c r="Y60" i="9"/>
  <c r="S60" i="9"/>
  <c r="M60" i="9"/>
  <c r="G60" i="9"/>
  <c r="Y59" i="9"/>
  <c r="S59" i="9"/>
  <c r="M59" i="9"/>
  <c r="G59" i="9"/>
  <c r="Y58" i="9"/>
  <c r="S58" i="9"/>
  <c r="M58" i="9"/>
  <c r="G58" i="9"/>
  <c r="Y57" i="9"/>
  <c r="S57" i="9"/>
  <c r="M57" i="9"/>
  <c r="G57" i="9"/>
  <c r="A65" i="9"/>
  <c r="A64" i="9"/>
  <c r="A63" i="9"/>
  <c r="A62" i="9"/>
  <c r="A61" i="9"/>
  <c r="A60" i="9"/>
  <c r="A59" i="9"/>
  <c r="A58" i="9"/>
  <c r="A57" i="9"/>
  <c r="Y26" i="9"/>
  <c r="S26" i="9"/>
  <c r="M26" i="9"/>
  <c r="G26" i="9"/>
  <c r="Y25" i="9"/>
  <c r="S25" i="9"/>
  <c r="M25" i="9"/>
  <c r="G25" i="9"/>
  <c r="Y24" i="9"/>
  <c r="S24" i="9"/>
  <c r="M24" i="9"/>
  <c r="G24" i="9"/>
  <c r="Y23" i="9"/>
  <c r="S23" i="9"/>
  <c r="M23" i="9"/>
  <c r="G23" i="9"/>
  <c r="Y22" i="9"/>
  <c r="S22" i="9"/>
  <c r="M22" i="9"/>
  <c r="G22" i="9"/>
  <c r="Y21" i="9"/>
  <c r="S21" i="9"/>
  <c r="M21" i="9"/>
  <c r="G21" i="9"/>
  <c r="Y20" i="9"/>
  <c r="S20" i="9"/>
  <c r="M20" i="9"/>
  <c r="G20" i="9"/>
  <c r="Y19" i="9"/>
  <c r="S19" i="9"/>
  <c r="M19" i="9"/>
  <c r="G19" i="9"/>
  <c r="Y18" i="9"/>
  <c r="S18" i="9"/>
  <c r="M18" i="9"/>
  <c r="G18" i="9"/>
  <c r="Y17" i="9"/>
  <c r="S17" i="9"/>
  <c r="M17" i="9"/>
  <c r="G17" i="9"/>
  <c r="F135" i="3"/>
  <c r="A136" i="3"/>
  <c r="A137" i="3"/>
  <c r="A138" i="3"/>
  <c r="A139" i="3"/>
  <c r="A140" i="3"/>
  <c r="A141" i="3"/>
  <c r="A142" i="3"/>
  <c r="A143" i="3"/>
  <c r="A144" i="3"/>
  <c r="A135" i="3"/>
  <c r="X144" i="3"/>
  <c r="R144" i="3"/>
  <c r="L144" i="3"/>
  <c r="F144" i="3"/>
  <c r="X143" i="3"/>
  <c r="R143" i="3"/>
  <c r="L143" i="3"/>
  <c r="F143" i="3"/>
  <c r="X142" i="3"/>
  <c r="R142" i="3"/>
  <c r="L142" i="3"/>
  <c r="F142" i="3"/>
  <c r="X141" i="3"/>
  <c r="R141" i="3"/>
  <c r="L141" i="3"/>
  <c r="F141" i="3"/>
  <c r="X140" i="3"/>
  <c r="R140" i="3"/>
  <c r="L140" i="3"/>
  <c r="F140" i="3"/>
  <c r="X139" i="3"/>
  <c r="R139" i="3"/>
  <c r="L139" i="3"/>
  <c r="F139" i="3"/>
  <c r="X138" i="3"/>
  <c r="R138" i="3"/>
  <c r="L138" i="3"/>
  <c r="F138" i="3"/>
  <c r="X137" i="3"/>
  <c r="R137" i="3"/>
  <c r="L137" i="3"/>
  <c r="F137" i="3"/>
  <c r="X136" i="3"/>
  <c r="R136" i="3"/>
  <c r="L136" i="3"/>
  <c r="F136" i="3"/>
  <c r="X135" i="3"/>
  <c r="R135" i="3"/>
  <c r="L135" i="3"/>
  <c r="J177" i="3"/>
  <c r="J170" i="3"/>
  <c r="J171" i="3"/>
  <c r="L171" i="3" s="1"/>
  <c r="J172" i="3"/>
  <c r="L172" i="3" s="1"/>
  <c r="J173" i="3"/>
  <c r="J174" i="3"/>
  <c r="L174" i="3" s="1"/>
  <c r="J175" i="3"/>
  <c r="J176" i="3"/>
  <c r="L176" i="3" s="1"/>
  <c r="J178" i="3"/>
  <c r="J169" i="3"/>
  <c r="L169" i="3" s="1"/>
  <c r="X178" i="3"/>
  <c r="R178" i="3"/>
  <c r="L178" i="3"/>
  <c r="F178" i="3"/>
  <c r="X177" i="3"/>
  <c r="R177" i="3"/>
  <c r="L177" i="3"/>
  <c r="F177" i="3"/>
  <c r="X176" i="3"/>
  <c r="R176" i="3"/>
  <c r="F176" i="3"/>
  <c r="X175" i="3"/>
  <c r="R175" i="3"/>
  <c r="L175" i="3"/>
  <c r="F175" i="3"/>
  <c r="X174" i="3"/>
  <c r="R174" i="3"/>
  <c r="F174" i="3"/>
  <c r="X173" i="3"/>
  <c r="R173" i="3"/>
  <c r="L173" i="3"/>
  <c r="F173" i="3"/>
  <c r="X172" i="3"/>
  <c r="R172" i="3"/>
  <c r="F172" i="3"/>
  <c r="X171" i="3"/>
  <c r="R171" i="3"/>
  <c r="F171" i="3"/>
  <c r="X170" i="3"/>
  <c r="R170" i="3"/>
  <c r="L170" i="3"/>
  <c r="F170" i="3"/>
  <c r="X169" i="3"/>
  <c r="R169" i="3"/>
  <c r="F169" i="3"/>
  <c r="N85" i="3"/>
  <c r="N86" i="3"/>
  <c r="N87" i="3"/>
  <c r="N88" i="3"/>
  <c r="N89" i="3"/>
  <c r="N90" i="3"/>
  <c r="N91" i="3"/>
  <c r="N92" i="3"/>
  <c r="N93" i="3"/>
  <c r="N84" i="3"/>
  <c r="X153" i="3"/>
  <c r="X155" i="3"/>
  <c r="X156" i="3"/>
  <c r="X157" i="3"/>
  <c r="X158" i="3"/>
  <c r="X151" i="3"/>
  <c r="R155" i="3"/>
  <c r="R154" i="3"/>
  <c r="R151" i="3"/>
  <c r="L155" i="3"/>
  <c r="L159" i="3"/>
  <c r="L151" i="3"/>
  <c r="X160" i="3"/>
  <c r="R160" i="3"/>
  <c r="L160" i="3"/>
  <c r="F160" i="3"/>
  <c r="X159" i="3"/>
  <c r="R159" i="3"/>
  <c r="F159" i="3"/>
  <c r="R158" i="3"/>
  <c r="L158" i="3"/>
  <c r="F158" i="3"/>
  <c r="R157" i="3"/>
  <c r="L157" i="3"/>
  <c r="F157" i="3"/>
  <c r="R156" i="3"/>
  <c r="L156" i="3"/>
  <c r="F156" i="3"/>
  <c r="F155" i="3"/>
  <c r="X154" i="3"/>
  <c r="L154" i="3"/>
  <c r="F154" i="3"/>
  <c r="R153" i="3"/>
  <c r="L153" i="3"/>
  <c r="F153" i="3"/>
  <c r="X152" i="3"/>
  <c r="R152" i="3"/>
  <c r="L152" i="3"/>
  <c r="F152" i="3"/>
  <c r="F151" i="3"/>
  <c r="X126" i="3"/>
  <c r="X125" i="3"/>
  <c r="X124" i="3"/>
  <c r="X123" i="3"/>
  <c r="X122" i="3"/>
  <c r="X121" i="3"/>
  <c r="X120" i="3"/>
  <c r="X119" i="3"/>
  <c r="X118" i="3"/>
  <c r="X117" i="3"/>
  <c r="F126" i="3"/>
  <c r="F125" i="3"/>
  <c r="F124" i="3"/>
  <c r="F123" i="3"/>
  <c r="F122" i="3"/>
  <c r="F121" i="3"/>
  <c r="F120" i="3"/>
  <c r="F119" i="3"/>
  <c r="F118" i="3"/>
  <c r="F117" i="3"/>
  <c r="R123" i="3"/>
  <c r="R124" i="3"/>
  <c r="R125" i="3"/>
  <c r="R126" i="3"/>
  <c r="L123" i="3"/>
  <c r="L124" i="3"/>
  <c r="L125" i="3"/>
  <c r="L126" i="3"/>
  <c r="R122" i="3"/>
  <c r="L122" i="3"/>
  <c r="R121" i="3"/>
  <c r="L121" i="3"/>
  <c r="R120" i="3"/>
  <c r="L120" i="3"/>
  <c r="R119" i="3"/>
  <c r="L119" i="3"/>
  <c r="R118" i="3"/>
  <c r="L118" i="3"/>
  <c r="R117" i="3"/>
  <c r="L117" i="3"/>
  <c r="N12" i="6"/>
  <c r="I139" i="6"/>
  <c r="C11" i="6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1" i="5"/>
  <c r="I145" i="5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F103" i="3"/>
  <c r="F102" i="3"/>
  <c r="F101" i="3"/>
  <c r="F100" i="3"/>
  <c r="F99" i="3"/>
  <c r="F98" i="3"/>
  <c r="F89" i="3"/>
  <c r="F88" i="3"/>
  <c r="F87" i="3"/>
  <c r="F86" i="3"/>
  <c r="F85" i="3"/>
  <c r="F84" i="3"/>
  <c r="S72" i="3"/>
  <c r="R72" i="3"/>
  <c r="P72" i="3"/>
  <c r="K72" i="3"/>
  <c r="F72" i="3"/>
  <c r="S71" i="3"/>
  <c r="R71" i="3"/>
  <c r="P71" i="3"/>
  <c r="K71" i="3"/>
  <c r="F71" i="3"/>
  <c r="S70" i="3"/>
  <c r="R70" i="3"/>
  <c r="P70" i="3"/>
  <c r="K70" i="3"/>
  <c r="F70" i="3"/>
  <c r="S69" i="3"/>
  <c r="R69" i="3"/>
  <c r="P69" i="3"/>
  <c r="K69" i="3"/>
  <c r="F69" i="3"/>
  <c r="S68" i="3"/>
  <c r="R68" i="3"/>
  <c r="P68" i="3"/>
  <c r="K68" i="3"/>
  <c r="F68" i="3"/>
  <c r="S67" i="3"/>
  <c r="R67" i="3"/>
  <c r="P67" i="3"/>
  <c r="K67" i="3"/>
  <c r="F67" i="3"/>
  <c r="M57" i="3"/>
  <c r="D43" i="3"/>
  <c r="K40" i="3"/>
  <c r="F39" i="3"/>
  <c r="T37" i="3"/>
  <c r="K37" i="3"/>
  <c r="F37" i="3"/>
  <c r="Y36" i="3"/>
  <c r="K36" i="3"/>
  <c r="F36" i="3"/>
  <c r="K35" i="3"/>
  <c r="F35" i="3"/>
  <c r="Y34" i="3"/>
  <c r="K34" i="3"/>
  <c r="F34" i="3"/>
  <c r="AB31" i="3"/>
  <c r="Y31" i="3"/>
  <c r="Y30" i="3"/>
  <c r="O30" i="3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Y29" i="3"/>
  <c r="Y28" i="3"/>
  <c r="M21" i="3"/>
  <c r="K21" i="3"/>
  <c r="M20" i="3"/>
  <c r="F20" i="3"/>
  <c r="B20" i="3"/>
  <c r="M19" i="3"/>
  <c r="B19" i="3"/>
  <c r="M18" i="3"/>
  <c r="K18" i="3"/>
  <c r="F18" i="3"/>
  <c r="B18" i="3"/>
  <c r="M17" i="3"/>
  <c r="K17" i="3"/>
  <c r="F17" i="3"/>
  <c r="B17" i="3"/>
  <c r="M16" i="3"/>
  <c r="K16" i="3"/>
  <c r="F16" i="3"/>
  <c r="B16" i="3"/>
  <c r="M15" i="3"/>
  <c r="K15" i="3"/>
  <c r="F15" i="3"/>
  <c r="B15" i="3"/>
  <c r="AE14" i="3"/>
  <c r="AE15" i="3" s="1"/>
  <c r="AE16" i="3" s="1"/>
  <c r="AE17" i="3" s="1"/>
  <c r="AE18" i="3" s="1"/>
  <c r="AE19" i="3" s="1"/>
  <c r="AE20" i="3" s="1"/>
  <c r="AE21" i="3" s="1"/>
  <c r="AE22" i="3" s="1"/>
  <c r="AE23" i="3" s="1"/>
  <c r="AE24" i="3" s="1"/>
  <c r="AE25" i="3" s="1"/>
  <c r="AE26" i="3" s="1"/>
  <c r="AC12" i="3"/>
  <c r="AC14" i="3" s="1"/>
  <c r="AC15" i="3" s="1"/>
  <c r="AC16" i="3" s="1"/>
  <c r="AC17" i="3" s="1"/>
  <c r="AC18" i="3" s="1"/>
  <c r="AC19" i="3" s="1"/>
  <c r="AC20" i="3" s="1"/>
  <c r="AC21" i="3" s="1"/>
  <c r="AC22" i="3" s="1"/>
  <c r="AC23" i="3" s="1"/>
  <c r="AC24" i="3" s="1"/>
  <c r="AC25" i="3" s="1"/>
  <c r="AC26" i="3" s="1"/>
  <c r="AB12" i="3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Z12" i="3"/>
  <c r="V10" i="3"/>
  <c r="V12" i="3" s="1"/>
  <c r="V13" i="3" s="1"/>
  <c r="V14" i="3" s="1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2" i="3" s="1"/>
  <c r="V33" i="3" s="1"/>
  <c r="V34" i="3" s="1"/>
  <c r="V35" i="3" s="1"/>
  <c r="T10" i="2"/>
  <c r="I139" i="2"/>
  <c r="C11" i="2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F19" i="3" l="1"/>
  <c r="K38" i="3"/>
  <c r="K20" i="3"/>
  <c r="K39" i="3"/>
  <c r="K19" i="3"/>
  <c r="F38" i="3"/>
</calcChain>
</file>

<file path=xl/sharedStrings.xml><?xml version="1.0" encoding="utf-8"?>
<sst xmlns="http://schemas.openxmlformats.org/spreadsheetml/2006/main" count="1489" uniqueCount="192">
  <si>
    <t xml:space="preserve"> sh_rc_ratio_vel_match_rzeta_1.xlsx</t>
  </si>
  <si>
    <t xml:space="preserve"> 8-19-2</t>
  </si>
  <si>
    <t xml:space="preserve"> We created  quickLookSh_dynoshock_rc_ratio.xlsx  to see the velocities that match r-zeta 1.00</t>
  </si>
  <si>
    <t xml:space="preserve"> We will copy a few and average.</t>
  </si>
  <si>
    <t>ds date</t>
  </si>
  <si>
    <t>ds_id</t>
  </si>
  <si>
    <t>vs_id</t>
  </si>
  <si>
    <t>bi_smfg</t>
  </si>
  <si>
    <t>yrmodsize</t>
  </si>
  <si>
    <t>filetype</t>
  </si>
  <si>
    <t>ips for r-zeta 1.00</t>
  </si>
  <si>
    <t>r-zeta = 1.00</t>
  </si>
  <si>
    <t>WP</t>
  </si>
  <si>
    <t>2019 SXF 350</t>
  </si>
  <si>
    <t>GP Spec Sheet</t>
  </si>
  <si>
    <t>2019 XCF 450</t>
  </si>
  <si>
    <t>Dyno Test</t>
  </si>
  <si>
    <t>2016 XCF 450</t>
  </si>
  <si>
    <t>2017 XC 300</t>
  </si>
  <si>
    <t>2018 XC 300</t>
  </si>
  <si>
    <t>Shock Piston Band</t>
  </si>
  <si>
    <t>2016 SXF 350</t>
  </si>
  <si>
    <t>2018 SXF 350</t>
  </si>
  <si>
    <t>Stock Dyno</t>
  </si>
  <si>
    <t>2019 XCF 350</t>
  </si>
  <si>
    <t>2019 SXF 450</t>
  </si>
  <si>
    <t>2017 XC 127TR 150</t>
  </si>
  <si>
    <t>2021 SXF 350</t>
  </si>
  <si>
    <t>2021 SXF 250</t>
  </si>
  <si>
    <t>2021 XCF 350</t>
  </si>
  <si>
    <t>2019 XC 300</t>
  </si>
  <si>
    <t>2020 SXF 450</t>
  </si>
  <si>
    <t>2018 SXF 15L 450</t>
  </si>
  <si>
    <t>2021 XC 300</t>
  </si>
  <si>
    <t>2017 XCF 350</t>
  </si>
  <si>
    <t>2021 TE 300</t>
  </si>
  <si>
    <t>2022 EXF 350</t>
  </si>
  <si>
    <t>2022 SXF 350</t>
  </si>
  <si>
    <t xml:space="preserve">  Average of all 128</t>
  </si>
  <si>
    <t xml:space="preserve"> 2ips or less</t>
  </si>
  <si>
    <t xml:space="preserve"> 7 - 8 ips</t>
  </si>
  <si>
    <t xml:space="preserve"> 2 - 3 ips</t>
  </si>
  <si>
    <t xml:space="preserve"> 3 - 4 ips</t>
  </si>
  <si>
    <t xml:space="preserve"> 4 - 5 ips</t>
  </si>
  <si>
    <t xml:space="preserve"> 5 - 6 ips</t>
  </si>
  <si>
    <t xml:space="preserve"> 6 - 7 ips</t>
  </si>
  <si>
    <t xml:space="preserve"> 8 - 9 ips</t>
  </si>
  <si>
    <t xml:space="preserve"> 9 - 10 ips</t>
  </si>
  <si>
    <t xml:space="preserve">  ips</t>
  </si>
  <si>
    <t xml:space="preserve"> Average ips of all 128 records matching r-zeta 1.00</t>
  </si>
  <si>
    <t xml:space="preserve"> Total records</t>
  </si>
  <si>
    <t xml:space="preserve"> Number of tests at each velocity range</t>
  </si>
  <si>
    <t xml:space="preserve"> velocity range</t>
  </si>
  <si>
    <t xml:space="preserve"> # of tests</t>
  </si>
  <si>
    <t xml:space="preserve"> 1</t>
  </si>
  <si>
    <t xml:space="preserve"> ips</t>
  </si>
  <si>
    <t xml:space="preserve"> r-zeta</t>
  </si>
  <si>
    <t xml:space="preserve">  (1.1-.97)</t>
  </si>
  <si>
    <t xml:space="preserve">  (1.23-.99)</t>
  </si>
  <si>
    <t xml:space="preserve">  (.13*100)</t>
  </si>
  <si>
    <t xml:space="preserve">  (.24*100)</t>
  </si>
  <si>
    <t xml:space="preserve">  (1/13)</t>
  </si>
  <si>
    <t xml:space="preserve">  (5/24)</t>
  </si>
  <si>
    <t xml:space="preserve">  (1-.97)</t>
  </si>
  <si>
    <t xml:space="preserve">  (1-.99)</t>
  </si>
  <si>
    <t xml:space="preserve">  (.03/.13)</t>
  </si>
  <si>
    <t xml:space="preserve">  (.01/.24)</t>
  </si>
  <si>
    <t xml:space="preserve">  (.23077 + 1)</t>
  </si>
  <si>
    <t xml:space="preserve">  (.04167*5)</t>
  </si>
  <si>
    <t xml:space="preserve">  (.20535+5)</t>
  </si>
  <si>
    <t xml:space="preserve"> =   (     1     -     F35     )     /     (     F36     -     F35     )     +    (  E36  -  1  )</t>
  </si>
  <si>
    <t xml:space="preserve">  =    ((     1     -     K35     )     /     (     K36     -     K35     )     *     5     )     +     5</t>
  </si>
  <si>
    <t>zeta 1</t>
  </si>
  <si>
    <t>zeta 2</t>
  </si>
  <si>
    <t xml:space="preserve"> zeta 2</t>
  </si>
  <si>
    <t xml:space="preserve"> D29 55-997 x 1.0</t>
  </si>
  <si>
    <t xml:space="preserve"> 109 x .85</t>
  </si>
  <si>
    <t xml:space="preserve"> 109 x .64</t>
  </si>
  <si>
    <t xml:space="preserve"> considered soft comp and D26  baseline reb</t>
  </si>
  <si>
    <t xml:space="preserve"> considered very soft comp and D26 baselne reb</t>
  </si>
  <si>
    <t xml:space="preserve"> 2/1</t>
  </si>
  <si>
    <t xml:space="preserve"> 2/2</t>
  </si>
  <si>
    <t xml:space="preserve"> actual 3783  (with low drag)</t>
  </si>
  <si>
    <t xml:space="preserve"> target 3783 to get 1.0 at 5ips</t>
  </si>
  <si>
    <t xml:space="preserve"> target 3783 to get 1.0 at 2ips</t>
  </si>
  <si>
    <t>reb % diff</t>
  </si>
  <si>
    <t>comp % diff</t>
  </si>
  <si>
    <t>ips</t>
  </si>
  <si>
    <t>reb</t>
  </si>
  <si>
    <t>comp</t>
  </si>
  <si>
    <t>r/c ratio</t>
  </si>
  <si>
    <t>r-zeta 1.00 at 5ips can occure with both soft comp</t>
  </si>
  <si>
    <t>and fast reb AS WELL AS stiff comp with slower reb.</t>
  </si>
  <si>
    <t>softer</t>
  </si>
  <si>
    <t xml:space="preserve"> D29 55-997 x .89</t>
  </si>
  <si>
    <t xml:space="preserve"> 109 x .745</t>
  </si>
  <si>
    <t>stiffer</t>
  </si>
  <si>
    <t xml:space="preserve"> D29 55-997 x 1.12</t>
  </si>
  <si>
    <t xml:space="preserve"> 109 x .96</t>
  </si>
  <si>
    <t xml:space="preserve"> 8-19-22</t>
  </si>
  <si>
    <t xml:space="preserve"> We added   quickLookSh_dynoshock_rc_ratio.php   to vdb.</t>
  </si>
  <si>
    <t xml:space="preserve"> This code was used to determine the exact ips where r-zeta = 1.00</t>
  </si>
  <si>
    <t xml:space="preserve"> 8-20-22</t>
  </si>
  <si>
    <t xml:space="preserve"> We created  quickLookSh_dynoshock_rc_ratio.xlsx  to see r/c ratio at 50ips</t>
  </si>
  <si>
    <t xml:space="preserve"> Find minimum and max for comparison.</t>
  </si>
  <si>
    <t>Total records 134</t>
  </si>
  <si>
    <t>divide r/c ratio</t>
  </si>
  <si>
    <t>by aver 1.93</t>
  </si>
  <si>
    <t xml:space="preserve">  Average</t>
  </si>
  <si>
    <t>a</t>
  </si>
  <si>
    <t xml:space="preserve"> Average r/c ratio of all records</t>
  </si>
  <si>
    <t>ips for</t>
  </si>
  <si>
    <t>r-zeta 1.00</t>
  </si>
  <si>
    <t xml:space="preserve"> 2-3 ips</t>
  </si>
  <si>
    <t xml:space="preserve"> 3-4 ips</t>
  </si>
  <si>
    <t xml:space="preserve"> 4-5 ips</t>
  </si>
  <si>
    <t xml:space="preserve"> 5-6 ips</t>
  </si>
  <si>
    <t xml:space="preserve"> 6-7 ips</t>
  </si>
  <si>
    <t xml:space="preserve"> 7-8 ips</t>
  </si>
  <si>
    <t xml:space="preserve"> 8-9 ips</t>
  </si>
  <si>
    <t xml:space="preserve"> 9-10 ips</t>
  </si>
  <si>
    <t>1-2ips</t>
  </si>
  <si>
    <t xml:space="preserve"> Average ips of all records matching r-zeta 1.00</t>
  </si>
  <si>
    <t xml:space="preserve"> pgdn for 1-10ips comparisons</t>
  </si>
  <si>
    <t xml:space="preserve">  e.g.  If softer comp requires faster reb shoot for r-zeta 1.00 at 2ips</t>
  </si>
  <si>
    <t xml:space="preserve"> use test 3783s with low drag</t>
  </si>
  <si>
    <t xml:space="preserve"> 5ips</t>
  </si>
  <si>
    <t xml:space="preserve"> 4ips</t>
  </si>
  <si>
    <t xml:space="preserve"> 3ips</t>
  </si>
  <si>
    <t xml:space="preserve"> 2ips</t>
  </si>
  <si>
    <t xml:space="preserve"> 109 x .77</t>
  </si>
  <si>
    <t xml:space="preserve"> 109 x .70</t>
  </si>
  <si>
    <t xml:space="preserve"> If softer comp requires faster reb you would shoot for r-zeta 1.00 at 2ips, for example.</t>
  </si>
  <si>
    <t xml:space="preserve"> 4096</t>
  </si>
  <si>
    <t xml:space="preserve"> D29 55-997 x .92</t>
  </si>
  <si>
    <t xml:space="preserve"> D29 55-997 x .78</t>
  </si>
  <si>
    <t xml:space="preserve"> D29 55-997 x .845</t>
  </si>
  <si>
    <t>r-zeta</t>
  </si>
  <si>
    <t xml:space="preserve"> D29 55-887 x .99</t>
  </si>
  <si>
    <t xml:space="preserve"> The above is wrong, we would never run that fast reb at 2ips.  Maintain -55 at 2ips</t>
  </si>
  <si>
    <t xml:space="preserve"> Start one step faster reb</t>
  </si>
  <si>
    <t xml:space="preserve"> D29 55-940 x 1.0</t>
  </si>
  <si>
    <t xml:space="preserve"> 109 x .81</t>
  </si>
  <si>
    <t xml:space="preserve"> 8-21-22</t>
  </si>
  <si>
    <t xml:space="preserve"> lbs cforce at 2ips</t>
  </si>
  <si>
    <t xml:space="preserve"> baseline with D29 reb</t>
  </si>
  <si>
    <t xml:space="preserve"> baseline with Linear reb</t>
  </si>
  <si>
    <t xml:space="preserve"> 109 x .91</t>
  </si>
  <si>
    <t xml:space="preserve"> L 55-997 x 1.0</t>
  </si>
  <si>
    <t xml:space="preserve"> 109 x .825</t>
  </si>
  <si>
    <t xml:space="preserve"> 109 x .735</t>
  </si>
  <si>
    <t xml:space="preserve"> 109 x .645</t>
  </si>
  <si>
    <t xml:space="preserve"> L 55-997 x .915</t>
  </si>
  <si>
    <t xml:space="preserve"> L 55-997 x .825</t>
  </si>
  <si>
    <t xml:space="preserve"> 4.55 kg spr</t>
  </si>
  <si>
    <t xml:space="preserve"> 5.5 kg spr</t>
  </si>
  <si>
    <t>actual</t>
  </si>
  <si>
    <t xml:space="preserve">  Only r-zeta changes from spr</t>
  </si>
  <si>
    <t xml:space="preserve"> Corey</t>
  </si>
  <si>
    <t xml:space="preserve"> r-zeta is at minimum</t>
  </si>
  <si>
    <t xml:space="preserve"> lbs cforce at 50ips</t>
  </si>
  <si>
    <t>change -&gt;</t>
  </si>
  <si>
    <t xml:space="preserve"> [actual cforce]</t>
  </si>
  <si>
    <t xml:space="preserve"> D46 51-1054 x 1.0</t>
  </si>
  <si>
    <t>THIS TARGET IS A CLOSE MATCH TO ACTUAL</t>
  </si>
  <si>
    <t xml:space="preserve"> 109 x .545</t>
  </si>
  <si>
    <t xml:space="preserve"> actual cforce at 50ips</t>
  </si>
  <si>
    <t xml:space="preserve"> caforce at 50ips</t>
  </si>
  <si>
    <t xml:space="preserve"> 103 x .693</t>
  </si>
  <si>
    <t xml:space="preserve"> D46 51-1054 x .91</t>
  </si>
  <si>
    <t xml:space="preserve"> 109 x .58</t>
  </si>
  <si>
    <t xml:space="preserve"> 109 x .51</t>
  </si>
  <si>
    <t xml:space="preserve"> 109 x .54</t>
  </si>
  <si>
    <t>we could try any of these 3</t>
  </si>
  <si>
    <t xml:space="preserve"> shcrz_rcratio_rzeta.xlsx</t>
  </si>
  <si>
    <t xml:space="preserve">    This started as a r/c ratio comparitive analyzis, but that is too complicated. </t>
  </si>
  <si>
    <t xml:space="preserve">    Use it to compare known comp and reb force at known velocities:</t>
  </si>
  <si>
    <t xml:space="preserve">        cforce numbers at 2 &amp; 50ips </t>
  </si>
  <si>
    <t xml:space="preserve">        reb numers and r-zeta at 2 &amp; 40ips</t>
  </si>
  <si>
    <t xml:space="preserve"> Compare Linear rebound and D26 rebound as well as r/c ratio and r-zeta.</t>
  </si>
  <si>
    <t xml:space="preserve"> We stepped down the velocity position of r/c ratio 1.00 at   5 - 4 - 3 - 2 ips.</t>
  </si>
  <si>
    <t xml:space="preserve"> [3783s]</t>
  </si>
  <si>
    <t xml:space="preserve"> [4096s]</t>
  </si>
  <si>
    <t xml:space="preserve"> 4096s</t>
  </si>
  <si>
    <t xml:space="preserve"> [4.55 kg for zeta] </t>
  </si>
  <si>
    <t>reduce comp and reb</t>
  </si>
  <si>
    <t xml:space="preserve"> analyze Corey 4096</t>
  </si>
  <si>
    <t xml:space="preserve"> The fasted reb we have in vdb is  -47, -861  [4087s Tom Howard]</t>
  </si>
  <si>
    <t xml:space="preserve"> Too much reb for this soft comp?</t>
  </si>
  <si>
    <t xml:space="preserve"> 109 x .845</t>
  </si>
  <si>
    <t xml:space="preserve"> We put a link on vdb with this info</t>
  </si>
  <si>
    <t xml:space="preserve"> openDynoSh_press_a_target.php    [sh - r/c ratio - rzeta]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</si>
</sst>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8" x14ac:knownFonts="1">
    <font>
      <sz val="11"/>
      <color theme="1"/>
      <name val="Calibri"/>
      <family val="2"/>
      <scheme val="minor"/>
    </font>
    <font>
      <sz val="9"/>
      <color rgb="FF000000"/>
      <name val="Trebuchet MS"/>
      <family val="2"/>
    </font>
    <font>
      <sz val="8"/>
      <color rgb="FFB34040"/>
      <name val="Trebuchet MS"/>
      <family val="2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rgb="FFC00000"/>
      <name val="Trebuchet MS"/>
      <family val="2"/>
    </font>
    <font>
      <u/>
      <sz val="1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B34040"/>
      <name val="MS Reference Sans Serif"/>
      <family val="2"/>
    </font>
    <font>
      <sz val="8"/>
      <color theme="1"/>
      <name val="MS Reference Sans Serif"/>
      <family val="2"/>
    </font>
    <font>
      <i/>
      <sz val="8"/>
      <color theme="1"/>
      <name val="MS Reference Sans Serif"/>
      <family val="2"/>
    </font>
    <font>
      <sz val="8"/>
      <color rgb="FF000000"/>
      <name val="MS Reference Sans Serif"/>
      <family val="2"/>
    </font>
    <font>
      <sz val="8"/>
      <color rgb="FF0070C0"/>
      <name val="MS Reference Sans Serif"/>
      <family val="2"/>
    </font>
    <font>
      <sz val="8"/>
      <color rgb="FFC00000"/>
      <name val="MS Reference Sans Serif"/>
      <family val="2"/>
    </font>
    <font>
      <b/>
      <sz val="8"/>
      <color theme="1"/>
      <name val="MS Reference Sans Serif"/>
      <family val="2"/>
    </font>
    <font>
      <sz val="8"/>
      <color rgb="FF949494"/>
      <name val="Trebuchet MS"/>
      <family val="2"/>
    </font>
    <font>
      <sz val="9"/>
      <color rgb="FF949494"/>
      <name val="Trebuchet MS"/>
      <family val="2"/>
    </font>
    <font>
      <sz val="8"/>
      <color rgb="FFB84141"/>
      <name val="Trebuchet MS"/>
      <family val="2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rgb="FF00A24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F4F4F4"/>
      </left>
      <right style="thin">
        <color rgb="FFF4F4F4"/>
      </right>
      <top style="thin">
        <color rgb="FFF4F4F4"/>
      </top>
      <bottom style="thin">
        <color rgb="FFF4F4F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4F4F4"/>
      </left>
      <right style="thin">
        <color rgb="FFF4F4F4"/>
      </right>
      <top style="thin">
        <color rgb="FFF4F4F4"/>
      </top>
      <bottom/>
      <diagonal/>
    </border>
    <border>
      <left style="thin">
        <color rgb="FFF4F4F4"/>
      </left>
      <right/>
      <top style="thin">
        <color rgb="FFF4F4F4"/>
      </top>
      <bottom style="thin">
        <color rgb="FFF4F4F4"/>
      </bottom>
      <diagonal/>
    </border>
    <border>
      <left/>
      <right style="thin">
        <color rgb="FFF4F4F4"/>
      </right>
      <top style="thin">
        <color rgb="FFF4F4F4"/>
      </top>
      <bottom style="thin">
        <color rgb="FFF4F4F4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/>
      <top style="thin">
        <color rgb="FFEEEEEE"/>
      </top>
      <bottom style="thin">
        <color rgb="FFEEEEEE"/>
      </bottom>
      <diagonal/>
    </border>
    <border>
      <left/>
      <right style="thin">
        <color rgb="FFEEEEEE"/>
      </right>
      <top style="thin">
        <color rgb="FFEEEEEE"/>
      </top>
      <bottom style="thin">
        <color rgb="FFEEEEEE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/>
      <right/>
      <top/>
      <bottom style="dotted">
        <color rgb="FF00B050"/>
      </bottom>
      <diagonal/>
    </border>
    <border>
      <left style="thin">
        <color rgb="FFDED900"/>
      </left>
      <right style="thin">
        <color rgb="FFDED900"/>
      </right>
      <top style="thin">
        <color rgb="FFDED900"/>
      </top>
      <bottom style="thin">
        <color rgb="FFDED900"/>
      </bottom>
      <diagonal/>
    </border>
    <border>
      <left/>
      <right style="thin">
        <color rgb="FF00B050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4" fillId="0" borderId="0" xfId="0" applyFont="1"/>
    <xf numFmtId="0" fontId="1" fillId="3" borderId="1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/>
    <xf numFmtId="0" fontId="8" fillId="0" borderId="0" xfId="0" applyFont="1"/>
    <xf numFmtId="0" fontId="0" fillId="0" borderId="0" xfId="0" quotePrefix="1" applyAlignment="1">
      <alignment horizontal="center"/>
    </xf>
    <xf numFmtId="0" fontId="0" fillId="5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9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3" xfId="0" quotePrefix="1" applyFont="1" applyFill="1" applyBorder="1" applyAlignment="1">
      <alignment horizontal="left" vertical="center"/>
    </xf>
    <xf numFmtId="0" fontId="16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/>
    </xf>
    <xf numFmtId="2" fontId="13" fillId="0" borderId="0" xfId="0" applyNumberFormat="1" applyFont="1"/>
    <xf numFmtId="2" fontId="12" fillId="0" borderId="2" xfId="0" applyNumberFormat="1" applyFont="1" applyBorder="1" applyAlignment="1">
      <alignment horizontal="center" vertical="center" wrapText="1"/>
    </xf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1" xfId="0" quotePrefix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" xfId="0" quotePrefix="1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4" fillId="6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9" fillId="7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center" vertical="center" wrapText="1"/>
    </xf>
    <xf numFmtId="165" fontId="21" fillId="9" borderId="8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0" borderId="0" xfId="0" quotePrefix="1" applyFont="1" applyAlignment="1">
      <alignment horizontal="left"/>
    </xf>
    <xf numFmtId="0" fontId="1" fillId="9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quotePrefix="1" applyFont="1" applyAlignment="1">
      <alignment horizontal="left"/>
    </xf>
    <xf numFmtId="1" fontId="4" fillId="0" borderId="9" xfId="0" applyNumberFormat="1" applyFont="1" applyBorder="1" applyAlignment="1">
      <alignment horizontal="center"/>
    </xf>
    <xf numFmtId="0" fontId="0" fillId="0" borderId="0" xfId="0" applyBorder="1"/>
    <xf numFmtId="0" fontId="0" fillId="5" borderId="0" xfId="0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4" fillId="6" borderId="0" xfId="0" applyNumberFormat="1" applyFon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5" xfId="0" quotePrefix="1" applyBorder="1" applyAlignment="1">
      <alignment horizontal="left"/>
    </xf>
    <xf numFmtId="0" fontId="0" fillId="5" borderId="15" xfId="0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2" fillId="6" borderId="1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13" xfId="0" quotePrefix="1" applyFont="1" applyBorder="1" applyAlignment="1">
      <alignment horizontal="right"/>
    </xf>
    <xf numFmtId="0" fontId="22" fillId="0" borderId="13" xfId="0" applyFont="1" applyBorder="1"/>
    <xf numFmtId="0" fontId="22" fillId="0" borderId="0" xfId="0" quotePrefix="1" applyFont="1" applyBorder="1" applyAlignment="1">
      <alignment horizontal="right"/>
    </xf>
    <xf numFmtId="0" fontId="22" fillId="0" borderId="0" xfId="0" quotePrefix="1" applyFont="1" applyBorder="1" applyAlignment="1">
      <alignment horizontal="left"/>
    </xf>
    <xf numFmtId="0" fontId="0" fillId="10" borderId="15" xfId="0" applyFill="1" applyBorder="1" applyAlignment="1">
      <alignment horizontal="center"/>
    </xf>
    <xf numFmtId="1" fontId="4" fillId="10" borderId="0" xfId="0" applyNumberFormat="1" applyFont="1" applyFill="1" applyBorder="1" applyAlignment="1">
      <alignment horizontal="center"/>
    </xf>
    <xf numFmtId="2" fontId="0" fillId="10" borderId="0" xfId="0" applyNumberFormat="1" applyFill="1" applyBorder="1" applyAlignment="1">
      <alignment horizontal="center"/>
    </xf>
    <xf numFmtId="0" fontId="0" fillId="0" borderId="12" xfId="0" applyBorder="1"/>
    <xf numFmtId="0" fontId="0" fillId="0" borderId="0" xfId="0" quotePrefix="1" applyBorder="1" applyAlignment="1">
      <alignment horizontal="left"/>
    </xf>
    <xf numFmtId="0" fontId="26" fillId="0" borderId="0" xfId="0" quotePrefix="1" applyFont="1" applyBorder="1" applyAlignment="1">
      <alignment horizontal="left"/>
    </xf>
    <xf numFmtId="0" fontId="3" fillId="0" borderId="15" xfId="0" applyFont="1" applyBorder="1"/>
    <xf numFmtId="0" fontId="22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25" fillId="0" borderId="15" xfId="0" applyFont="1" applyBorder="1" applyAlignment="1">
      <alignment horizontal="right"/>
    </xf>
    <xf numFmtId="0" fontId="24" fillId="0" borderId="0" xfId="0" quotePrefix="1" applyFont="1" applyBorder="1" applyAlignment="1">
      <alignment horizontal="left"/>
    </xf>
    <xf numFmtId="0" fontId="24" fillId="5" borderId="0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0" fillId="0" borderId="17" xfId="0" applyBorder="1"/>
    <xf numFmtId="0" fontId="0" fillId="0" borderId="11" xfId="0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11" xfId="0" applyBorder="1"/>
    <xf numFmtId="0" fontId="0" fillId="0" borderId="18" xfId="0" applyBorder="1"/>
    <xf numFmtId="0" fontId="22" fillId="0" borderId="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0" xfId="0" quotePrefix="1" applyFont="1" applyBorder="1" applyAlignment="1">
      <alignment horizontal="left"/>
    </xf>
    <xf numFmtId="0" fontId="23" fillId="5" borderId="0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22" fillId="10" borderId="0" xfId="0" applyFont="1" applyFill="1" applyBorder="1" applyAlignment="1">
      <alignment horizontal="center"/>
    </xf>
    <xf numFmtId="0" fontId="11" fillId="0" borderId="13" xfId="0" quotePrefix="1" applyFont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0" xfId="0" applyFill="1" applyBorder="1"/>
    <xf numFmtId="0" fontId="0" fillId="0" borderId="16" xfId="0" quotePrefix="1" applyBorder="1" applyAlignment="1">
      <alignment horizontal="right"/>
    </xf>
    <xf numFmtId="0" fontId="27" fillId="0" borderId="0" xfId="0" quotePrefix="1" applyFont="1" applyBorder="1" applyAlignment="1">
      <alignment horizontal="left"/>
    </xf>
    <xf numFmtId="1" fontId="4" fillId="0" borderId="19" xfId="0" applyNumberFormat="1" applyFont="1" applyBorder="1" applyAlignment="1">
      <alignment horizontal="center"/>
    </xf>
    <xf numFmtId="0" fontId="22" fillId="0" borderId="19" xfId="0" quotePrefix="1" applyFont="1" applyBorder="1" applyAlignment="1">
      <alignment horizontal="right"/>
    </xf>
    <xf numFmtId="1" fontId="4" fillId="0" borderId="19" xfId="0" applyNumberFormat="1" applyFont="1" applyFill="1" applyBorder="1" applyAlignment="1">
      <alignment horizontal="center"/>
    </xf>
    <xf numFmtId="1" fontId="4" fillId="6" borderId="19" xfId="0" applyNumberFormat="1" applyFont="1" applyFill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1" fontId="4" fillId="10" borderId="19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D900"/>
      <color rgb="FFF4EE00"/>
      <color rgb="FF00A24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486832</xdr:colOff>
      <xdr:row>126</xdr:row>
      <xdr:rowOff>100544</xdr:rowOff>
    </xdr:from>
    <xdr:to>
      <xdr:col>25</xdr:col>
      <xdr:colOff>84666</xdr:colOff>
      <xdr:row>128</xdr:row>
      <xdr:rowOff>31753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AE377CE-9EF5-9D40-AA4E-B1F75AF14EA6}"/>
            </a:ext>
          </a:extLst>
        </xdr:cNvPr>
        <xdr:cNvSpPr/>
      </xdr:nvSpPr>
      <xdr:spPr>
        <a:xfrm rot="5400000">
          <a:off x="9903353" y="17216440"/>
          <a:ext cx="312209" cy="9260417"/>
        </a:xfrm>
        <a:prstGeom prst="rightBrace">
          <a:avLst>
            <a:gd name="adj1" fmla="val 2725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582705</xdr:colOff>
      <xdr:row>41</xdr:row>
      <xdr:rowOff>123265</xdr:rowOff>
    </xdr:from>
    <xdr:to>
      <xdr:col>4</xdr:col>
      <xdr:colOff>1</xdr:colOff>
      <xdr:row>43</xdr:row>
      <xdr:rowOff>22415</xdr:rowOff>
    </xdr:to>
    <xdr:cxnSp macro="">
      <xdr:nvCxnSpPr>
        <xdr:cNvPr id="9" name="Connector: Elbow 8">
          <a:extLst>
            <a:ext uri="{FF2B5EF4-FFF2-40B4-BE49-F238E27FC236}">
              <a16:creationId xmlns:a16="http://schemas.microsoft.com/office/drawing/2014/main" id="{C56C9284-A832-A2B8-9125-146B1C3DFCB8}"/>
            </a:ext>
          </a:extLst>
        </xdr:cNvPr>
        <xdr:cNvCxnSpPr/>
      </xdr:nvCxnSpPr>
      <xdr:spPr>
        <a:xfrm rot="5400000">
          <a:off x="1888190" y="8029016"/>
          <a:ext cx="280150" cy="134472"/>
        </a:xfrm>
        <a:prstGeom prst="bentConnector3">
          <a:avLst>
            <a:gd name="adj1" fmla="val -2000"/>
          </a:avLst>
        </a:prstGeom>
        <a:ln>
          <a:solidFill>
            <a:srgbClr val="DED900"/>
          </a:solidFill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60</xdr:row>
      <xdr:rowOff>95250</xdr:rowOff>
    </xdr:from>
    <xdr:to>
      <xdr:col>3</xdr:col>
      <xdr:colOff>705972</xdr:colOff>
      <xdr:row>61</xdr:row>
      <xdr:rowOff>89648</xdr:rowOff>
    </xdr:to>
    <xdr:cxnSp macro="">
      <xdr:nvCxnSpPr>
        <xdr:cNvPr id="16" name="Connector: Elbow 15">
          <a:extLst>
            <a:ext uri="{FF2B5EF4-FFF2-40B4-BE49-F238E27FC236}">
              <a16:creationId xmlns:a16="http://schemas.microsoft.com/office/drawing/2014/main" id="{356AB935-1288-4A12-9761-922290460DDD}"/>
            </a:ext>
          </a:extLst>
        </xdr:cNvPr>
        <xdr:cNvCxnSpPr/>
      </xdr:nvCxnSpPr>
      <xdr:spPr>
        <a:xfrm rot="16200000" flipV="1">
          <a:off x="1932175" y="11583800"/>
          <a:ext cx="184898" cy="124947"/>
        </a:xfrm>
        <a:prstGeom prst="bentConnector3">
          <a:avLst>
            <a:gd name="adj1" fmla="val -6666"/>
          </a:avLst>
        </a:prstGeom>
        <a:ln>
          <a:solidFill>
            <a:srgbClr val="DED900"/>
          </a:solidFill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575733</xdr:colOff>
      <xdr:row>35</xdr:row>
      <xdr:rowOff>102660</xdr:rowOff>
    </xdr:from>
    <xdr:to>
      <xdr:col>9</xdr:col>
      <xdr:colOff>700680</xdr:colOff>
      <xdr:row>36</xdr:row>
      <xdr:rowOff>97058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2D69D595-7B65-4539-91F0-CA62F6048C81}"/>
            </a:ext>
          </a:extLst>
        </xdr:cNvPr>
        <xdr:cNvCxnSpPr/>
      </xdr:nvCxnSpPr>
      <xdr:spPr>
        <a:xfrm rot="16200000" flipV="1">
          <a:off x="5488175" y="6821302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571500</xdr:colOff>
      <xdr:row>42</xdr:row>
      <xdr:rowOff>95252</xdr:rowOff>
    </xdr:from>
    <xdr:to>
      <xdr:col>9</xdr:col>
      <xdr:colOff>696447</xdr:colOff>
      <xdr:row>43</xdr:row>
      <xdr:rowOff>89650</xdr:rowOff>
    </xdr:to>
    <xdr:cxnSp macro="">
      <xdr:nvCxnSpPr>
        <xdr:cNvPr id="4" name="Connector: Elbow 3">
          <a:extLst>
            <a:ext uri="{FF2B5EF4-FFF2-40B4-BE49-F238E27FC236}">
              <a16:creationId xmlns:a16="http://schemas.microsoft.com/office/drawing/2014/main" id="{07312D21-A152-4C8C-B456-2E1ADB125487}"/>
            </a:ext>
          </a:extLst>
        </xdr:cNvPr>
        <xdr:cNvCxnSpPr/>
      </xdr:nvCxnSpPr>
      <xdr:spPr>
        <a:xfrm rot="16200000" flipV="1">
          <a:off x="5483942" y="8147394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582083</xdr:colOff>
      <xdr:row>35</xdr:row>
      <xdr:rowOff>95250</xdr:rowOff>
    </xdr:from>
    <xdr:to>
      <xdr:col>15</xdr:col>
      <xdr:colOff>707030</xdr:colOff>
      <xdr:row>36</xdr:row>
      <xdr:rowOff>89648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7D8958B3-6C4A-4151-BB12-F1BA7D1A2A56}"/>
            </a:ext>
          </a:extLst>
        </xdr:cNvPr>
        <xdr:cNvCxnSpPr/>
      </xdr:nvCxnSpPr>
      <xdr:spPr>
        <a:xfrm rot="16200000" flipV="1">
          <a:off x="9061108" y="6813892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571500</xdr:colOff>
      <xdr:row>42</xdr:row>
      <xdr:rowOff>95250</xdr:rowOff>
    </xdr:from>
    <xdr:to>
      <xdr:col>15</xdr:col>
      <xdr:colOff>696447</xdr:colOff>
      <xdr:row>43</xdr:row>
      <xdr:rowOff>89648</xdr:rowOff>
    </xdr:to>
    <xdr:cxnSp macro="">
      <xdr:nvCxnSpPr>
        <xdr:cNvPr id="6" name="Connector: Elbow 5">
          <a:extLst>
            <a:ext uri="{FF2B5EF4-FFF2-40B4-BE49-F238E27FC236}">
              <a16:creationId xmlns:a16="http://schemas.microsoft.com/office/drawing/2014/main" id="{A55ECF05-DBE9-4257-AF8D-834A3591E592}"/>
            </a:ext>
          </a:extLst>
        </xdr:cNvPr>
        <xdr:cNvCxnSpPr/>
      </xdr:nvCxnSpPr>
      <xdr:spPr>
        <a:xfrm rot="16200000" flipV="1">
          <a:off x="9050525" y="8147392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582083</xdr:colOff>
      <xdr:row>74</xdr:row>
      <xdr:rowOff>95252</xdr:rowOff>
    </xdr:from>
    <xdr:to>
      <xdr:col>9</xdr:col>
      <xdr:colOff>707030</xdr:colOff>
      <xdr:row>75</xdr:row>
      <xdr:rowOff>89650</xdr:rowOff>
    </xdr:to>
    <xdr:cxnSp macro="">
      <xdr:nvCxnSpPr>
        <xdr:cNvPr id="7" name="Connector: Elbow 6">
          <a:extLst>
            <a:ext uri="{FF2B5EF4-FFF2-40B4-BE49-F238E27FC236}">
              <a16:creationId xmlns:a16="http://schemas.microsoft.com/office/drawing/2014/main" id="{3C5D0C96-FD41-42C3-BCBB-522FE64DD13F}"/>
            </a:ext>
          </a:extLst>
        </xdr:cNvPr>
        <xdr:cNvCxnSpPr/>
      </xdr:nvCxnSpPr>
      <xdr:spPr>
        <a:xfrm rot="16200000" flipV="1">
          <a:off x="5494525" y="14264560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586316</xdr:colOff>
      <xdr:row>81</xdr:row>
      <xdr:rowOff>88902</xdr:rowOff>
    </xdr:from>
    <xdr:to>
      <xdr:col>10</xdr:col>
      <xdr:colOff>2180</xdr:colOff>
      <xdr:row>82</xdr:row>
      <xdr:rowOff>83300</xdr:rowOff>
    </xdr:to>
    <xdr:cxnSp macro="">
      <xdr:nvCxnSpPr>
        <xdr:cNvPr id="8" name="Connector: Elbow 7">
          <a:extLst>
            <a:ext uri="{FF2B5EF4-FFF2-40B4-BE49-F238E27FC236}">
              <a16:creationId xmlns:a16="http://schemas.microsoft.com/office/drawing/2014/main" id="{10560DAF-7693-462B-9AE2-236D1F26B2FF}"/>
            </a:ext>
          </a:extLst>
        </xdr:cNvPr>
        <xdr:cNvCxnSpPr/>
      </xdr:nvCxnSpPr>
      <xdr:spPr>
        <a:xfrm rot="16200000" flipV="1">
          <a:off x="5498758" y="15591710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569383</xdr:colOff>
      <xdr:row>74</xdr:row>
      <xdr:rowOff>114302</xdr:rowOff>
    </xdr:from>
    <xdr:to>
      <xdr:col>15</xdr:col>
      <xdr:colOff>694330</xdr:colOff>
      <xdr:row>75</xdr:row>
      <xdr:rowOff>108700</xdr:rowOff>
    </xdr:to>
    <xdr:cxnSp macro="">
      <xdr:nvCxnSpPr>
        <xdr:cNvPr id="10" name="Connector: Elbow 9">
          <a:extLst>
            <a:ext uri="{FF2B5EF4-FFF2-40B4-BE49-F238E27FC236}">
              <a16:creationId xmlns:a16="http://schemas.microsoft.com/office/drawing/2014/main" id="{5ADEE712-40A4-4949-8D08-D2CE28A2ABDA}"/>
            </a:ext>
          </a:extLst>
        </xdr:cNvPr>
        <xdr:cNvCxnSpPr/>
      </xdr:nvCxnSpPr>
      <xdr:spPr>
        <a:xfrm rot="16200000" flipV="1">
          <a:off x="9048408" y="14283610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582083</xdr:colOff>
      <xdr:row>81</xdr:row>
      <xdr:rowOff>95250</xdr:rowOff>
    </xdr:from>
    <xdr:to>
      <xdr:col>15</xdr:col>
      <xdr:colOff>707030</xdr:colOff>
      <xdr:row>82</xdr:row>
      <xdr:rowOff>89648</xdr:rowOff>
    </xdr:to>
    <xdr:cxnSp macro="">
      <xdr:nvCxnSpPr>
        <xdr:cNvPr id="11" name="Connector: Elbow 10">
          <a:extLst>
            <a:ext uri="{FF2B5EF4-FFF2-40B4-BE49-F238E27FC236}">
              <a16:creationId xmlns:a16="http://schemas.microsoft.com/office/drawing/2014/main" id="{D4F93CBE-C2AD-4A95-88E6-4C3659C6B1F0}"/>
            </a:ext>
          </a:extLst>
        </xdr:cNvPr>
        <xdr:cNvCxnSpPr/>
      </xdr:nvCxnSpPr>
      <xdr:spPr>
        <a:xfrm rot="16200000" flipV="1">
          <a:off x="9061108" y="15598058"/>
          <a:ext cx="184898" cy="124947"/>
        </a:xfrm>
        <a:prstGeom prst="bentConnector3">
          <a:avLst>
            <a:gd name="adj1" fmla="val -6666"/>
          </a:avLst>
        </a:prstGeom>
        <a:ln>
          <a:prstDash val="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F707-42BA-45F2-85A2-60B6D2A7EA8C}">
  <sheetPr transitionEvaluation="1" transitionEntry="1"/>
  <dimension ref="A1:AB130"/>
  <sheetViews>
    <sheetView showGridLines="0" tabSelected="1" zoomScale="90" zoomScaleNormal="90" zoomScaleSheetLayoutView="70" workbookViewId="0"/>
  </sheetViews>
  <sheetFormatPr defaultRowHeight="15" x14ac:dyDescent="0.25"/>
  <cols>
    <col min="2" max="2" width="2.5703125" customWidth="1"/>
    <col min="3" max="3" width="9" customWidth="1"/>
    <col min="4" max="4" width="10.7109375" customWidth="1"/>
    <col min="9" max="9" width="5.7109375" customWidth="1"/>
    <col min="10" max="10" width="10.5703125" customWidth="1"/>
    <col min="12" max="12" width="9.5703125" customWidth="1"/>
    <col min="15" max="15" width="5.7109375" customWidth="1"/>
    <col min="16" max="16" width="10.5703125" customWidth="1"/>
    <col min="21" max="21" width="5.7109375" customWidth="1"/>
    <col min="22" max="22" width="10.5703125" customWidth="1"/>
    <col min="27" max="27" width="3.42578125" customWidth="1"/>
  </cols>
  <sheetData>
    <row r="1" spans="1:27" x14ac:dyDescent="0.25">
      <c r="C1" t="s">
        <v>190</v>
      </c>
      <c r="G1" t="s">
        <v>191</v>
      </c>
    </row>
    <row r="3" spans="1:27" x14ac:dyDescent="0.25">
      <c r="C3" s="107" t="s">
        <v>143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132" t="s">
        <v>174</v>
      </c>
      <c r="W3" s="81"/>
      <c r="X3" s="81"/>
      <c r="Y3" s="81"/>
      <c r="Z3" s="81"/>
      <c r="AA3" s="82"/>
    </row>
    <row r="4" spans="1:27" x14ac:dyDescent="0.25">
      <c r="C4" s="85" t="s">
        <v>179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84"/>
    </row>
    <row r="5" spans="1:27" x14ac:dyDescent="0.25">
      <c r="C5" s="85" t="s">
        <v>180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84"/>
    </row>
    <row r="6" spans="1:27" x14ac:dyDescent="0.25">
      <c r="C6" s="85" t="s">
        <v>175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84"/>
    </row>
    <row r="7" spans="1:27" x14ac:dyDescent="0.25">
      <c r="C7" s="85" t="s">
        <v>176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84"/>
    </row>
    <row r="8" spans="1:27" x14ac:dyDescent="0.25">
      <c r="C8" s="85" t="s">
        <v>177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84"/>
    </row>
    <row r="9" spans="1:27" x14ac:dyDescent="0.25">
      <c r="C9" s="133" t="s">
        <v>178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2"/>
    </row>
    <row r="10" spans="1:27" x14ac:dyDescent="0.25">
      <c r="C10" s="10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132"/>
      <c r="W10" s="81"/>
      <c r="X10" s="81"/>
      <c r="Y10" s="81"/>
      <c r="Z10" s="81"/>
      <c r="AA10" s="82"/>
    </row>
    <row r="11" spans="1:27" x14ac:dyDescent="0.25">
      <c r="C11" s="83"/>
      <c r="D11" s="109" t="s">
        <v>181</v>
      </c>
      <c r="E11" s="69"/>
      <c r="F11" s="69"/>
      <c r="G11" s="69"/>
      <c r="H11" s="69"/>
      <c r="I11" s="69"/>
      <c r="J11" s="109" t="s">
        <v>181</v>
      </c>
      <c r="K11" s="69"/>
      <c r="L11" s="69"/>
      <c r="M11" s="69"/>
      <c r="N11" s="69"/>
      <c r="O11" s="69"/>
      <c r="P11" s="109" t="s">
        <v>181</v>
      </c>
      <c r="Q11" s="69"/>
      <c r="R11" s="69"/>
      <c r="S11" s="69"/>
      <c r="T11" s="69"/>
      <c r="U11" s="69"/>
      <c r="V11" s="109" t="s">
        <v>181</v>
      </c>
      <c r="W11" s="69"/>
      <c r="X11" s="69"/>
      <c r="Y11" s="69"/>
      <c r="Z11" s="69"/>
      <c r="AA11" s="84"/>
    </row>
    <row r="12" spans="1:27" x14ac:dyDescent="0.25">
      <c r="C12" s="83"/>
      <c r="D12" s="108" t="s">
        <v>147</v>
      </c>
      <c r="E12" s="69"/>
      <c r="F12" s="102">
        <v>60</v>
      </c>
      <c r="G12" s="99" t="s">
        <v>144</v>
      </c>
      <c r="H12" s="69"/>
      <c r="I12" s="69"/>
      <c r="J12" s="108" t="s">
        <v>149</v>
      </c>
      <c r="K12" s="69"/>
      <c r="L12" s="102">
        <v>54</v>
      </c>
      <c r="M12" s="99" t="s">
        <v>144</v>
      </c>
      <c r="N12" s="69"/>
      <c r="O12" s="69"/>
      <c r="P12" s="108" t="s">
        <v>150</v>
      </c>
      <c r="Q12" s="69"/>
      <c r="R12" s="102">
        <v>48</v>
      </c>
      <c r="S12" s="99" t="s">
        <v>144</v>
      </c>
      <c r="T12" s="69"/>
      <c r="U12" s="69"/>
      <c r="V12" s="108" t="s">
        <v>151</v>
      </c>
      <c r="W12" s="69"/>
      <c r="X12" s="102">
        <v>42</v>
      </c>
      <c r="Y12" s="99" t="s">
        <v>144</v>
      </c>
      <c r="Z12" s="69"/>
      <c r="AA12" s="84"/>
    </row>
    <row r="13" spans="1:27" x14ac:dyDescent="0.25">
      <c r="C13" s="83"/>
      <c r="D13" s="108" t="s">
        <v>148</v>
      </c>
      <c r="E13" s="69"/>
      <c r="F13" s="138">
        <v>548</v>
      </c>
      <c r="G13" s="103" t="s">
        <v>160</v>
      </c>
      <c r="H13" s="69"/>
      <c r="I13" s="69"/>
      <c r="J13" s="108" t="s">
        <v>148</v>
      </c>
      <c r="K13" s="69"/>
      <c r="L13" s="138">
        <v>497</v>
      </c>
      <c r="M13" s="99" t="s">
        <v>144</v>
      </c>
      <c r="N13" s="69"/>
      <c r="O13" s="69"/>
      <c r="P13" s="108" t="s">
        <v>148</v>
      </c>
      <c r="Q13" s="69"/>
      <c r="R13" s="138">
        <v>442</v>
      </c>
      <c r="S13" s="99" t="s">
        <v>144</v>
      </c>
      <c r="T13" s="69"/>
      <c r="U13" s="69"/>
      <c r="V13" s="108" t="s">
        <v>148</v>
      </c>
      <c r="W13" s="69"/>
      <c r="X13" s="138">
        <v>388</v>
      </c>
      <c r="Y13" s="99" t="s">
        <v>144</v>
      </c>
      <c r="Z13" s="69"/>
      <c r="AA13" s="84"/>
    </row>
    <row r="14" spans="1:27" x14ac:dyDescent="0.25">
      <c r="C14" s="83"/>
      <c r="D14" s="128" t="s">
        <v>154</v>
      </c>
      <c r="E14" s="69"/>
      <c r="F14" s="69"/>
      <c r="G14" s="69"/>
      <c r="H14" s="69"/>
      <c r="I14" s="69"/>
      <c r="J14" s="128" t="s">
        <v>154</v>
      </c>
      <c r="K14" s="69"/>
      <c r="L14" s="69"/>
      <c r="M14" s="69"/>
      <c r="N14" s="69"/>
      <c r="O14" s="69"/>
      <c r="P14" s="128" t="s">
        <v>154</v>
      </c>
      <c r="Q14" s="69"/>
      <c r="R14" s="69"/>
      <c r="S14" s="69"/>
      <c r="T14" s="69"/>
      <c r="U14" s="69"/>
      <c r="V14" s="128" t="s">
        <v>154</v>
      </c>
      <c r="W14" s="69"/>
      <c r="X14" s="69"/>
      <c r="Y14" s="69"/>
      <c r="Z14" s="69"/>
      <c r="AA14" s="84"/>
    </row>
    <row r="15" spans="1:27" x14ac:dyDescent="0.25">
      <c r="C15" s="83"/>
      <c r="D15" s="108" t="s">
        <v>146</v>
      </c>
      <c r="E15" s="69"/>
      <c r="F15" s="69"/>
      <c r="G15" s="69"/>
      <c r="H15" s="69"/>
      <c r="I15" s="69"/>
      <c r="J15" s="108" t="s">
        <v>146</v>
      </c>
      <c r="K15" s="69"/>
      <c r="L15" s="69"/>
      <c r="M15" s="69"/>
      <c r="N15" s="69"/>
      <c r="O15" s="69"/>
      <c r="P15" s="108" t="s">
        <v>146</v>
      </c>
      <c r="Q15" s="69"/>
      <c r="R15" s="69"/>
      <c r="S15" s="69"/>
      <c r="T15" s="69"/>
      <c r="U15" s="69"/>
      <c r="V15" s="108" t="s">
        <v>146</v>
      </c>
      <c r="W15" s="69"/>
      <c r="X15" s="69"/>
      <c r="Y15" s="69"/>
      <c r="Z15" s="69"/>
      <c r="AA15" s="84"/>
    </row>
    <row r="16" spans="1:27" ht="15.75" x14ac:dyDescent="0.25">
      <c r="A16" s="21" t="s">
        <v>88</v>
      </c>
      <c r="C16" s="110">
        <v>1</v>
      </c>
      <c r="D16" s="70" t="s">
        <v>87</v>
      </c>
      <c r="E16" s="70" t="s">
        <v>88</v>
      </c>
      <c r="F16" s="70" t="s">
        <v>89</v>
      </c>
      <c r="G16" s="70" t="s">
        <v>90</v>
      </c>
      <c r="H16" s="111" t="s">
        <v>137</v>
      </c>
      <c r="I16" s="69"/>
      <c r="J16" s="70" t="s">
        <v>87</v>
      </c>
      <c r="K16" s="70" t="s">
        <v>88</v>
      </c>
      <c r="L16" s="70" t="s">
        <v>89</v>
      </c>
      <c r="M16" s="70" t="s">
        <v>90</v>
      </c>
      <c r="N16" s="111" t="s">
        <v>137</v>
      </c>
      <c r="O16" s="69"/>
      <c r="P16" s="70" t="s">
        <v>87</v>
      </c>
      <c r="Q16" s="70" t="s">
        <v>88</v>
      </c>
      <c r="R16" s="70" t="s">
        <v>89</v>
      </c>
      <c r="S16" s="70" t="s">
        <v>90</v>
      </c>
      <c r="T16" s="111" t="s">
        <v>137</v>
      </c>
      <c r="U16" s="69"/>
      <c r="V16" s="70" t="s">
        <v>87</v>
      </c>
      <c r="W16" s="70" t="s">
        <v>88</v>
      </c>
      <c r="X16" s="70" t="s">
        <v>89</v>
      </c>
      <c r="Y16" s="70" t="s">
        <v>90</v>
      </c>
      <c r="Z16" s="111" t="s">
        <v>137</v>
      </c>
      <c r="AA16" s="84"/>
    </row>
    <row r="17" spans="1:27" x14ac:dyDescent="0.25">
      <c r="A17" s="49">
        <f t="shared" ref="A17:A26" si="0">-A30</f>
        <v>-25.9</v>
      </c>
      <c r="C17" s="83"/>
      <c r="D17" s="77">
        <v>1</v>
      </c>
      <c r="E17" s="71">
        <v>-31.3</v>
      </c>
      <c r="F17" s="71">
        <v>39.4</v>
      </c>
      <c r="G17" s="72">
        <f t="shared" ref="G17:G26" si="1">-E17/F17</f>
        <v>0.79441624365482233</v>
      </c>
      <c r="H17" s="98">
        <v>0.83</v>
      </c>
      <c r="I17" s="69"/>
      <c r="J17" s="77">
        <v>1</v>
      </c>
      <c r="K17" s="71">
        <v>-31.3</v>
      </c>
      <c r="L17" s="71">
        <v>36.6</v>
      </c>
      <c r="M17" s="72">
        <f t="shared" ref="M17:M22" si="2">-K17/L17</f>
        <v>0.85519125683060104</v>
      </c>
      <c r="N17" s="98">
        <v>0.83</v>
      </c>
      <c r="O17" s="69"/>
      <c r="P17" s="77">
        <v>1</v>
      </c>
      <c r="Q17" s="71">
        <v>-31.3</v>
      </c>
      <c r="R17" s="71">
        <v>33.700000000000003</v>
      </c>
      <c r="S17" s="72">
        <f>-Q17/R17</f>
        <v>0.92878338278931749</v>
      </c>
      <c r="T17" s="98">
        <v>0.83</v>
      </c>
      <c r="U17" s="69"/>
      <c r="V17" s="77">
        <v>1</v>
      </c>
      <c r="W17" s="71">
        <v>-31.3</v>
      </c>
      <c r="X17" s="71">
        <v>30.7</v>
      </c>
      <c r="Y17" s="72">
        <f>-W17/X17</f>
        <v>1.0195439739413681</v>
      </c>
      <c r="Z17" s="98">
        <v>0.83</v>
      </c>
      <c r="AA17" s="84"/>
    </row>
    <row r="18" spans="1:27" x14ac:dyDescent="0.25">
      <c r="A18" s="49">
        <f t="shared" si="0"/>
        <v>-45.4</v>
      </c>
      <c r="C18" s="83"/>
      <c r="D18" s="77">
        <v>2</v>
      </c>
      <c r="E18" s="137">
        <v>-55</v>
      </c>
      <c r="F18" s="71">
        <v>72.900000000000006</v>
      </c>
      <c r="G18" s="72">
        <f t="shared" si="1"/>
        <v>0.75445816186556924</v>
      </c>
      <c r="H18" s="98">
        <v>0.73</v>
      </c>
      <c r="I18" s="69"/>
      <c r="J18" s="77">
        <v>2</v>
      </c>
      <c r="K18" s="137">
        <v>-55</v>
      </c>
      <c r="L18" s="71">
        <v>67.2</v>
      </c>
      <c r="M18" s="72">
        <f t="shared" si="2"/>
        <v>0.81845238095238093</v>
      </c>
      <c r="N18" s="98">
        <v>0.73</v>
      </c>
      <c r="O18" s="69"/>
      <c r="P18" s="112">
        <v>2</v>
      </c>
      <c r="Q18" s="137">
        <v>-55</v>
      </c>
      <c r="R18" s="78">
        <v>61.1</v>
      </c>
      <c r="S18" s="79">
        <f t="shared" ref="S18:S26" si="3">-Q18/R18</f>
        <v>0.90016366612111287</v>
      </c>
      <c r="T18" s="98">
        <v>0.73</v>
      </c>
      <c r="U18" s="69"/>
      <c r="V18" s="113">
        <v>2</v>
      </c>
      <c r="W18" s="140">
        <v>-55</v>
      </c>
      <c r="X18" s="73">
        <v>55.1</v>
      </c>
      <c r="Y18" s="74">
        <f t="shared" ref="Y18:Y26" si="4">-W18/X18</f>
        <v>0.99818511796733211</v>
      </c>
      <c r="Z18" s="98">
        <v>0.73</v>
      </c>
      <c r="AA18" s="84"/>
    </row>
    <row r="19" spans="1:27" x14ac:dyDescent="0.25">
      <c r="A19" s="49">
        <f t="shared" si="0"/>
        <v>-65.8</v>
      </c>
      <c r="C19" s="83"/>
      <c r="D19" s="77">
        <v>3</v>
      </c>
      <c r="E19" s="71">
        <v>-79.8</v>
      </c>
      <c r="F19" s="71">
        <v>96</v>
      </c>
      <c r="G19" s="72">
        <f t="shared" si="1"/>
        <v>0.83124999999999993</v>
      </c>
      <c r="H19" s="98">
        <v>0.71</v>
      </c>
      <c r="I19" s="69"/>
      <c r="J19" s="77">
        <v>3</v>
      </c>
      <c r="K19" s="71">
        <v>-79.8</v>
      </c>
      <c r="L19" s="71">
        <v>88.2</v>
      </c>
      <c r="M19" s="72">
        <f t="shared" si="2"/>
        <v>0.90476190476190466</v>
      </c>
      <c r="N19" s="98">
        <v>0.71</v>
      </c>
      <c r="O19" s="69"/>
      <c r="P19" s="113">
        <v>3</v>
      </c>
      <c r="Q19" s="73">
        <v>-79.8</v>
      </c>
      <c r="R19" s="73">
        <v>79.900000000000006</v>
      </c>
      <c r="S19" s="74">
        <f t="shared" si="3"/>
        <v>0.99874843554443038</v>
      </c>
      <c r="T19" s="98">
        <v>0.71</v>
      </c>
      <c r="U19" s="69"/>
      <c r="V19" s="77">
        <v>3</v>
      </c>
      <c r="W19" s="71">
        <v>-79.8</v>
      </c>
      <c r="X19" s="71">
        <v>71.599999999999994</v>
      </c>
      <c r="Y19" s="72">
        <f t="shared" si="4"/>
        <v>1.1145251396648046</v>
      </c>
      <c r="Z19" s="98">
        <v>0.71</v>
      </c>
      <c r="AA19" s="84"/>
    </row>
    <row r="20" spans="1:27" x14ac:dyDescent="0.25">
      <c r="A20" s="49">
        <f t="shared" si="0"/>
        <v>-86.3</v>
      </c>
      <c r="C20" s="83"/>
      <c r="D20" s="77">
        <v>4</v>
      </c>
      <c r="E20" s="71">
        <v>-104.6</v>
      </c>
      <c r="F20" s="71">
        <v>114</v>
      </c>
      <c r="G20" s="72">
        <f t="shared" si="1"/>
        <v>0.91754385964912277</v>
      </c>
      <c r="H20" s="98">
        <v>0.69</v>
      </c>
      <c r="I20" s="69"/>
      <c r="J20" s="113">
        <v>4</v>
      </c>
      <c r="K20" s="73">
        <v>-104.6</v>
      </c>
      <c r="L20" s="73">
        <v>104.6</v>
      </c>
      <c r="M20" s="74">
        <f t="shared" si="2"/>
        <v>1</v>
      </c>
      <c r="N20" s="98">
        <v>0.69</v>
      </c>
      <c r="O20" s="69"/>
      <c r="P20" s="112">
        <v>4</v>
      </c>
      <c r="Q20" s="78">
        <v>-104.6</v>
      </c>
      <c r="R20" s="78">
        <v>94.7</v>
      </c>
      <c r="S20" s="79">
        <f t="shared" si="3"/>
        <v>1.1045406546990495</v>
      </c>
      <c r="T20" s="98">
        <v>0.69</v>
      </c>
      <c r="U20" s="69"/>
      <c r="V20" s="77">
        <v>4</v>
      </c>
      <c r="W20" s="78">
        <v>-104.6</v>
      </c>
      <c r="X20" s="71">
        <v>84.7</v>
      </c>
      <c r="Y20" s="72">
        <f t="shared" si="4"/>
        <v>1.2349468713105076</v>
      </c>
      <c r="Z20" s="98">
        <v>0.69</v>
      </c>
      <c r="AA20" s="84"/>
    </row>
    <row r="21" spans="1:27" x14ac:dyDescent="0.25">
      <c r="A21" s="49">
        <f t="shared" si="0"/>
        <v>-106.7</v>
      </c>
      <c r="C21" s="83"/>
      <c r="D21" s="113">
        <v>5</v>
      </c>
      <c r="E21" s="73">
        <v>-129.4</v>
      </c>
      <c r="F21" s="73">
        <v>128.9</v>
      </c>
      <c r="G21" s="74">
        <f t="shared" si="1"/>
        <v>1.003878975950349</v>
      </c>
      <c r="H21" s="98">
        <v>0.69</v>
      </c>
      <c r="I21" s="69"/>
      <c r="J21" s="112">
        <v>5</v>
      </c>
      <c r="K21" s="78">
        <v>-129.4</v>
      </c>
      <c r="L21" s="78">
        <v>118.1</v>
      </c>
      <c r="M21" s="79">
        <f t="shared" si="2"/>
        <v>1.0956816257408977</v>
      </c>
      <c r="N21" s="98">
        <v>0.69</v>
      </c>
      <c r="O21" s="69"/>
      <c r="P21" s="112">
        <v>5</v>
      </c>
      <c r="Q21" s="78">
        <v>-129.4</v>
      </c>
      <c r="R21" s="78">
        <v>106.6</v>
      </c>
      <c r="S21" s="79">
        <f t="shared" si="3"/>
        <v>1.2138836772983115</v>
      </c>
      <c r="T21" s="98">
        <v>0.69</v>
      </c>
      <c r="U21" s="69"/>
      <c r="V21" s="112">
        <v>5</v>
      </c>
      <c r="W21" s="78">
        <v>-129.4</v>
      </c>
      <c r="X21" s="78">
        <v>95.1</v>
      </c>
      <c r="Y21" s="72">
        <f t="shared" si="4"/>
        <v>1.3606729758149319</v>
      </c>
      <c r="Z21" s="98">
        <v>0.69</v>
      </c>
      <c r="AA21" s="84"/>
    </row>
    <row r="22" spans="1:27" x14ac:dyDescent="0.25">
      <c r="A22" s="49">
        <f t="shared" si="0"/>
        <v>-209</v>
      </c>
      <c r="C22" s="83"/>
      <c r="D22" s="77">
        <v>10</v>
      </c>
      <c r="E22" s="71">
        <v>-253.3</v>
      </c>
      <c r="F22" s="71">
        <v>200.3</v>
      </c>
      <c r="G22" s="72">
        <f t="shared" si="1"/>
        <v>1.2646030953569645</v>
      </c>
      <c r="H22" s="98">
        <v>0.67</v>
      </c>
      <c r="I22" s="69"/>
      <c r="J22" s="77">
        <v>10</v>
      </c>
      <c r="K22" s="71">
        <v>-253.3</v>
      </c>
      <c r="L22" s="71">
        <v>182.8</v>
      </c>
      <c r="M22" s="72">
        <f t="shared" si="2"/>
        <v>1.3856673960612691</v>
      </c>
      <c r="N22" s="98">
        <v>0.67</v>
      </c>
      <c r="O22" s="69"/>
      <c r="P22" s="77">
        <v>10</v>
      </c>
      <c r="Q22" s="71">
        <v>-253.3</v>
      </c>
      <c r="R22" s="71">
        <v>164.2</v>
      </c>
      <c r="S22" s="72">
        <f t="shared" si="3"/>
        <v>1.5426309378806335</v>
      </c>
      <c r="T22" s="98">
        <v>0.67</v>
      </c>
      <c r="U22" s="69"/>
      <c r="V22" s="112">
        <v>10</v>
      </c>
      <c r="W22" s="71">
        <v>-253.3</v>
      </c>
      <c r="X22" s="78">
        <v>145.69999999999999</v>
      </c>
      <c r="Y22" s="72">
        <f t="shared" si="4"/>
        <v>1.7385037748798904</v>
      </c>
      <c r="Z22" s="98">
        <v>0.67</v>
      </c>
      <c r="AA22" s="84"/>
    </row>
    <row r="23" spans="1:27" x14ac:dyDescent="0.25">
      <c r="A23" s="49">
        <f t="shared" si="0"/>
        <v>-413.5</v>
      </c>
      <c r="C23" s="83"/>
      <c r="D23" s="77">
        <v>20</v>
      </c>
      <c r="E23" s="71">
        <v>-501.2</v>
      </c>
      <c r="F23" s="71">
        <v>336.7</v>
      </c>
      <c r="G23" s="72">
        <f t="shared" si="1"/>
        <v>1.4885654885654886</v>
      </c>
      <c r="H23" s="98">
        <v>0.67</v>
      </c>
      <c r="I23" s="69"/>
      <c r="J23" s="77">
        <v>20</v>
      </c>
      <c r="K23" s="71">
        <v>-501.2</v>
      </c>
      <c r="L23" s="71">
        <v>306.60000000000002</v>
      </c>
      <c r="M23" s="72">
        <f>-K23/L23</f>
        <v>1.6347031963470318</v>
      </c>
      <c r="N23" s="98">
        <v>0.67</v>
      </c>
      <c r="O23" s="69"/>
      <c r="P23" s="77">
        <v>20</v>
      </c>
      <c r="Q23" s="71">
        <v>-501.2</v>
      </c>
      <c r="R23" s="71">
        <v>274.7</v>
      </c>
      <c r="S23" s="72">
        <f t="shared" si="3"/>
        <v>1.8245358572988715</v>
      </c>
      <c r="T23" s="98">
        <v>0.67</v>
      </c>
      <c r="U23" s="69"/>
      <c r="V23" s="77">
        <v>20</v>
      </c>
      <c r="W23" s="71">
        <v>-501.2</v>
      </c>
      <c r="X23" s="71">
        <v>242.8</v>
      </c>
      <c r="Y23" s="72">
        <f t="shared" si="4"/>
        <v>2.0642504118616145</v>
      </c>
      <c r="Z23" s="98">
        <v>0.67</v>
      </c>
      <c r="AA23" s="84"/>
    </row>
    <row r="24" spans="1:27" x14ac:dyDescent="0.25">
      <c r="A24" s="49">
        <f t="shared" si="0"/>
        <v>-618</v>
      </c>
      <c r="C24" s="83"/>
      <c r="D24" s="77">
        <v>30</v>
      </c>
      <c r="E24" s="71">
        <v>-749.1</v>
      </c>
      <c r="F24" s="71">
        <v>446.4</v>
      </c>
      <c r="G24" s="72">
        <f t="shared" si="1"/>
        <v>1.6780913978494625</v>
      </c>
      <c r="H24" s="98">
        <v>0.66</v>
      </c>
      <c r="I24" s="69"/>
      <c r="J24" s="77">
        <v>30</v>
      </c>
      <c r="K24" s="71">
        <v>-749.1</v>
      </c>
      <c r="L24" s="71">
        <v>406.1</v>
      </c>
      <c r="M24" s="72">
        <f>-K24/L24</f>
        <v>1.8446195518345234</v>
      </c>
      <c r="N24" s="98">
        <v>0.66</v>
      </c>
      <c r="O24" s="69"/>
      <c r="P24" s="77">
        <v>30</v>
      </c>
      <c r="Q24" s="71">
        <v>-749.1</v>
      </c>
      <c r="R24" s="71">
        <v>363.4</v>
      </c>
      <c r="S24" s="72">
        <f t="shared" si="3"/>
        <v>2.0613648871766652</v>
      </c>
      <c r="T24" s="98">
        <v>0.66</v>
      </c>
      <c r="U24" s="69"/>
      <c r="V24" s="77">
        <v>30</v>
      </c>
      <c r="W24" s="71">
        <v>-749.1</v>
      </c>
      <c r="X24" s="71">
        <v>320.7</v>
      </c>
      <c r="Y24" s="72">
        <f t="shared" si="4"/>
        <v>2.3358278765201126</v>
      </c>
      <c r="Z24" s="98">
        <v>0.66</v>
      </c>
      <c r="AA24" s="84"/>
    </row>
    <row r="25" spans="1:27" x14ac:dyDescent="0.25">
      <c r="A25" s="49">
        <f t="shared" si="0"/>
        <v>-822.6</v>
      </c>
      <c r="C25" s="83"/>
      <c r="D25" s="77">
        <v>40</v>
      </c>
      <c r="E25" s="137">
        <v>-997.1</v>
      </c>
      <c r="F25" s="71">
        <v>547.70000000000005</v>
      </c>
      <c r="G25" s="72">
        <f t="shared" si="1"/>
        <v>1.8205221836771954</v>
      </c>
      <c r="H25" s="98">
        <v>0.66</v>
      </c>
      <c r="I25" s="69"/>
      <c r="J25" s="77">
        <v>40</v>
      </c>
      <c r="K25" s="137">
        <v>-997.1</v>
      </c>
      <c r="L25" s="71">
        <v>498</v>
      </c>
      <c r="M25" s="72">
        <f>-K25/L25</f>
        <v>2.0022088353413654</v>
      </c>
      <c r="N25" s="98">
        <v>0.66</v>
      </c>
      <c r="O25" s="69"/>
      <c r="P25" s="77">
        <v>40</v>
      </c>
      <c r="Q25" s="137">
        <v>-997.1</v>
      </c>
      <c r="R25" s="71">
        <v>445.4</v>
      </c>
      <c r="S25" s="72">
        <f t="shared" si="3"/>
        <v>2.2386618769645263</v>
      </c>
      <c r="T25" s="98">
        <v>0.66</v>
      </c>
      <c r="U25" s="69"/>
      <c r="V25" s="77">
        <v>40</v>
      </c>
      <c r="W25" s="137">
        <v>-997.1</v>
      </c>
      <c r="X25" s="71">
        <v>392.9</v>
      </c>
      <c r="Y25" s="72">
        <f t="shared" si="4"/>
        <v>2.5377958768134388</v>
      </c>
      <c r="Z25" s="98">
        <v>0.66</v>
      </c>
      <c r="AA25" s="84"/>
    </row>
    <row r="26" spans="1:27" x14ac:dyDescent="0.25">
      <c r="A26" s="49">
        <f t="shared" si="0"/>
        <v>-1027.0999999999999</v>
      </c>
      <c r="C26" s="83"/>
      <c r="D26" s="77">
        <v>50</v>
      </c>
      <c r="E26" s="71">
        <v>-1245</v>
      </c>
      <c r="F26" s="137">
        <v>648.70000000000005</v>
      </c>
      <c r="G26" s="72">
        <f t="shared" si="1"/>
        <v>1.9192230615076304</v>
      </c>
      <c r="H26" s="98">
        <v>0.66</v>
      </c>
      <c r="I26" s="69"/>
      <c r="J26" s="77">
        <v>50</v>
      </c>
      <c r="K26" s="71">
        <v>-1245</v>
      </c>
      <c r="L26" s="137">
        <v>589.79999999999995</v>
      </c>
      <c r="M26" s="72">
        <f>-K26/L26</f>
        <v>2.1108850457782302</v>
      </c>
      <c r="N26" s="98">
        <v>0.66</v>
      </c>
      <c r="O26" s="69"/>
      <c r="P26" s="77">
        <v>50</v>
      </c>
      <c r="Q26" s="71">
        <v>-1245</v>
      </c>
      <c r="R26" s="137">
        <v>527.5</v>
      </c>
      <c r="S26" s="72">
        <f t="shared" si="3"/>
        <v>2.3601895734597158</v>
      </c>
      <c r="T26" s="98">
        <v>0.66</v>
      </c>
      <c r="U26" s="69"/>
      <c r="V26" s="77">
        <v>50</v>
      </c>
      <c r="W26" s="71">
        <v>-1245</v>
      </c>
      <c r="X26" s="137">
        <v>465.2</v>
      </c>
      <c r="Y26" s="72">
        <f t="shared" si="4"/>
        <v>2.6762682717110922</v>
      </c>
      <c r="Z26" s="98">
        <v>0.66</v>
      </c>
      <c r="AA26" s="84"/>
    </row>
    <row r="27" spans="1:27" x14ac:dyDescent="0.25">
      <c r="A27" s="49"/>
      <c r="C27" s="83"/>
      <c r="D27" s="77"/>
      <c r="E27" s="71"/>
      <c r="F27" s="71"/>
      <c r="G27" s="72"/>
      <c r="H27" s="98"/>
      <c r="I27" s="69"/>
      <c r="J27" s="77"/>
      <c r="K27" s="71"/>
      <c r="L27" s="71"/>
      <c r="M27" s="72"/>
      <c r="N27" s="98"/>
      <c r="O27" s="69"/>
      <c r="P27" s="77"/>
      <c r="Q27" s="71"/>
      <c r="R27" s="71"/>
      <c r="S27" s="72"/>
      <c r="T27" s="98"/>
      <c r="U27" s="69"/>
      <c r="V27" s="136" t="s">
        <v>188</v>
      </c>
      <c r="W27" s="71"/>
      <c r="X27" s="71"/>
      <c r="Y27" s="72"/>
      <c r="Z27" s="98"/>
      <c r="AA27" s="84"/>
    </row>
    <row r="28" spans="1:27" x14ac:dyDescent="0.25">
      <c r="A28" s="49"/>
      <c r="C28" s="83"/>
      <c r="D28" s="77"/>
      <c r="E28" s="71"/>
      <c r="F28" s="71"/>
      <c r="G28" s="72"/>
      <c r="H28" s="98"/>
      <c r="I28" s="69"/>
      <c r="J28" s="77"/>
      <c r="K28" s="71"/>
      <c r="L28" s="71"/>
      <c r="M28" s="72"/>
      <c r="N28" s="98"/>
      <c r="O28" s="69"/>
      <c r="P28" s="77"/>
      <c r="Q28" s="71"/>
      <c r="R28" s="71"/>
      <c r="S28" s="72"/>
      <c r="T28" s="98"/>
      <c r="U28" s="69"/>
      <c r="V28" s="77"/>
      <c r="W28" s="71"/>
      <c r="X28" s="71"/>
      <c r="Y28" s="72"/>
      <c r="Z28" s="98"/>
      <c r="AA28" s="84"/>
    </row>
    <row r="29" spans="1:27" x14ac:dyDescent="0.25">
      <c r="A29" s="49"/>
      <c r="C29" s="83"/>
      <c r="D29" s="77"/>
      <c r="E29" s="71"/>
      <c r="F29" s="71"/>
      <c r="G29" s="72"/>
      <c r="H29" s="98"/>
      <c r="I29" s="69"/>
      <c r="J29" s="77"/>
      <c r="K29" s="71"/>
      <c r="L29" s="71"/>
      <c r="M29" s="72"/>
      <c r="N29" s="98"/>
      <c r="O29" s="69"/>
      <c r="P29" s="77"/>
      <c r="Q29" s="71"/>
      <c r="R29" s="71"/>
      <c r="S29" s="72"/>
      <c r="T29" s="98"/>
      <c r="U29" s="69"/>
      <c r="V29" s="77"/>
      <c r="W29" s="71"/>
      <c r="X29" s="71"/>
      <c r="Y29" s="72"/>
      <c r="Z29" s="98"/>
      <c r="AA29" s="84"/>
    </row>
    <row r="30" spans="1:27" x14ac:dyDescent="0.25">
      <c r="A30" s="3">
        <v>25.9</v>
      </c>
      <c r="C30" s="83"/>
      <c r="D30" s="109" t="s">
        <v>181</v>
      </c>
      <c r="E30" s="71"/>
      <c r="F30" s="71"/>
      <c r="G30" s="72"/>
      <c r="H30" s="123"/>
      <c r="I30" s="69"/>
      <c r="J30" s="109" t="s">
        <v>181</v>
      </c>
      <c r="K30" s="71"/>
      <c r="L30" s="71"/>
      <c r="M30" s="72"/>
      <c r="N30" s="98"/>
      <c r="O30" s="69"/>
      <c r="P30" s="109" t="s">
        <v>181</v>
      </c>
      <c r="Q30" s="71"/>
      <c r="R30" s="71"/>
      <c r="S30" s="72"/>
      <c r="T30" s="98"/>
      <c r="U30" s="69"/>
      <c r="V30" s="77"/>
      <c r="W30" s="71"/>
      <c r="X30" s="71"/>
      <c r="Y30" s="72"/>
      <c r="Z30" s="98"/>
      <c r="AA30" s="84"/>
    </row>
    <row r="31" spans="1:27" x14ac:dyDescent="0.25">
      <c r="A31" s="63">
        <v>45.4</v>
      </c>
      <c r="C31" s="83"/>
      <c r="D31" s="108" t="s">
        <v>147</v>
      </c>
      <c r="E31" s="69"/>
      <c r="F31" s="102">
        <v>60</v>
      </c>
      <c r="G31" s="99" t="s">
        <v>144</v>
      </c>
      <c r="H31" s="69"/>
      <c r="I31" s="69"/>
      <c r="J31" s="108" t="s">
        <v>149</v>
      </c>
      <c r="K31" s="69"/>
      <c r="L31" s="102">
        <v>54</v>
      </c>
      <c r="M31" s="99" t="s">
        <v>144</v>
      </c>
      <c r="N31" s="69"/>
      <c r="O31" s="69"/>
      <c r="P31" s="108" t="s">
        <v>150</v>
      </c>
      <c r="Q31" s="69"/>
      <c r="R31" s="102">
        <v>48</v>
      </c>
      <c r="S31" s="99" t="s">
        <v>144</v>
      </c>
      <c r="T31" s="69"/>
      <c r="U31" s="69"/>
      <c r="V31" s="80" t="s">
        <v>158</v>
      </c>
      <c r="W31" s="81"/>
      <c r="X31" s="100">
        <v>24</v>
      </c>
      <c r="Y31" s="101" t="s">
        <v>144</v>
      </c>
      <c r="Z31" s="82"/>
      <c r="AA31" s="84"/>
    </row>
    <row r="32" spans="1:27" x14ac:dyDescent="0.25">
      <c r="A32" s="3">
        <v>65.8</v>
      </c>
      <c r="C32" s="114" t="s">
        <v>161</v>
      </c>
      <c r="D32" s="115" t="s">
        <v>148</v>
      </c>
      <c r="E32" s="69"/>
      <c r="F32" s="102">
        <v>548</v>
      </c>
      <c r="G32" s="99" t="s">
        <v>144</v>
      </c>
      <c r="H32" s="69"/>
      <c r="I32" s="69"/>
      <c r="J32" s="115" t="s">
        <v>152</v>
      </c>
      <c r="K32" s="69"/>
      <c r="L32" s="102">
        <v>497</v>
      </c>
      <c r="M32" s="99" t="s">
        <v>144</v>
      </c>
      <c r="N32" s="69"/>
      <c r="O32" s="69"/>
      <c r="P32" s="115" t="s">
        <v>153</v>
      </c>
      <c r="Q32" s="69"/>
      <c r="R32" s="102">
        <v>442</v>
      </c>
      <c r="S32" s="99" t="s">
        <v>144</v>
      </c>
      <c r="T32" s="69"/>
      <c r="U32" s="69"/>
      <c r="V32" s="85" t="s">
        <v>183</v>
      </c>
      <c r="W32" s="99"/>
      <c r="X32" s="102">
        <v>305</v>
      </c>
      <c r="Y32" s="99" t="s">
        <v>144</v>
      </c>
      <c r="Z32" s="84"/>
      <c r="AA32" s="84"/>
    </row>
    <row r="33" spans="1:27" x14ac:dyDescent="0.25">
      <c r="A33" s="3">
        <v>86.3</v>
      </c>
      <c r="C33" s="83"/>
      <c r="D33" s="128" t="s">
        <v>154</v>
      </c>
      <c r="E33" s="69"/>
      <c r="F33" s="69"/>
      <c r="G33" s="69"/>
      <c r="H33" s="69"/>
      <c r="I33" s="69"/>
      <c r="J33" s="128" t="s">
        <v>154</v>
      </c>
      <c r="K33" s="69"/>
      <c r="L33" s="69"/>
      <c r="M33" s="69"/>
      <c r="N33" s="69"/>
      <c r="O33" s="69"/>
      <c r="P33" s="128" t="s">
        <v>154</v>
      </c>
      <c r="Q33" s="69"/>
      <c r="R33" s="69"/>
      <c r="S33" s="103"/>
      <c r="T33" s="69"/>
      <c r="U33" s="69"/>
      <c r="V33" s="83" t="s">
        <v>155</v>
      </c>
      <c r="W33" s="69"/>
      <c r="X33" s="69"/>
      <c r="Y33" s="99" t="s">
        <v>162</v>
      </c>
      <c r="Z33" s="84"/>
      <c r="AA33" s="84"/>
    </row>
    <row r="34" spans="1:27" x14ac:dyDescent="0.25">
      <c r="A34" s="63">
        <v>106.7</v>
      </c>
      <c r="C34" s="83"/>
      <c r="D34" s="108" t="s">
        <v>185</v>
      </c>
      <c r="E34" s="69"/>
      <c r="F34" s="69"/>
      <c r="G34" s="69"/>
      <c r="H34" s="69"/>
      <c r="I34" s="69"/>
      <c r="J34" s="108" t="s">
        <v>185</v>
      </c>
      <c r="K34" s="69"/>
      <c r="L34" s="69"/>
      <c r="M34" s="69"/>
      <c r="N34" s="69"/>
      <c r="O34" s="69"/>
      <c r="P34" s="108" t="s">
        <v>185</v>
      </c>
      <c r="Q34" s="69"/>
      <c r="R34" s="69"/>
      <c r="S34" s="103" t="s">
        <v>159</v>
      </c>
      <c r="T34" s="69"/>
      <c r="U34" s="69"/>
      <c r="V34" s="85" t="s">
        <v>126</v>
      </c>
      <c r="W34" s="77" t="s">
        <v>156</v>
      </c>
      <c r="X34" s="77" t="s">
        <v>156</v>
      </c>
      <c r="Y34" s="69"/>
      <c r="Z34" s="135" t="s">
        <v>184</v>
      </c>
      <c r="AA34" s="84"/>
    </row>
    <row r="35" spans="1:27" ht="15.75" x14ac:dyDescent="0.25">
      <c r="A35" s="3">
        <v>209</v>
      </c>
      <c r="C35" s="110">
        <v>2</v>
      </c>
      <c r="D35" s="70" t="s">
        <v>87</v>
      </c>
      <c r="E35" s="116" t="s">
        <v>88</v>
      </c>
      <c r="F35" s="70" t="s">
        <v>89</v>
      </c>
      <c r="G35" s="70" t="s">
        <v>90</v>
      </c>
      <c r="H35" s="111" t="s">
        <v>137</v>
      </c>
      <c r="I35" s="69"/>
      <c r="J35" s="70" t="s">
        <v>87</v>
      </c>
      <c r="K35" s="116" t="s">
        <v>88</v>
      </c>
      <c r="L35" s="70" t="s">
        <v>89</v>
      </c>
      <c r="M35" s="70" t="s">
        <v>90</v>
      </c>
      <c r="N35" s="111" t="s">
        <v>137</v>
      </c>
      <c r="O35" s="69"/>
      <c r="P35" s="70" t="s">
        <v>87</v>
      </c>
      <c r="Q35" s="116" t="s">
        <v>88</v>
      </c>
      <c r="R35" s="70" t="s">
        <v>89</v>
      </c>
      <c r="S35" s="70" t="s">
        <v>90</v>
      </c>
      <c r="T35" s="111" t="s">
        <v>137</v>
      </c>
      <c r="U35" s="69"/>
      <c r="V35" s="86" t="s">
        <v>87</v>
      </c>
      <c r="W35" s="70" t="s">
        <v>88</v>
      </c>
      <c r="X35" s="70" t="s">
        <v>89</v>
      </c>
      <c r="Y35" s="70" t="s">
        <v>90</v>
      </c>
      <c r="Z35" s="87" t="s">
        <v>137</v>
      </c>
      <c r="AA35" s="84"/>
    </row>
    <row r="36" spans="1:27" x14ac:dyDescent="0.25">
      <c r="A36" s="3">
        <v>413.5</v>
      </c>
      <c r="C36" s="83"/>
      <c r="D36" s="77">
        <v>1</v>
      </c>
      <c r="E36" s="71">
        <v>-31.3</v>
      </c>
      <c r="F36" s="71">
        <v>39.4</v>
      </c>
      <c r="G36" s="72">
        <f t="shared" ref="G36:G45" si="5">-E36/F36</f>
        <v>0.79441624365482233</v>
      </c>
      <c r="H36" s="98">
        <v>0.83</v>
      </c>
      <c r="I36" s="69"/>
      <c r="J36" s="77">
        <v>1</v>
      </c>
      <c r="K36" s="142">
        <v>-28.7</v>
      </c>
      <c r="L36" s="71">
        <v>36.6</v>
      </c>
      <c r="M36" s="72">
        <f t="shared" ref="M36:M41" si="6">-K36/L36</f>
        <v>0.78415300546448086</v>
      </c>
      <c r="N36" s="98">
        <v>0.76</v>
      </c>
      <c r="O36" s="69"/>
      <c r="P36" s="77">
        <v>1</v>
      </c>
      <c r="Q36" s="71">
        <v>-25.9</v>
      </c>
      <c r="R36" s="71">
        <v>33.700000000000003</v>
      </c>
      <c r="S36" s="72">
        <f t="shared" ref="S36:S41" si="7">-Q36/R36</f>
        <v>0.76854599406528179</v>
      </c>
      <c r="T36" s="98">
        <v>0.69</v>
      </c>
      <c r="U36" s="69"/>
      <c r="V36" s="88">
        <v>1</v>
      </c>
      <c r="W36" s="73">
        <v>-29.1</v>
      </c>
      <c r="X36" s="73">
        <v>26.5</v>
      </c>
      <c r="Y36" s="74">
        <f t="shared" ref="Y36:Y45" si="8">-W36/X36</f>
        <v>1.0981132075471698</v>
      </c>
      <c r="Z36" s="89">
        <v>0.77</v>
      </c>
      <c r="AA36" s="84"/>
    </row>
    <row r="37" spans="1:27" x14ac:dyDescent="0.25">
      <c r="A37" s="3">
        <v>618</v>
      </c>
      <c r="C37" s="83"/>
      <c r="D37" s="77">
        <v>2</v>
      </c>
      <c r="E37" s="137">
        <v>-55</v>
      </c>
      <c r="F37" s="71">
        <v>72.900000000000006</v>
      </c>
      <c r="G37" s="72">
        <f t="shared" si="5"/>
        <v>0.75445816186556924</v>
      </c>
      <c r="H37" s="98">
        <v>0.73</v>
      </c>
      <c r="I37" s="69"/>
      <c r="J37" s="77">
        <v>2</v>
      </c>
      <c r="K37" s="141">
        <v>-50.3</v>
      </c>
      <c r="L37" s="71">
        <v>67.2</v>
      </c>
      <c r="M37" s="72">
        <f t="shared" si="6"/>
        <v>0.74851190476190466</v>
      </c>
      <c r="N37" s="98">
        <v>0.67</v>
      </c>
      <c r="O37" s="69"/>
      <c r="P37" s="77">
        <v>2</v>
      </c>
      <c r="Q37" s="141">
        <v>-45.4</v>
      </c>
      <c r="R37" s="78">
        <v>61.1</v>
      </c>
      <c r="S37" s="72">
        <f t="shared" si="7"/>
        <v>0.74304418985270049</v>
      </c>
      <c r="T37" s="98">
        <v>0.6</v>
      </c>
      <c r="U37" s="69"/>
      <c r="V37" s="90">
        <v>2</v>
      </c>
      <c r="W37" s="71">
        <v>-52.5</v>
      </c>
      <c r="X37" s="71">
        <v>37.4</v>
      </c>
      <c r="Y37" s="72">
        <f t="shared" si="8"/>
        <v>1.4037433155080214</v>
      </c>
      <c r="Z37" s="91">
        <v>0.7</v>
      </c>
      <c r="AA37" s="84"/>
    </row>
    <row r="38" spans="1:27" x14ac:dyDescent="0.25">
      <c r="A38" s="63">
        <v>822.6</v>
      </c>
      <c r="C38" s="83"/>
      <c r="D38" s="77">
        <v>3</v>
      </c>
      <c r="E38" s="71">
        <v>-79.8</v>
      </c>
      <c r="F38" s="71">
        <v>96</v>
      </c>
      <c r="G38" s="72">
        <f t="shared" si="5"/>
        <v>0.83124999999999993</v>
      </c>
      <c r="H38" s="98">
        <v>0.71</v>
      </c>
      <c r="I38" s="69"/>
      <c r="J38" s="77">
        <v>3</v>
      </c>
      <c r="K38" s="71">
        <v>-73</v>
      </c>
      <c r="L38" s="71">
        <v>88.2</v>
      </c>
      <c r="M38" s="72">
        <f t="shared" si="6"/>
        <v>0.82766439909297052</v>
      </c>
      <c r="N38" s="98">
        <v>0.65</v>
      </c>
      <c r="O38" s="69"/>
      <c r="P38" s="112">
        <v>3</v>
      </c>
      <c r="Q38" s="78">
        <v>-65.8</v>
      </c>
      <c r="R38" s="78">
        <v>79.900000000000006</v>
      </c>
      <c r="S38" s="79">
        <f t="shared" si="7"/>
        <v>0.82352941176470584</v>
      </c>
      <c r="T38" s="98">
        <v>0.57999999999999996</v>
      </c>
      <c r="U38" s="69"/>
      <c r="V38" s="90">
        <v>3</v>
      </c>
      <c r="W38" s="71">
        <v>-75.3</v>
      </c>
      <c r="X38" s="71">
        <v>47.1</v>
      </c>
      <c r="Y38" s="72">
        <f t="shared" si="8"/>
        <v>1.5987261146496814</v>
      </c>
      <c r="Z38" s="91">
        <v>0.67</v>
      </c>
      <c r="AA38" s="84"/>
    </row>
    <row r="39" spans="1:27" x14ac:dyDescent="0.25">
      <c r="A39" s="3">
        <v>1027.0999999999999</v>
      </c>
      <c r="C39" s="83"/>
      <c r="D39" s="77">
        <v>4</v>
      </c>
      <c r="E39" s="71">
        <v>-104.6</v>
      </c>
      <c r="F39" s="71">
        <v>114</v>
      </c>
      <c r="G39" s="72">
        <f t="shared" si="5"/>
        <v>0.91754385964912277</v>
      </c>
      <c r="H39" s="98">
        <v>0.69</v>
      </c>
      <c r="I39" s="69"/>
      <c r="J39" s="112">
        <v>4</v>
      </c>
      <c r="K39" s="78">
        <v>-95.7</v>
      </c>
      <c r="L39" s="78">
        <v>104.6</v>
      </c>
      <c r="M39" s="79">
        <f t="shared" si="6"/>
        <v>0.91491395793499053</v>
      </c>
      <c r="N39" s="98">
        <v>0.64</v>
      </c>
      <c r="O39" s="69"/>
      <c r="P39" s="112">
        <v>4</v>
      </c>
      <c r="Q39" s="78">
        <v>-86.3</v>
      </c>
      <c r="R39" s="78">
        <v>94.7</v>
      </c>
      <c r="S39" s="79">
        <f t="shared" si="7"/>
        <v>0.91129883843716997</v>
      </c>
      <c r="T39" s="98">
        <v>0.56999999999999995</v>
      </c>
      <c r="U39" s="69"/>
      <c r="V39" s="90">
        <v>4</v>
      </c>
      <c r="W39" s="71">
        <v>-94.2</v>
      </c>
      <c r="X39" s="71">
        <v>56.7</v>
      </c>
      <c r="Y39" s="72">
        <f t="shared" si="8"/>
        <v>1.6613756613756614</v>
      </c>
      <c r="Z39" s="91">
        <v>0.63</v>
      </c>
      <c r="AA39" s="84"/>
    </row>
    <row r="40" spans="1:27" x14ac:dyDescent="0.25">
      <c r="C40" s="83"/>
      <c r="D40" s="113">
        <v>5</v>
      </c>
      <c r="E40" s="73">
        <v>-129.4</v>
      </c>
      <c r="F40" s="73">
        <v>128.9</v>
      </c>
      <c r="G40" s="74">
        <f t="shared" si="5"/>
        <v>1.003878975950349</v>
      </c>
      <c r="H40" s="98">
        <v>0.69</v>
      </c>
      <c r="I40" s="69"/>
      <c r="J40" s="113">
        <v>5</v>
      </c>
      <c r="K40" s="73">
        <v>-118.4</v>
      </c>
      <c r="L40" s="73">
        <v>118.1</v>
      </c>
      <c r="M40" s="74">
        <f t="shared" si="6"/>
        <v>1.0025402201524134</v>
      </c>
      <c r="N40" s="117">
        <v>0.63</v>
      </c>
      <c r="O40" s="69"/>
      <c r="P40" s="113">
        <v>5</v>
      </c>
      <c r="Q40" s="73">
        <v>-106.7</v>
      </c>
      <c r="R40" s="73">
        <v>106.6</v>
      </c>
      <c r="S40" s="74">
        <f t="shared" si="7"/>
        <v>1.0009380863039401</v>
      </c>
      <c r="T40" s="117">
        <v>0.56999999999999995</v>
      </c>
      <c r="U40" s="69"/>
      <c r="V40" s="92">
        <v>5</v>
      </c>
      <c r="W40" s="78">
        <v>-114.3</v>
      </c>
      <c r="X40" s="78">
        <v>66.8</v>
      </c>
      <c r="Y40" s="79">
        <f t="shared" si="8"/>
        <v>1.7110778443113772</v>
      </c>
      <c r="Z40" s="93">
        <v>0.61</v>
      </c>
      <c r="AA40" s="84"/>
    </row>
    <row r="41" spans="1:27" x14ac:dyDescent="0.25">
      <c r="C41" s="83"/>
      <c r="D41" s="77">
        <v>10</v>
      </c>
      <c r="E41" s="71">
        <v>-253.3</v>
      </c>
      <c r="F41" s="71">
        <v>200.3</v>
      </c>
      <c r="G41" s="72">
        <f t="shared" si="5"/>
        <v>1.2646030953569645</v>
      </c>
      <c r="H41" s="98">
        <v>0.67</v>
      </c>
      <c r="I41" s="69"/>
      <c r="J41" s="77">
        <v>10</v>
      </c>
      <c r="K41" s="71">
        <v>-231.8</v>
      </c>
      <c r="L41" s="71">
        <v>182.8</v>
      </c>
      <c r="M41" s="72">
        <f t="shared" si="6"/>
        <v>1.2680525164113785</v>
      </c>
      <c r="N41" s="98">
        <v>0.62</v>
      </c>
      <c r="O41" s="69"/>
      <c r="P41" s="77">
        <v>10</v>
      </c>
      <c r="Q41" s="71">
        <v>-209</v>
      </c>
      <c r="R41" s="71">
        <v>164.2</v>
      </c>
      <c r="S41" s="72">
        <f t="shared" si="7"/>
        <v>1.2728380024360537</v>
      </c>
      <c r="T41" s="98">
        <v>0.55000000000000004</v>
      </c>
      <c r="U41" s="69"/>
      <c r="V41" s="90">
        <v>10</v>
      </c>
      <c r="W41" s="71">
        <v>-233.6</v>
      </c>
      <c r="X41" s="71">
        <v>113.8</v>
      </c>
      <c r="Y41" s="72">
        <f t="shared" si="8"/>
        <v>2.0527240773286466</v>
      </c>
      <c r="Z41" s="91">
        <v>0.62</v>
      </c>
      <c r="AA41" s="84"/>
    </row>
    <row r="42" spans="1:27" x14ac:dyDescent="0.25">
      <c r="C42" s="83"/>
      <c r="D42" s="77">
        <v>20</v>
      </c>
      <c r="E42" s="143">
        <v>-501.2</v>
      </c>
      <c r="F42" s="71">
        <v>336.7</v>
      </c>
      <c r="G42" s="72">
        <f t="shared" si="5"/>
        <v>1.4885654885654886</v>
      </c>
      <c r="H42" s="98">
        <v>0.67</v>
      </c>
      <c r="I42" s="69"/>
      <c r="J42" s="77">
        <v>20</v>
      </c>
      <c r="K42" s="71">
        <v>-458.6</v>
      </c>
      <c r="L42" s="71">
        <v>306.60000000000002</v>
      </c>
      <c r="M42" s="72">
        <f>-K42/L42</f>
        <v>1.4957599478147423</v>
      </c>
      <c r="N42" s="98">
        <v>0.61</v>
      </c>
      <c r="O42" s="69"/>
      <c r="P42" s="77">
        <v>20</v>
      </c>
      <c r="Q42" s="71">
        <v>-413.5</v>
      </c>
      <c r="R42" s="71">
        <v>274.7</v>
      </c>
      <c r="S42" s="72">
        <f>-Q42/R42</f>
        <v>1.5052784856206771</v>
      </c>
      <c r="T42" s="98">
        <v>0.55000000000000004</v>
      </c>
      <c r="U42" s="69"/>
      <c r="V42" s="90">
        <v>20</v>
      </c>
      <c r="W42" s="71">
        <v>-480</v>
      </c>
      <c r="X42" s="71">
        <v>195.9</v>
      </c>
      <c r="Y42" s="72">
        <f t="shared" si="8"/>
        <v>2.4502297090352219</v>
      </c>
      <c r="Z42" s="91">
        <v>0.64</v>
      </c>
      <c r="AA42" s="84"/>
    </row>
    <row r="43" spans="1:27" x14ac:dyDescent="0.25">
      <c r="C43" s="83"/>
      <c r="D43" s="77">
        <v>30</v>
      </c>
      <c r="E43" s="71">
        <v>-749.1</v>
      </c>
      <c r="F43" s="71">
        <v>446.4</v>
      </c>
      <c r="G43" s="72">
        <f t="shared" si="5"/>
        <v>1.6780913978494625</v>
      </c>
      <c r="H43" s="98">
        <v>0.66</v>
      </c>
      <c r="I43" s="69"/>
      <c r="J43" s="77">
        <v>30</v>
      </c>
      <c r="K43" s="71">
        <v>-685.5</v>
      </c>
      <c r="L43" s="71">
        <v>406.1</v>
      </c>
      <c r="M43" s="72">
        <f>-K43/L43</f>
        <v>1.6880078798325535</v>
      </c>
      <c r="N43" s="98">
        <v>0.61</v>
      </c>
      <c r="O43" s="69"/>
      <c r="P43" s="77">
        <v>30</v>
      </c>
      <c r="Q43" s="71">
        <v>-618</v>
      </c>
      <c r="R43" s="71">
        <v>363.4</v>
      </c>
      <c r="S43" s="72">
        <f>-Q43/R43</f>
        <v>1.7006053935057788</v>
      </c>
      <c r="T43" s="98">
        <v>0.55000000000000004</v>
      </c>
      <c r="U43" s="69"/>
      <c r="V43" s="90">
        <v>30</v>
      </c>
      <c r="W43" s="71">
        <v>-746.6</v>
      </c>
      <c r="X43" s="71">
        <v>268.89999999999998</v>
      </c>
      <c r="Y43" s="72">
        <f t="shared" si="8"/>
        <v>2.7764968389735967</v>
      </c>
      <c r="Z43" s="91">
        <v>0.66</v>
      </c>
      <c r="AA43" s="84"/>
    </row>
    <row r="44" spans="1:27" x14ac:dyDescent="0.25">
      <c r="C44" s="83"/>
      <c r="D44" s="77">
        <v>40</v>
      </c>
      <c r="E44" s="137">
        <v>-997.1</v>
      </c>
      <c r="F44" s="71">
        <v>547.70000000000005</v>
      </c>
      <c r="G44" s="72">
        <f t="shared" si="5"/>
        <v>1.8205221836771954</v>
      </c>
      <c r="H44" s="98">
        <v>0.66</v>
      </c>
      <c r="I44" s="69"/>
      <c r="J44" s="77">
        <v>40</v>
      </c>
      <c r="K44" s="141">
        <v>-912.3</v>
      </c>
      <c r="L44" s="71">
        <v>498</v>
      </c>
      <c r="M44" s="72">
        <f>-K44/L44</f>
        <v>1.8319277108433734</v>
      </c>
      <c r="N44" s="98">
        <v>0.61</v>
      </c>
      <c r="O44" s="69"/>
      <c r="P44" s="77">
        <v>40</v>
      </c>
      <c r="Q44" s="141">
        <v>-822.6</v>
      </c>
      <c r="R44" s="71">
        <v>445.4</v>
      </c>
      <c r="S44" s="72">
        <f>-Q44/R44</f>
        <v>1.8468792096991469</v>
      </c>
      <c r="T44" s="98">
        <v>0.55000000000000004</v>
      </c>
      <c r="U44" s="69"/>
      <c r="V44" s="90">
        <v>40</v>
      </c>
      <c r="W44" s="71">
        <v>-1055</v>
      </c>
      <c r="X44" s="71">
        <v>336.9</v>
      </c>
      <c r="Y44" s="72">
        <f t="shared" si="8"/>
        <v>3.131493024636391</v>
      </c>
      <c r="Z44" s="91">
        <v>0.7</v>
      </c>
      <c r="AA44" s="84"/>
    </row>
    <row r="45" spans="1:27" x14ac:dyDescent="0.25">
      <c r="A45" s="49"/>
      <c r="C45" s="83"/>
      <c r="D45" s="77">
        <v>50</v>
      </c>
      <c r="E45" s="71">
        <v>-1245</v>
      </c>
      <c r="F45" s="137">
        <v>648.70000000000005</v>
      </c>
      <c r="G45" s="72">
        <f t="shared" si="5"/>
        <v>1.9192230615076304</v>
      </c>
      <c r="H45" s="98">
        <v>0.66</v>
      </c>
      <c r="I45" s="69"/>
      <c r="J45" s="77">
        <v>50</v>
      </c>
      <c r="K45" s="71">
        <v>-1139.2</v>
      </c>
      <c r="L45" s="137">
        <v>589.79999999999995</v>
      </c>
      <c r="M45" s="72">
        <f>-K45/L45</f>
        <v>1.9315022041369958</v>
      </c>
      <c r="N45" s="98">
        <v>0.6</v>
      </c>
      <c r="O45" s="69"/>
      <c r="P45" s="77">
        <v>50</v>
      </c>
      <c r="Q45" s="71">
        <v>-1027.0999999999999</v>
      </c>
      <c r="R45" s="137">
        <v>527.5</v>
      </c>
      <c r="S45" s="72">
        <f>-Q45/R45</f>
        <v>1.9471090047393362</v>
      </c>
      <c r="T45" s="98">
        <v>0.55000000000000004</v>
      </c>
      <c r="U45" s="69"/>
      <c r="V45" s="94">
        <v>50</v>
      </c>
      <c r="W45" s="95">
        <v>-1348.2</v>
      </c>
      <c r="X45" s="95">
        <v>403.3</v>
      </c>
      <c r="Y45" s="96">
        <f t="shared" si="8"/>
        <v>3.3429209025539302</v>
      </c>
      <c r="Z45" s="97">
        <v>0.72</v>
      </c>
      <c r="AA45" s="84"/>
    </row>
    <row r="46" spans="1:27" x14ac:dyDescent="0.25">
      <c r="A46" s="49"/>
      <c r="C46" s="83"/>
      <c r="D46" s="77"/>
      <c r="E46" s="71"/>
      <c r="F46" s="71"/>
      <c r="G46" s="72"/>
      <c r="H46" s="98"/>
      <c r="I46" s="69"/>
      <c r="J46" s="77"/>
      <c r="K46" s="71"/>
      <c r="L46" s="71"/>
      <c r="M46" s="72"/>
      <c r="N46" s="98"/>
      <c r="O46" s="69"/>
      <c r="P46" s="136" t="s">
        <v>187</v>
      </c>
      <c r="Q46" s="71"/>
      <c r="R46" s="71"/>
      <c r="S46" s="72"/>
      <c r="T46" s="98"/>
      <c r="U46" s="69"/>
      <c r="V46" s="77"/>
      <c r="W46" s="71"/>
      <c r="X46" s="71"/>
      <c r="Y46" s="72"/>
      <c r="Z46" s="98"/>
      <c r="AA46" s="84"/>
    </row>
    <row r="47" spans="1:27" x14ac:dyDescent="0.25">
      <c r="A47" s="49"/>
      <c r="B47" s="49"/>
      <c r="C47" s="83"/>
      <c r="D47" s="77"/>
      <c r="E47" s="71"/>
      <c r="F47" s="71"/>
      <c r="G47" s="72"/>
      <c r="H47" s="98"/>
      <c r="I47" s="69"/>
      <c r="J47" s="77"/>
      <c r="K47" s="71"/>
      <c r="L47" s="71"/>
      <c r="M47" s="72"/>
      <c r="N47" s="98"/>
      <c r="O47" s="69"/>
      <c r="P47" s="77"/>
      <c r="Q47" s="71"/>
      <c r="R47" s="71"/>
      <c r="S47" s="72"/>
      <c r="T47" s="98"/>
      <c r="U47" s="69"/>
      <c r="V47" s="77"/>
      <c r="W47" s="71"/>
      <c r="X47" s="71"/>
      <c r="Y47" s="72"/>
      <c r="Z47" s="98"/>
      <c r="AA47" s="84"/>
    </row>
    <row r="48" spans="1:27" x14ac:dyDescent="0.25">
      <c r="A48" s="68"/>
      <c r="B48" s="68"/>
      <c r="C48" s="118"/>
      <c r="D48" s="119"/>
      <c r="E48" s="95"/>
      <c r="F48" s="95"/>
      <c r="G48" s="96"/>
      <c r="H48" s="120"/>
      <c r="I48" s="121"/>
      <c r="J48" s="119"/>
      <c r="K48" s="95"/>
      <c r="L48" s="95"/>
      <c r="M48" s="96"/>
      <c r="N48" s="120"/>
      <c r="O48" s="121"/>
      <c r="P48" s="119"/>
      <c r="Q48" s="95"/>
      <c r="R48" s="95"/>
      <c r="S48" s="96"/>
      <c r="T48" s="120"/>
      <c r="U48" s="121"/>
      <c r="V48" s="119"/>
      <c r="W48" s="95"/>
      <c r="X48" s="95"/>
      <c r="Y48" s="96"/>
      <c r="Z48" s="120"/>
      <c r="AA48" s="122"/>
    </row>
    <row r="49" spans="1:27" x14ac:dyDescent="0.25">
      <c r="C49" s="107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2"/>
    </row>
    <row r="50" spans="1:27" x14ac:dyDescent="0.25">
      <c r="C50" s="83"/>
      <c r="D50" s="109" t="s">
        <v>181</v>
      </c>
      <c r="E50" s="69"/>
      <c r="F50" s="69"/>
      <c r="G50" s="69"/>
      <c r="H50" s="69"/>
      <c r="I50" s="69"/>
      <c r="J50" s="109" t="s">
        <v>181</v>
      </c>
      <c r="K50" s="69"/>
      <c r="L50" s="69"/>
      <c r="M50" s="69"/>
      <c r="N50" s="69"/>
      <c r="O50" s="69"/>
      <c r="P50" s="109" t="s">
        <v>181</v>
      </c>
      <c r="Q50" s="69"/>
      <c r="R50" s="69"/>
      <c r="S50" s="69"/>
      <c r="T50" s="69"/>
      <c r="U50" s="69"/>
      <c r="V50" s="109" t="s">
        <v>181</v>
      </c>
      <c r="W50" s="69"/>
      <c r="X50" s="69"/>
      <c r="Y50" s="69"/>
      <c r="Z50" s="69"/>
      <c r="AA50" s="84"/>
    </row>
    <row r="51" spans="1:27" x14ac:dyDescent="0.25">
      <c r="C51" s="83"/>
      <c r="D51" s="108" t="s">
        <v>189</v>
      </c>
      <c r="E51" s="69"/>
      <c r="F51" s="102">
        <v>56</v>
      </c>
      <c r="G51" s="99" t="s">
        <v>144</v>
      </c>
      <c r="H51" s="69"/>
      <c r="I51" s="69"/>
      <c r="J51" s="108" t="s">
        <v>130</v>
      </c>
      <c r="K51" s="69"/>
      <c r="L51" s="102">
        <v>50</v>
      </c>
      <c r="M51" s="99" t="s">
        <v>144</v>
      </c>
      <c r="N51" s="69"/>
      <c r="O51" s="69"/>
      <c r="P51" s="108" t="s">
        <v>131</v>
      </c>
      <c r="Q51" s="69"/>
      <c r="R51" s="102">
        <v>46</v>
      </c>
      <c r="S51" s="99" t="s">
        <v>144</v>
      </c>
      <c r="T51" s="69"/>
      <c r="U51" s="69"/>
      <c r="V51" s="108" t="s">
        <v>77</v>
      </c>
      <c r="W51" s="69"/>
      <c r="X51" s="102">
        <v>42</v>
      </c>
      <c r="Y51" s="99" t="s">
        <v>144</v>
      </c>
      <c r="Z51" s="69"/>
      <c r="AA51" s="84"/>
    </row>
    <row r="52" spans="1:27" x14ac:dyDescent="0.25">
      <c r="C52" s="83"/>
      <c r="D52" s="108" t="s">
        <v>75</v>
      </c>
      <c r="E52" s="69"/>
      <c r="F52" s="138">
        <v>512</v>
      </c>
      <c r="G52" s="99" t="s">
        <v>144</v>
      </c>
      <c r="H52" s="69"/>
      <c r="I52" s="69"/>
      <c r="J52" s="108" t="s">
        <v>75</v>
      </c>
      <c r="K52" s="69"/>
      <c r="L52" s="138">
        <v>464</v>
      </c>
      <c r="M52" s="99" t="s">
        <v>144</v>
      </c>
      <c r="N52" s="69"/>
      <c r="O52" s="69"/>
      <c r="P52" s="108" t="s">
        <v>75</v>
      </c>
      <c r="Q52" s="69"/>
      <c r="R52" s="138">
        <v>421</v>
      </c>
      <c r="S52" s="99" t="s">
        <v>144</v>
      </c>
      <c r="T52" s="69"/>
      <c r="U52" s="69"/>
      <c r="V52" s="108" t="s">
        <v>75</v>
      </c>
      <c r="W52" s="69"/>
      <c r="X52" s="138">
        <v>385</v>
      </c>
      <c r="Y52" s="99" t="s">
        <v>144</v>
      </c>
      <c r="Z52" s="69"/>
      <c r="AA52" s="84"/>
    </row>
    <row r="53" spans="1:27" x14ac:dyDescent="0.25">
      <c r="C53" s="83"/>
      <c r="D53" s="128" t="s">
        <v>154</v>
      </c>
      <c r="E53" s="69"/>
      <c r="F53" s="69"/>
      <c r="G53" s="69"/>
      <c r="H53" s="69"/>
      <c r="I53" s="69"/>
      <c r="J53" s="128" t="s">
        <v>154</v>
      </c>
      <c r="K53" s="69"/>
      <c r="L53" s="69"/>
      <c r="M53" s="69"/>
      <c r="N53" s="69"/>
      <c r="O53" s="69"/>
      <c r="P53" s="128" t="s">
        <v>154</v>
      </c>
      <c r="Q53" s="69"/>
      <c r="R53" s="69"/>
      <c r="S53" s="69"/>
      <c r="T53" s="69"/>
      <c r="U53" s="69"/>
      <c r="V53" s="128" t="s">
        <v>154</v>
      </c>
      <c r="W53" s="69"/>
      <c r="X53" s="69"/>
      <c r="Y53" s="69"/>
      <c r="Z53" s="69"/>
      <c r="AA53" s="84"/>
    </row>
    <row r="54" spans="1:27" x14ac:dyDescent="0.25">
      <c r="C54" s="83"/>
      <c r="D54" s="108" t="s">
        <v>145</v>
      </c>
      <c r="E54" s="69"/>
      <c r="F54" s="69"/>
      <c r="G54" s="69"/>
      <c r="H54" s="69"/>
      <c r="I54" s="69"/>
      <c r="J54" s="108" t="s">
        <v>145</v>
      </c>
      <c r="K54" s="69"/>
      <c r="L54" s="69"/>
      <c r="M54" s="69"/>
      <c r="N54" s="69"/>
      <c r="O54" s="69"/>
      <c r="P54" s="108" t="s">
        <v>145</v>
      </c>
      <c r="Q54" s="69"/>
      <c r="R54" s="69"/>
      <c r="S54" s="69"/>
      <c r="T54" s="69"/>
      <c r="U54" s="69"/>
      <c r="V54" s="108" t="s">
        <v>145</v>
      </c>
      <c r="W54" s="69"/>
      <c r="X54" s="69"/>
      <c r="Y54" s="69"/>
      <c r="Z54" s="69"/>
      <c r="AA54" s="84"/>
    </row>
    <row r="55" spans="1:27" ht="15.75" x14ac:dyDescent="0.25">
      <c r="A55" s="21" t="s">
        <v>88</v>
      </c>
      <c r="C55" s="110">
        <v>3</v>
      </c>
      <c r="D55" s="70" t="s">
        <v>87</v>
      </c>
      <c r="E55" s="70" t="s">
        <v>88</v>
      </c>
      <c r="F55" s="70" t="s">
        <v>89</v>
      </c>
      <c r="G55" s="70" t="s">
        <v>90</v>
      </c>
      <c r="H55" s="111" t="s">
        <v>137</v>
      </c>
      <c r="I55" s="69"/>
      <c r="J55" s="70" t="s">
        <v>87</v>
      </c>
      <c r="K55" s="70" t="s">
        <v>88</v>
      </c>
      <c r="L55" s="70" t="s">
        <v>89</v>
      </c>
      <c r="M55" s="70" t="s">
        <v>90</v>
      </c>
      <c r="N55" s="111" t="s">
        <v>137</v>
      </c>
      <c r="O55" s="69"/>
      <c r="P55" s="70" t="s">
        <v>87</v>
      </c>
      <c r="Q55" s="70" t="s">
        <v>88</v>
      </c>
      <c r="R55" s="70" t="s">
        <v>89</v>
      </c>
      <c r="S55" s="70" t="s">
        <v>90</v>
      </c>
      <c r="T55" s="111" t="s">
        <v>137</v>
      </c>
      <c r="U55" s="69"/>
      <c r="V55" s="70" t="s">
        <v>87</v>
      </c>
      <c r="W55" s="70" t="s">
        <v>88</v>
      </c>
      <c r="X55" s="70" t="s">
        <v>89</v>
      </c>
      <c r="Y55" s="70" t="s">
        <v>90</v>
      </c>
      <c r="Z55" s="111" t="s">
        <v>137</v>
      </c>
      <c r="AA55" s="84"/>
    </row>
    <row r="56" spans="1:27" x14ac:dyDescent="0.25">
      <c r="A56" s="49">
        <f t="shared" ref="A56:A65" si="9">-A69</f>
        <v>-29.1</v>
      </c>
      <c r="C56" s="83"/>
      <c r="D56" s="77">
        <v>1</v>
      </c>
      <c r="E56" s="71">
        <v>-31.3</v>
      </c>
      <c r="F56" s="71">
        <v>37.4</v>
      </c>
      <c r="G56" s="72">
        <f t="shared" ref="G56:G65" si="10">-E56/F56</f>
        <v>0.83689839572192515</v>
      </c>
      <c r="H56" s="98">
        <v>0.83</v>
      </c>
      <c r="I56" s="69"/>
      <c r="J56" s="77">
        <v>1</v>
      </c>
      <c r="K56" s="71">
        <v>-31.3</v>
      </c>
      <c r="L56" s="71">
        <v>34.799999999999997</v>
      </c>
      <c r="M56" s="72">
        <f t="shared" ref="M56:M61" si="11">-K56/L56</f>
        <v>0.89942528735632188</v>
      </c>
      <c r="N56" s="98">
        <v>0.83</v>
      </c>
      <c r="O56" s="69"/>
      <c r="P56" s="77">
        <v>1</v>
      </c>
      <c r="Q56" s="71">
        <v>-31.3</v>
      </c>
      <c r="R56" s="71">
        <v>32.5</v>
      </c>
      <c r="S56" s="72">
        <f>-Q56/R56</f>
        <v>0.96307692307692305</v>
      </c>
      <c r="T56" s="98">
        <v>0.83</v>
      </c>
      <c r="U56" s="69"/>
      <c r="V56" s="77">
        <v>1</v>
      </c>
      <c r="W56" s="71">
        <v>-31.3</v>
      </c>
      <c r="X56" s="71">
        <v>31</v>
      </c>
      <c r="Y56" s="72">
        <f>-W56/X56</f>
        <v>1.0096774193548388</v>
      </c>
      <c r="Z56" s="98">
        <v>0.83</v>
      </c>
      <c r="AA56" s="84"/>
    </row>
    <row r="57" spans="1:27" x14ac:dyDescent="0.25">
      <c r="A57" s="49">
        <f t="shared" si="9"/>
        <v>-51</v>
      </c>
      <c r="C57" s="83"/>
      <c r="D57" s="77">
        <v>2</v>
      </c>
      <c r="E57" s="137">
        <v>-55</v>
      </c>
      <c r="F57" s="71">
        <v>68.900000000000006</v>
      </c>
      <c r="G57" s="72">
        <f t="shared" si="10"/>
        <v>0.79825834542815666</v>
      </c>
      <c r="H57" s="98">
        <v>0.73</v>
      </c>
      <c r="I57" s="69"/>
      <c r="J57" s="77">
        <v>2</v>
      </c>
      <c r="K57" s="137">
        <v>-55</v>
      </c>
      <c r="L57" s="71">
        <v>63.5</v>
      </c>
      <c r="M57" s="72">
        <f t="shared" si="11"/>
        <v>0.86614173228346458</v>
      </c>
      <c r="N57" s="98">
        <v>0.73</v>
      </c>
      <c r="O57" s="69"/>
      <c r="P57" s="112">
        <v>2</v>
      </c>
      <c r="Q57" s="139">
        <v>-55</v>
      </c>
      <c r="R57" s="78">
        <v>58.8</v>
      </c>
      <c r="S57" s="79">
        <f t="shared" ref="S57:S65" si="12">-Q57/R57</f>
        <v>0.93537414965986398</v>
      </c>
      <c r="T57" s="98">
        <v>0.73</v>
      </c>
      <c r="U57" s="69"/>
      <c r="V57" s="113">
        <v>2</v>
      </c>
      <c r="W57" s="140">
        <v>-55</v>
      </c>
      <c r="X57" s="73">
        <v>55</v>
      </c>
      <c r="Y57" s="74">
        <f t="shared" ref="Y57:Y65" si="13">-W57/X57</f>
        <v>1</v>
      </c>
      <c r="Z57" s="98">
        <v>0.73</v>
      </c>
      <c r="AA57" s="84"/>
    </row>
    <row r="58" spans="1:27" x14ac:dyDescent="0.25">
      <c r="A58" s="49">
        <f t="shared" si="9"/>
        <v>-72.7</v>
      </c>
      <c r="C58" s="83"/>
      <c r="D58" s="77">
        <v>3</v>
      </c>
      <c r="E58" s="71">
        <v>-76.8</v>
      </c>
      <c r="F58" s="71">
        <v>90.5</v>
      </c>
      <c r="G58" s="72">
        <f t="shared" si="10"/>
        <v>0.84861878453038675</v>
      </c>
      <c r="H58" s="98">
        <v>0.68</v>
      </c>
      <c r="I58" s="69"/>
      <c r="J58" s="77">
        <v>3</v>
      </c>
      <c r="K58" s="71">
        <v>-76.8</v>
      </c>
      <c r="L58" s="71">
        <v>83.1</v>
      </c>
      <c r="M58" s="72">
        <f t="shared" si="11"/>
        <v>0.92418772563176899</v>
      </c>
      <c r="N58" s="98">
        <v>0.68</v>
      </c>
      <c r="O58" s="69"/>
      <c r="P58" s="113">
        <v>3</v>
      </c>
      <c r="Q58" s="73">
        <v>-76.8</v>
      </c>
      <c r="R58" s="73">
        <v>76.7</v>
      </c>
      <c r="S58" s="74">
        <f t="shared" si="12"/>
        <v>1.0013037809647978</v>
      </c>
      <c r="T58" s="98">
        <v>0.68</v>
      </c>
      <c r="U58" s="69"/>
      <c r="V58" s="77">
        <v>3</v>
      </c>
      <c r="W58" s="71">
        <v>-76.8</v>
      </c>
      <c r="X58" s="71">
        <v>71</v>
      </c>
      <c r="Y58" s="72">
        <f t="shared" si="13"/>
        <v>1.0816901408450703</v>
      </c>
      <c r="Z58" s="98">
        <v>0.68</v>
      </c>
      <c r="AA58" s="84"/>
    </row>
    <row r="59" spans="1:27" x14ac:dyDescent="0.25">
      <c r="A59" s="49">
        <f t="shared" si="9"/>
        <v>-94.6</v>
      </c>
      <c r="C59" s="83"/>
      <c r="D59" s="77">
        <v>4</v>
      </c>
      <c r="E59" s="71">
        <v>-98.8</v>
      </c>
      <c r="F59" s="71">
        <v>107.4</v>
      </c>
      <c r="G59" s="72">
        <f t="shared" si="10"/>
        <v>0.91992551210428297</v>
      </c>
      <c r="H59" s="98">
        <v>0.66</v>
      </c>
      <c r="I59" s="69"/>
      <c r="J59" s="113">
        <v>4</v>
      </c>
      <c r="K59" s="73">
        <v>-98.8</v>
      </c>
      <c r="L59" s="73">
        <v>98.6</v>
      </c>
      <c r="M59" s="74">
        <f t="shared" si="11"/>
        <v>1.002028397565923</v>
      </c>
      <c r="N59" s="98">
        <v>0.66</v>
      </c>
      <c r="O59" s="69"/>
      <c r="P59" s="112">
        <v>4</v>
      </c>
      <c r="Q59" s="78">
        <v>-98.8</v>
      </c>
      <c r="R59" s="78">
        <v>90.8</v>
      </c>
      <c r="S59" s="79">
        <f t="shared" si="12"/>
        <v>1.0881057268722467</v>
      </c>
      <c r="T59" s="98">
        <v>0.66</v>
      </c>
      <c r="U59" s="69"/>
      <c r="V59" s="77">
        <v>4</v>
      </c>
      <c r="W59" s="71">
        <v>-98.8</v>
      </c>
      <c r="X59" s="71">
        <v>84</v>
      </c>
      <c r="Y59" s="72">
        <f t="shared" si="13"/>
        <v>1.1761904761904762</v>
      </c>
      <c r="Z59" s="98">
        <v>0.66</v>
      </c>
      <c r="AA59" s="84"/>
    </row>
    <row r="60" spans="1:27" x14ac:dyDescent="0.25">
      <c r="A60" s="49">
        <f t="shared" si="9"/>
        <v>-116.8</v>
      </c>
      <c r="C60" s="83"/>
      <c r="D60" s="113">
        <v>5</v>
      </c>
      <c r="E60" s="73">
        <v>-120.9</v>
      </c>
      <c r="F60" s="73">
        <v>121.2</v>
      </c>
      <c r="G60" s="74">
        <f t="shared" si="10"/>
        <v>0.99752475247524752</v>
      </c>
      <c r="H60" s="98">
        <v>0.64</v>
      </c>
      <c r="I60" s="69"/>
      <c r="J60" s="112">
        <v>5</v>
      </c>
      <c r="K60" s="78">
        <v>-120.9</v>
      </c>
      <c r="L60" s="78">
        <v>111</v>
      </c>
      <c r="M60" s="79">
        <f t="shared" si="11"/>
        <v>1.0891891891891892</v>
      </c>
      <c r="N60" s="98">
        <v>0.64</v>
      </c>
      <c r="O60" s="69"/>
      <c r="P60" s="112">
        <v>5</v>
      </c>
      <c r="Q60" s="78">
        <v>-120.9</v>
      </c>
      <c r="R60" s="78">
        <v>102.1</v>
      </c>
      <c r="S60" s="79">
        <f t="shared" si="12"/>
        <v>1.1841332027424096</v>
      </c>
      <c r="T60" s="98">
        <v>0.64</v>
      </c>
      <c r="U60" s="69"/>
      <c r="V60" s="112">
        <v>5</v>
      </c>
      <c r="W60" s="78">
        <v>-120.9</v>
      </c>
      <c r="X60" s="78">
        <v>94</v>
      </c>
      <c r="Y60" s="72">
        <f t="shared" si="13"/>
        <v>1.2861702127659576</v>
      </c>
      <c r="Z60" s="98">
        <v>0.64</v>
      </c>
      <c r="AA60" s="84"/>
    </row>
    <row r="61" spans="1:27" x14ac:dyDescent="0.25">
      <c r="A61" s="49">
        <f t="shared" si="9"/>
        <v>-231.5</v>
      </c>
      <c r="C61" s="83"/>
      <c r="D61" s="77">
        <v>10</v>
      </c>
      <c r="E61" s="71">
        <v>-234.1</v>
      </c>
      <c r="F61" s="71">
        <v>188</v>
      </c>
      <c r="G61" s="72">
        <f t="shared" si="10"/>
        <v>1.2452127659574468</v>
      </c>
      <c r="H61" s="98">
        <v>0.62</v>
      </c>
      <c r="I61" s="69"/>
      <c r="J61" s="77">
        <v>10</v>
      </c>
      <c r="K61" s="71">
        <v>-234.1</v>
      </c>
      <c r="L61" s="71">
        <v>171.5</v>
      </c>
      <c r="M61" s="72">
        <f t="shared" si="11"/>
        <v>1.3650145772594753</v>
      </c>
      <c r="N61" s="98">
        <v>0.62</v>
      </c>
      <c r="O61" s="69"/>
      <c r="P61" s="77">
        <v>10</v>
      </c>
      <c r="Q61" s="71">
        <v>-234.1</v>
      </c>
      <c r="R61" s="71">
        <v>157</v>
      </c>
      <c r="S61" s="72">
        <f t="shared" si="12"/>
        <v>1.4910828025477707</v>
      </c>
      <c r="T61" s="98">
        <v>0.62</v>
      </c>
      <c r="U61" s="69"/>
      <c r="V61" s="112">
        <v>10</v>
      </c>
      <c r="W61" s="78">
        <v>-234.1</v>
      </c>
      <c r="X61" s="78">
        <v>145</v>
      </c>
      <c r="Y61" s="72">
        <f t="shared" si="13"/>
        <v>1.6144827586206896</v>
      </c>
      <c r="Z61" s="98">
        <v>0.62</v>
      </c>
      <c r="AA61" s="84"/>
    </row>
    <row r="62" spans="1:27" x14ac:dyDescent="0.25">
      <c r="A62" s="49">
        <f t="shared" si="9"/>
        <v>-480.1</v>
      </c>
      <c r="C62" s="83"/>
      <c r="D62" s="77">
        <v>20</v>
      </c>
      <c r="E62" s="143">
        <v>-472.4</v>
      </c>
      <c r="F62" s="71">
        <v>315.39999999999998</v>
      </c>
      <c r="G62" s="72">
        <f t="shared" si="10"/>
        <v>1.4977805960684845</v>
      </c>
      <c r="H62" s="98">
        <v>0.63</v>
      </c>
      <c r="I62" s="69"/>
      <c r="J62" s="77">
        <v>20</v>
      </c>
      <c r="K62" s="71">
        <v>-472.4</v>
      </c>
      <c r="L62" s="71">
        <v>287.10000000000002</v>
      </c>
      <c r="M62" s="72">
        <f>-K62/L62</f>
        <v>1.6454197143852314</v>
      </c>
      <c r="N62" s="98">
        <v>0.63</v>
      </c>
      <c r="O62" s="69"/>
      <c r="P62" s="77">
        <v>20</v>
      </c>
      <c r="Q62" s="71">
        <v>-472.4</v>
      </c>
      <c r="R62" s="71">
        <v>262.3</v>
      </c>
      <c r="S62" s="72">
        <f t="shared" si="12"/>
        <v>1.8009912314144108</v>
      </c>
      <c r="T62" s="98">
        <v>0.63</v>
      </c>
      <c r="U62" s="69"/>
      <c r="V62" s="77">
        <v>20</v>
      </c>
      <c r="W62" s="71">
        <v>-472.4</v>
      </c>
      <c r="X62" s="71">
        <v>241</v>
      </c>
      <c r="Y62" s="72">
        <f t="shared" si="13"/>
        <v>1.9601659751037344</v>
      </c>
      <c r="Z62" s="98">
        <v>0.63</v>
      </c>
      <c r="AA62" s="84"/>
    </row>
    <row r="63" spans="1:27" x14ac:dyDescent="0.25">
      <c r="A63" s="49">
        <f t="shared" si="9"/>
        <v>-754.2</v>
      </c>
      <c r="C63" s="83"/>
      <c r="D63" s="77">
        <v>30</v>
      </c>
      <c r="E63" s="71">
        <v>-726.7</v>
      </c>
      <c r="F63" s="71">
        <v>418</v>
      </c>
      <c r="G63" s="72">
        <f t="shared" si="10"/>
        <v>1.7385167464114835</v>
      </c>
      <c r="H63" s="98">
        <v>0.64</v>
      </c>
      <c r="I63" s="69"/>
      <c r="J63" s="77">
        <v>30</v>
      </c>
      <c r="K63" s="71">
        <v>-726.7</v>
      </c>
      <c r="L63" s="71">
        <v>380</v>
      </c>
      <c r="M63" s="72">
        <f>-K63/L63</f>
        <v>1.9123684210526317</v>
      </c>
      <c r="N63" s="98">
        <v>0.64</v>
      </c>
      <c r="O63" s="69"/>
      <c r="P63" s="77">
        <v>30</v>
      </c>
      <c r="Q63" s="71">
        <v>-726.7</v>
      </c>
      <c r="R63" s="71">
        <v>346.8</v>
      </c>
      <c r="S63" s="72">
        <f t="shared" si="12"/>
        <v>2.0954440599769319</v>
      </c>
      <c r="T63" s="98">
        <v>0.64</v>
      </c>
      <c r="U63" s="69"/>
      <c r="V63" s="77">
        <v>30</v>
      </c>
      <c r="W63" s="71">
        <v>-726.7</v>
      </c>
      <c r="X63" s="71">
        <v>318</v>
      </c>
      <c r="Y63" s="72">
        <f t="shared" si="13"/>
        <v>2.2852201257861635</v>
      </c>
      <c r="Z63" s="98">
        <v>0.64</v>
      </c>
      <c r="AA63" s="84"/>
    </row>
    <row r="64" spans="1:27" x14ac:dyDescent="0.25">
      <c r="A64" s="49">
        <f t="shared" si="9"/>
        <v>-1054.0999999999999</v>
      </c>
      <c r="C64" s="83"/>
      <c r="D64" s="77">
        <v>40</v>
      </c>
      <c r="E64" s="137">
        <v>-997.1</v>
      </c>
      <c r="F64" s="71">
        <v>512.6</v>
      </c>
      <c r="G64" s="72">
        <f t="shared" si="10"/>
        <v>1.945181428014046</v>
      </c>
      <c r="H64" s="98">
        <v>0.66</v>
      </c>
      <c r="I64" s="69"/>
      <c r="J64" s="77">
        <v>40</v>
      </c>
      <c r="K64" s="137">
        <v>-997.1</v>
      </c>
      <c r="L64" s="71">
        <v>465.9</v>
      </c>
      <c r="M64" s="72">
        <f>-K64/L64</f>
        <v>2.1401588323674612</v>
      </c>
      <c r="N64" s="98">
        <v>0.66</v>
      </c>
      <c r="O64" s="69"/>
      <c r="P64" s="77">
        <v>40</v>
      </c>
      <c r="Q64" s="137">
        <v>-997.1</v>
      </c>
      <c r="R64" s="71">
        <v>425</v>
      </c>
      <c r="S64" s="72">
        <f t="shared" si="12"/>
        <v>2.3461176470588234</v>
      </c>
      <c r="T64" s="98">
        <v>0.66</v>
      </c>
      <c r="U64" s="69"/>
      <c r="V64" s="77">
        <v>40</v>
      </c>
      <c r="W64" s="137">
        <v>-997.1</v>
      </c>
      <c r="X64" s="71">
        <v>390</v>
      </c>
      <c r="Y64" s="72">
        <f t="shared" si="13"/>
        <v>2.5566666666666666</v>
      </c>
      <c r="Z64" s="98">
        <v>0.66</v>
      </c>
      <c r="AA64" s="84"/>
    </row>
    <row r="65" spans="1:27" x14ac:dyDescent="0.25">
      <c r="A65" s="49">
        <f t="shared" si="9"/>
        <v>-1379.4</v>
      </c>
      <c r="C65" s="83"/>
      <c r="D65" s="77">
        <v>50</v>
      </c>
      <c r="E65" s="71">
        <v>-1283.2</v>
      </c>
      <c r="F65" s="137">
        <v>607.20000000000005</v>
      </c>
      <c r="G65" s="72">
        <f t="shared" si="10"/>
        <v>2.1133069828722002</v>
      </c>
      <c r="H65" s="98">
        <v>0.68</v>
      </c>
      <c r="I65" s="69"/>
      <c r="J65" s="77">
        <v>50</v>
      </c>
      <c r="K65" s="71">
        <v>-1283.2</v>
      </c>
      <c r="L65" s="137">
        <v>551.79999999999995</v>
      </c>
      <c r="M65" s="72">
        <f>-K65/L65</f>
        <v>2.3254802464661113</v>
      </c>
      <c r="N65" s="98">
        <v>0.68</v>
      </c>
      <c r="O65" s="69"/>
      <c r="P65" s="77">
        <v>50</v>
      </c>
      <c r="Q65" s="71">
        <v>-1283.2</v>
      </c>
      <c r="R65" s="137">
        <v>503.3</v>
      </c>
      <c r="S65" s="72">
        <f t="shared" si="12"/>
        <v>2.5495728193920129</v>
      </c>
      <c r="T65" s="98">
        <v>0.68</v>
      </c>
      <c r="U65" s="69"/>
      <c r="V65" s="77">
        <v>50</v>
      </c>
      <c r="W65" s="71">
        <v>-1283.2</v>
      </c>
      <c r="X65" s="137">
        <v>462</v>
      </c>
      <c r="Y65" s="72">
        <f t="shared" si="13"/>
        <v>2.7774891774891777</v>
      </c>
      <c r="Z65" s="98">
        <v>0.68</v>
      </c>
      <c r="AA65" s="84"/>
    </row>
    <row r="66" spans="1:27" x14ac:dyDescent="0.25">
      <c r="A66" s="49"/>
      <c r="C66" s="83"/>
      <c r="D66" s="77"/>
      <c r="E66" s="71"/>
      <c r="F66" s="71"/>
      <c r="G66" s="72"/>
      <c r="H66" s="98"/>
      <c r="I66" s="69"/>
      <c r="J66" s="77"/>
      <c r="K66" s="71"/>
      <c r="L66" s="71"/>
      <c r="M66" s="72"/>
      <c r="N66" s="98"/>
      <c r="O66" s="69"/>
      <c r="P66" s="77"/>
      <c r="Q66" s="71"/>
      <c r="R66" s="71"/>
      <c r="S66" s="72"/>
      <c r="T66" s="98"/>
      <c r="U66" s="69"/>
      <c r="V66" s="136" t="s">
        <v>188</v>
      </c>
      <c r="W66" s="71"/>
      <c r="X66" s="71"/>
      <c r="Y66" s="72"/>
      <c r="Z66" s="98"/>
      <c r="AA66" s="84"/>
    </row>
    <row r="67" spans="1:27" x14ac:dyDescent="0.25">
      <c r="A67" s="49"/>
      <c r="C67" s="83"/>
      <c r="D67" s="77"/>
      <c r="E67" s="71"/>
      <c r="F67" s="71"/>
      <c r="G67" s="72"/>
      <c r="H67" s="98"/>
      <c r="I67" s="69"/>
      <c r="J67" s="77"/>
      <c r="K67" s="71"/>
      <c r="L67" s="71"/>
      <c r="M67" s="72"/>
      <c r="N67" s="98"/>
      <c r="O67" s="69"/>
      <c r="P67" s="77"/>
      <c r="Q67" s="71"/>
      <c r="R67" s="71"/>
      <c r="S67" s="72"/>
      <c r="T67" s="98"/>
      <c r="U67" s="69"/>
      <c r="V67" s="77"/>
      <c r="W67" s="71"/>
      <c r="X67" s="71"/>
      <c r="Y67" s="72"/>
      <c r="Z67" s="98"/>
      <c r="AA67" s="84"/>
    </row>
    <row r="68" spans="1:27" x14ac:dyDescent="0.25">
      <c r="C68" s="83"/>
      <c r="D68" s="77"/>
      <c r="E68" s="71"/>
      <c r="F68" s="71"/>
      <c r="G68" s="72"/>
      <c r="H68" s="98"/>
      <c r="I68" s="69"/>
      <c r="J68" s="77"/>
      <c r="K68" s="71"/>
      <c r="L68" s="71"/>
      <c r="M68" s="72"/>
      <c r="N68" s="98"/>
      <c r="O68" s="69"/>
      <c r="P68" s="77"/>
      <c r="Q68" s="71"/>
      <c r="R68" s="71"/>
      <c r="S68" s="72"/>
      <c r="T68" s="98"/>
      <c r="U68" s="69"/>
      <c r="V68" s="77"/>
      <c r="W68" s="71"/>
      <c r="X68" s="71"/>
      <c r="Y68" s="72"/>
      <c r="Z68" s="98"/>
      <c r="AA68" s="84"/>
    </row>
    <row r="69" spans="1:27" x14ac:dyDescent="0.25">
      <c r="A69" s="3">
        <v>29.1</v>
      </c>
      <c r="C69" s="83"/>
      <c r="D69" s="109" t="s">
        <v>181</v>
      </c>
      <c r="E69" s="69"/>
      <c r="F69" s="69"/>
      <c r="G69" s="69"/>
      <c r="H69" s="69"/>
      <c r="I69" s="69"/>
      <c r="J69" s="109" t="s">
        <v>181</v>
      </c>
      <c r="K69" s="69"/>
      <c r="L69" s="69"/>
      <c r="M69" s="69"/>
      <c r="N69" s="69"/>
      <c r="O69" s="69"/>
      <c r="P69" s="109" t="s">
        <v>181</v>
      </c>
      <c r="Q69" s="69"/>
      <c r="R69" s="69"/>
      <c r="S69" s="69"/>
      <c r="T69" s="69"/>
      <c r="U69" s="69"/>
      <c r="V69" s="109" t="s">
        <v>181</v>
      </c>
      <c r="W69" s="69"/>
      <c r="X69" s="69"/>
      <c r="Y69" s="69"/>
      <c r="Z69" s="69"/>
      <c r="AA69" s="84"/>
    </row>
    <row r="70" spans="1:27" x14ac:dyDescent="0.25">
      <c r="A70" s="63">
        <v>51</v>
      </c>
      <c r="C70" s="83"/>
      <c r="D70" s="108" t="s">
        <v>189</v>
      </c>
      <c r="E70" s="69"/>
      <c r="F70" s="102">
        <v>56</v>
      </c>
      <c r="G70" s="99" t="s">
        <v>144</v>
      </c>
      <c r="H70" s="69"/>
      <c r="I70" s="69"/>
      <c r="J70" s="108" t="s">
        <v>130</v>
      </c>
      <c r="K70" s="69"/>
      <c r="L70" s="102">
        <v>50</v>
      </c>
      <c r="M70" s="99" t="s">
        <v>144</v>
      </c>
      <c r="N70" s="69"/>
      <c r="O70" s="69"/>
      <c r="P70" s="108" t="s">
        <v>131</v>
      </c>
      <c r="Q70" s="69"/>
      <c r="R70" s="102">
        <v>46</v>
      </c>
      <c r="S70" s="99" t="s">
        <v>144</v>
      </c>
      <c r="T70" s="69"/>
      <c r="U70" s="69"/>
      <c r="V70" s="80" t="s">
        <v>158</v>
      </c>
      <c r="W70" s="81"/>
      <c r="X70" s="100">
        <v>24</v>
      </c>
      <c r="Y70" s="101" t="s">
        <v>144</v>
      </c>
      <c r="Z70" s="82"/>
      <c r="AA70" s="84"/>
    </row>
    <row r="71" spans="1:27" x14ac:dyDescent="0.25">
      <c r="A71" s="3">
        <v>72.7</v>
      </c>
      <c r="C71" s="114" t="s">
        <v>161</v>
      </c>
      <c r="D71" s="115" t="s">
        <v>75</v>
      </c>
      <c r="E71" s="69"/>
      <c r="F71" s="138">
        <v>512</v>
      </c>
      <c r="G71" s="99" t="s">
        <v>144</v>
      </c>
      <c r="H71" s="69"/>
      <c r="I71" s="69"/>
      <c r="J71" s="115" t="s">
        <v>134</v>
      </c>
      <c r="K71" s="69"/>
      <c r="L71" s="138">
        <v>464</v>
      </c>
      <c r="M71" s="99" t="s">
        <v>144</v>
      </c>
      <c r="N71" s="69"/>
      <c r="O71" s="69"/>
      <c r="P71" s="115" t="s">
        <v>136</v>
      </c>
      <c r="Q71" s="69"/>
      <c r="R71" s="138">
        <v>421</v>
      </c>
      <c r="S71" s="99" t="s">
        <v>144</v>
      </c>
      <c r="T71" s="69"/>
      <c r="U71" s="69"/>
      <c r="V71" s="85" t="s">
        <v>183</v>
      </c>
      <c r="W71" s="99"/>
      <c r="X71" s="102">
        <v>305</v>
      </c>
      <c r="Y71" s="99" t="s">
        <v>144</v>
      </c>
      <c r="Z71" s="84"/>
      <c r="AA71" s="84"/>
    </row>
    <row r="72" spans="1:27" x14ac:dyDescent="0.25">
      <c r="A72" s="3">
        <v>94.6</v>
      </c>
      <c r="C72" s="83"/>
      <c r="D72" s="128" t="s">
        <v>154</v>
      </c>
      <c r="E72" s="69"/>
      <c r="F72" s="69"/>
      <c r="G72" s="69"/>
      <c r="H72" s="69"/>
      <c r="I72" s="69"/>
      <c r="J72" s="128" t="s">
        <v>154</v>
      </c>
      <c r="K72" s="69"/>
      <c r="L72" s="69"/>
      <c r="M72" s="69"/>
      <c r="N72" s="69"/>
      <c r="O72" s="69"/>
      <c r="P72" s="128" t="s">
        <v>154</v>
      </c>
      <c r="Q72" s="69"/>
      <c r="R72" s="69"/>
      <c r="S72" s="103"/>
      <c r="T72" s="69"/>
      <c r="U72" s="69"/>
      <c r="V72" s="83" t="s">
        <v>155</v>
      </c>
      <c r="W72" s="69"/>
      <c r="X72" s="69"/>
      <c r="Y72" s="99" t="s">
        <v>162</v>
      </c>
      <c r="Z72" s="84"/>
      <c r="AA72" s="84"/>
    </row>
    <row r="73" spans="1:27" x14ac:dyDescent="0.25">
      <c r="A73" s="63">
        <v>116.8</v>
      </c>
      <c r="C73" s="83"/>
      <c r="D73" s="108" t="s">
        <v>185</v>
      </c>
      <c r="E73" s="69"/>
      <c r="F73" s="69"/>
      <c r="G73" s="69"/>
      <c r="H73" s="69"/>
      <c r="I73" s="69"/>
      <c r="J73" s="108" t="s">
        <v>185</v>
      </c>
      <c r="K73" s="69"/>
      <c r="L73" s="69"/>
      <c r="M73" s="69"/>
      <c r="N73" s="69"/>
      <c r="O73" s="69"/>
      <c r="P73" s="108" t="s">
        <v>185</v>
      </c>
      <c r="Q73" s="69"/>
      <c r="R73" s="69"/>
      <c r="S73" s="103" t="s">
        <v>159</v>
      </c>
      <c r="T73" s="69"/>
      <c r="U73" s="69"/>
      <c r="V73" s="85" t="s">
        <v>126</v>
      </c>
      <c r="W73" s="77" t="s">
        <v>156</v>
      </c>
      <c r="X73" s="77" t="s">
        <v>156</v>
      </c>
      <c r="Y73" s="69"/>
      <c r="Z73" s="135" t="s">
        <v>184</v>
      </c>
      <c r="AA73" s="84"/>
    </row>
    <row r="74" spans="1:27" ht="15.75" x14ac:dyDescent="0.25">
      <c r="A74" s="3">
        <v>231.5</v>
      </c>
      <c r="C74" s="110">
        <v>4</v>
      </c>
      <c r="D74" s="70" t="s">
        <v>87</v>
      </c>
      <c r="E74" s="116" t="s">
        <v>88</v>
      </c>
      <c r="F74" s="70" t="s">
        <v>89</v>
      </c>
      <c r="G74" s="70" t="s">
        <v>90</v>
      </c>
      <c r="H74" s="111" t="s">
        <v>137</v>
      </c>
      <c r="I74" s="69"/>
      <c r="J74" s="70" t="s">
        <v>87</v>
      </c>
      <c r="K74" s="116" t="s">
        <v>88</v>
      </c>
      <c r="L74" s="70" t="s">
        <v>89</v>
      </c>
      <c r="M74" s="70" t="s">
        <v>90</v>
      </c>
      <c r="N74" s="111" t="s">
        <v>137</v>
      </c>
      <c r="O74" s="69"/>
      <c r="P74" s="70" t="s">
        <v>87</v>
      </c>
      <c r="Q74" s="116" t="s">
        <v>88</v>
      </c>
      <c r="R74" s="70" t="s">
        <v>89</v>
      </c>
      <c r="S74" s="70" t="s">
        <v>90</v>
      </c>
      <c r="T74" s="111" t="s">
        <v>137</v>
      </c>
      <c r="U74" s="69"/>
      <c r="V74" s="86" t="s">
        <v>87</v>
      </c>
      <c r="W74" s="70" t="s">
        <v>88</v>
      </c>
      <c r="X74" s="70" t="s">
        <v>89</v>
      </c>
      <c r="Y74" s="70" t="s">
        <v>90</v>
      </c>
      <c r="Z74" s="87" t="s">
        <v>137</v>
      </c>
      <c r="AA74" s="84"/>
    </row>
    <row r="75" spans="1:27" x14ac:dyDescent="0.25">
      <c r="A75" s="3">
        <v>480.1</v>
      </c>
      <c r="C75" s="83"/>
      <c r="D75" s="77">
        <v>1</v>
      </c>
      <c r="E75" s="71">
        <v>-31.3</v>
      </c>
      <c r="F75" s="71">
        <v>37.4</v>
      </c>
      <c r="G75" s="72">
        <f t="shared" ref="G75:G84" si="14">-E75/F75</f>
        <v>0.83689839572192515</v>
      </c>
      <c r="H75" s="98">
        <v>0.83</v>
      </c>
      <c r="I75" s="69"/>
      <c r="J75" s="77">
        <v>1</v>
      </c>
      <c r="K75" s="71">
        <v>-28.8</v>
      </c>
      <c r="L75" s="71">
        <v>34.799999999999997</v>
      </c>
      <c r="M75" s="72">
        <f t="shared" ref="M75:M80" si="15">-K75/L75</f>
        <v>0.82758620689655182</v>
      </c>
      <c r="N75" s="98">
        <v>0.77</v>
      </c>
      <c r="O75" s="69"/>
      <c r="P75" s="77">
        <v>1</v>
      </c>
      <c r="Q75" s="142">
        <v>-26.5</v>
      </c>
      <c r="R75" s="71">
        <v>32.5</v>
      </c>
      <c r="S75" s="72">
        <f>-Q75/R75</f>
        <v>0.81538461538461537</v>
      </c>
      <c r="T75" s="98">
        <v>0.7</v>
      </c>
      <c r="U75" s="69"/>
      <c r="V75" s="88">
        <v>1</v>
      </c>
      <c r="W75" s="73">
        <v>-29.1</v>
      </c>
      <c r="X75" s="73">
        <v>26.5</v>
      </c>
      <c r="Y75" s="74">
        <f t="shared" ref="Y75:Y84" si="16">-W75/X75</f>
        <v>1.0981132075471698</v>
      </c>
      <c r="Z75" s="89">
        <v>0.77</v>
      </c>
      <c r="AA75" s="84"/>
    </row>
    <row r="76" spans="1:27" x14ac:dyDescent="0.25">
      <c r="A76" s="3">
        <v>754.2</v>
      </c>
      <c r="C76" s="83"/>
      <c r="D76" s="144">
        <v>2</v>
      </c>
      <c r="E76" s="137">
        <v>-55</v>
      </c>
      <c r="F76" s="71">
        <v>68.900000000000006</v>
      </c>
      <c r="G76" s="72">
        <f t="shared" si="14"/>
        <v>0.79825834542815666</v>
      </c>
      <c r="H76" s="98">
        <v>0.73</v>
      </c>
      <c r="I76" s="69"/>
      <c r="J76" s="77">
        <v>2</v>
      </c>
      <c r="K76" s="141">
        <v>-50.6</v>
      </c>
      <c r="L76" s="71">
        <v>63.5</v>
      </c>
      <c r="M76" s="72">
        <f t="shared" si="15"/>
        <v>0.79685039370078747</v>
      </c>
      <c r="N76" s="98">
        <v>0.67</v>
      </c>
      <c r="O76" s="69"/>
      <c r="P76" s="112">
        <v>2</v>
      </c>
      <c r="Q76" s="145">
        <v>-46.5</v>
      </c>
      <c r="R76" s="78">
        <v>58.8</v>
      </c>
      <c r="S76" s="79">
        <f t="shared" ref="S76:S84" si="17">-Q76/R76</f>
        <v>0.79081632653061229</v>
      </c>
      <c r="T76" s="98">
        <v>0.62</v>
      </c>
      <c r="U76" s="69"/>
      <c r="V76" s="90">
        <v>2</v>
      </c>
      <c r="W76" s="71">
        <v>-52.5</v>
      </c>
      <c r="X76" s="71">
        <v>37.4</v>
      </c>
      <c r="Y76" s="72">
        <f t="shared" si="16"/>
        <v>1.4037433155080214</v>
      </c>
      <c r="Z76" s="91">
        <v>0.7</v>
      </c>
      <c r="AA76" s="84"/>
    </row>
    <row r="77" spans="1:27" x14ac:dyDescent="0.25">
      <c r="A77" s="63">
        <v>1054.0999999999999</v>
      </c>
      <c r="C77" s="83"/>
      <c r="D77" s="77">
        <v>3</v>
      </c>
      <c r="E77" s="71">
        <v>-76.8</v>
      </c>
      <c r="F77" s="71">
        <v>90.5</v>
      </c>
      <c r="G77" s="72">
        <f t="shared" si="14"/>
        <v>0.84861878453038675</v>
      </c>
      <c r="H77" s="98">
        <v>0.68</v>
      </c>
      <c r="I77" s="69"/>
      <c r="J77" s="77">
        <v>3</v>
      </c>
      <c r="K77" s="71">
        <v>-70.7</v>
      </c>
      <c r="L77" s="71">
        <v>83.1</v>
      </c>
      <c r="M77" s="72">
        <f t="shared" si="15"/>
        <v>0.85078219013237077</v>
      </c>
      <c r="N77" s="98">
        <v>0.63</v>
      </c>
      <c r="O77" s="69"/>
      <c r="P77" s="112">
        <v>3</v>
      </c>
      <c r="Q77" s="78">
        <v>-64.900000000000006</v>
      </c>
      <c r="R77" s="78">
        <v>76.7</v>
      </c>
      <c r="S77" s="79">
        <f t="shared" si="17"/>
        <v>0.84615384615384615</v>
      </c>
      <c r="T77" s="123">
        <v>0.56999999999999995</v>
      </c>
      <c r="U77" s="69"/>
      <c r="V77" s="90">
        <v>3</v>
      </c>
      <c r="W77" s="71">
        <v>-75.3</v>
      </c>
      <c r="X77" s="71">
        <v>47.1</v>
      </c>
      <c r="Y77" s="72">
        <f t="shared" si="16"/>
        <v>1.5987261146496814</v>
      </c>
      <c r="Z77" s="91">
        <v>0.67</v>
      </c>
      <c r="AA77" s="84"/>
    </row>
    <row r="78" spans="1:27" x14ac:dyDescent="0.25">
      <c r="A78" s="3">
        <v>1379.4</v>
      </c>
      <c r="C78" s="83"/>
      <c r="D78" s="77">
        <v>4</v>
      </c>
      <c r="E78" s="71">
        <v>-98.8</v>
      </c>
      <c r="F78" s="71">
        <v>107.4</v>
      </c>
      <c r="G78" s="72">
        <f t="shared" si="14"/>
        <v>0.91992551210428297</v>
      </c>
      <c r="H78" s="98">
        <v>0.66</v>
      </c>
      <c r="I78" s="69"/>
      <c r="J78" s="112">
        <v>4</v>
      </c>
      <c r="K78" s="78">
        <v>-90.9</v>
      </c>
      <c r="L78" s="78">
        <v>98.6</v>
      </c>
      <c r="M78" s="79">
        <f t="shared" si="15"/>
        <v>0.92190669371196765</v>
      </c>
      <c r="N78" s="98">
        <v>0.6</v>
      </c>
      <c r="O78" s="69"/>
      <c r="P78" s="112">
        <v>4</v>
      </c>
      <c r="Q78" s="78">
        <v>-83.5</v>
      </c>
      <c r="R78" s="78">
        <v>90.8</v>
      </c>
      <c r="S78" s="79">
        <f t="shared" si="17"/>
        <v>0.91960352422907488</v>
      </c>
      <c r="T78" s="98">
        <v>0.55000000000000004</v>
      </c>
      <c r="U78" s="69"/>
      <c r="V78" s="90">
        <v>4</v>
      </c>
      <c r="W78" s="71">
        <v>-94.2</v>
      </c>
      <c r="X78" s="71">
        <v>56.7</v>
      </c>
      <c r="Y78" s="72">
        <f t="shared" si="16"/>
        <v>1.6613756613756614</v>
      </c>
      <c r="Z78" s="91">
        <v>0.63</v>
      </c>
      <c r="AA78" s="84"/>
    </row>
    <row r="79" spans="1:27" x14ac:dyDescent="0.25">
      <c r="C79" s="83"/>
      <c r="D79" s="113">
        <v>5</v>
      </c>
      <c r="E79" s="73">
        <v>-120.9</v>
      </c>
      <c r="F79" s="73">
        <v>121.2</v>
      </c>
      <c r="G79" s="74">
        <f t="shared" si="14"/>
        <v>0.99752475247524752</v>
      </c>
      <c r="H79" s="98">
        <v>0.64</v>
      </c>
      <c r="I79" s="69"/>
      <c r="J79" s="113">
        <v>5</v>
      </c>
      <c r="K79" s="73">
        <v>-111.3</v>
      </c>
      <c r="L79" s="73">
        <v>111</v>
      </c>
      <c r="M79" s="74">
        <f t="shared" si="15"/>
        <v>1.0027027027027027</v>
      </c>
      <c r="N79" s="98">
        <v>0.59</v>
      </c>
      <c r="O79" s="69"/>
      <c r="P79" s="113">
        <v>5</v>
      </c>
      <c r="Q79" s="73">
        <v>-102.2</v>
      </c>
      <c r="R79" s="73">
        <v>102.1</v>
      </c>
      <c r="S79" s="74">
        <f t="shared" si="17"/>
        <v>1.0009794319294809</v>
      </c>
      <c r="T79" s="98">
        <v>0.54</v>
      </c>
      <c r="U79" s="69"/>
      <c r="V79" s="92">
        <v>5</v>
      </c>
      <c r="W79" s="78">
        <v>-114.3</v>
      </c>
      <c r="X79" s="78">
        <v>66.8</v>
      </c>
      <c r="Y79" s="79">
        <f t="shared" si="16"/>
        <v>1.7110778443113772</v>
      </c>
      <c r="Z79" s="93">
        <v>0.61</v>
      </c>
      <c r="AA79" s="84"/>
    </row>
    <row r="80" spans="1:27" x14ac:dyDescent="0.25">
      <c r="C80" s="83"/>
      <c r="D80" s="77">
        <v>10</v>
      </c>
      <c r="E80" s="71">
        <v>-234.1</v>
      </c>
      <c r="F80" s="71">
        <v>188</v>
      </c>
      <c r="G80" s="72">
        <f t="shared" si="14"/>
        <v>1.2452127659574468</v>
      </c>
      <c r="H80" s="98">
        <v>0.62</v>
      </c>
      <c r="I80" s="69"/>
      <c r="J80" s="77">
        <v>10</v>
      </c>
      <c r="K80" s="71">
        <v>-215.4</v>
      </c>
      <c r="L80" s="71">
        <v>171.5</v>
      </c>
      <c r="M80" s="72">
        <f t="shared" si="15"/>
        <v>1.2559766763848397</v>
      </c>
      <c r="N80" s="98">
        <v>0.56999999999999995</v>
      </c>
      <c r="O80" s="69"/>
      <c r="P80" s="77">
        <v>10</v>
      </c>
      <c r="Q80" s="71">
        <v>-197.8</v>
      </c>
      <c r="R80" s="71">
        <v>157</v>
      </c>
      <c r="S80" s="72">
        <f t="shared" si="17"/>
        <v>1.2598726114649683</v>
      </c>
      <c r="T80" s="98">
        <v>0.53</v>
      </c>
      <c r="U80" s="69"/>
      <c r="V80" s="90">
        <v>10</v>
      </c>
      <c r="W80" s="71">
        <v>-233.6</v>
      </c>
      <c r="X80" s="71">
        <v>113.8</v>
      </c>
      <c r="Y80" s="72">
        <f t="shared" si="16"/>
        <v>2.0527240773286466</v>
      </c>
      <c r="Z80" s="91">
        <v>0.62</v>
      </c>
      <c r="AA80" s="84"/>
    </row>
    <row r="81" spans="1:27" x14ac:dyDescent="0.25">
      <c r="C81" s="83"/>
      <c r="D81" s="77">
        <v>20</v>
      </c>
      <c r="E81" s="71">
        <v>-472.4</v>
      </c>
      <c r="F81" s="71">
        <v>315.39999999999998</v>
      </c>
      <c r="G81" s="72">
        <f t="shared" si="14"/>
        <v>1.4977805960684845</v>
      </c>
      <c r="H81" s="98">
        <v>0.63</v>
      </c>
      <c r="I81" s="69"/>
      <c r="J81" s="77">
        <v>20</v>
      </c>
      <c r="K81" s="71">
        <v>-434.6</v>
      </c>
      <c r="L81" s="71">
        <v>287.10000000000002</v>
      </c>
      <c r="M81" s="72">
        <f>-K81/L81</f>
        <v>1.513758272378962</v>
      </c>
      <c r="N81" s="98">
        <v>0.57999999999999996</v>
      </c>
      <c r="O81" s="69"/>
      <c r="P81" s="77">
        <v>20</v>
      </c>
      <c r="Q81" s="71">
        <v>-399.2</v>
      </c>
      <c r="R81" s="71">
        <v>262.3</v>
      </c>
      <c r="S81" s="72">
        <f t="shared" si="17"/>
        <v>1.5219214639725505</v>
      </c>
      <c r="T81" s="98">
        <v>0.53</v>
      </c>
      <c r="U81" s="69"/>
      <c r="V81" s="90">
        <v>20</v>
      </c>
      <c r="W81" s="71">
        <v>-480</v>
      </c>
      <c r="X81" s="71">
        <v>195.9</v>
      </c>
      <c r="Y81" s="72">
        <f t="shared" si="16"/>
        <v>2.4502297090352219</v>
      </c>
      <c r="Z81" s="91">
        <v>0.64</v>
      </c>
      <c r="AA81" s="84"/>
    </row>
    <row r="82" spans="1:27" x14ac:dyDescent="0.25">
      <c r="C82" s="83"/>
      <c r="D82" s="77">
        <v>30</v>
      </c>
      <c r="E82" s="71">
        <v>-726.7</v>
      </c>
      <c r="F82" s="71">
        <v>418</v>
      </c>
      <c r="G82" s="72">
        <f t="shared" si="14"/>
        <v>1.7385167464114835</v>
      </c>
      <c r="H82" s="98">
        <v>0.64</v>
      </c>
      <c r="I82" s="69"/>
      <c r="J82" s="77">
        <v>30</v>
      </c>
      <c r="K82" s="71">
        <v>-668.5</v>
      </c>
      <c r="L82" s="71">
        <v>380</v>
      </c>
      <c r="M82" s="72">
        <f>-K82/L82</f>
        <v>1.7592105263157896</v>
      </c>
      <c r="N82" s="98">
        <v>0.59</v>
      </c>
      <c r="O82" s="69"/>
      <c r="P82" s="77">
        <v>30</v>
      </c>
      <c r="Q82" s="71">
        <v>-614</v>
      </c>
      <c r="R82" s="71">
        <v>346.8</v>
      </c>
      <c r="S82" s="72">
        <f t="shared" si="17"/>
        <v>1.770472895040369</v>
      </c>
      <c r="T82" s="98">
        <v>0.54</v>
      </c>
      <c r="U82" s="69"/>
      <c r="V82" s="90">
        <v>30</v>
      </c>
      <c r="W82" s="71">
        <v>-746.6</v>
      </c>
      <c r="X82" s="71">
        <v>268.89999999999998</v>
      </c>
      <c r="Y82" s="72">
        <f t="shared" si="16"/>
        <v>2.7764968389735967</v>
      </c>
      <c r="Z82" s="91">
        <v>0.66</v>
      </c>
      <c r="AA82" s="84"/>
    </row>
    <row r="83" spans="1:27" x14ac:dyDescent="0.25">
      <c r="C83" s="83"/>
      <c r="D83" s="77">
        <v>40</v>
      </c>
      <c r="E83" s="137">
        <v>-997.1</v>
      </c>
      <c r="F83" s="71">
        <v>512.6</v>
      </c>
      <c r="G83" s="72">
        <f t="shared" si="14"/>
        <v>1.945181428014046</v>
      </c>
      <c r="H83" s="98">
        <v>0.66</v>
      </c>
      <c r="I83" s="69"/>
      <c r="J83" s="77">
        <v>40</v>
      </c>
      <c r="K83" s="141">
        <v>-917.3</v>
      </c>
      <c r="L83" s="71">
        <v>465.9</v>
      </c>
      <c r="M83" s="72">
        <f>-K83/L83</f>
        <v>1.9688774415110539</v>
      </c>
      <c r="N83" s="98">
        <v>0.61</v>
      </c>
      <c r="O83" s="69"/>
      <c r="P83" s="77">
        <v>40</v>
      </c>
      <c r="Q83" s="141">
        <v>-842.5</v>
      </c>
      <c r="R83" s="71">
        <v>425</v>
      </c>
      <c r="S83" s="72">
        <f t="shared" si="17"/>
        <v>1.9823529411764707</v>
      </c>
      <c r="T83" s="98">
        <v>0.56000000000000005</v>
      </c>
      <c r="U83" s="69"/>
      <c r="V83" s="90">
        <v>40</v>
      </c>
      <c r="W83" s="71">
        <v>-1055</v>
      </c>
      <c r="X83" s="71">
        <v>336.9</v>
      </c>
      <c r="Y83" s="72">
        <f t="shared" si="16"/>
        <v>3.131493024636391</v>
      </c>
      <c r="Z83" s="91">
        <v>0.7</v>
      </c>
      <c r="AA83" s="84"/>
    </row>
    <row r="84" spans="1:27" x14ac:dyDescent="0.25">
      <c r="C84" s="83"/>
      <c r="D84" s="77">
        <v>50</v>
      </c>
      <c r="E84" s="71">
        <v>-1283.2</v>
      </c>
      <c r="F84" s="137">
        <v>607.20000000000005</v>
      </c>
      <c r="G84" s="72">
        <f t="shared" si="14"/>
        <v>2.1133069828722002</v>
      </c>
      <c r="H84" s="98">
        <v>0.68</v>
      </c>
      <c r="I84" s="69"/>
      <c r="J84" s="77">
        <v>50</v>
      </c>
      <c r="K84" s="71">
        <v>-1180.5999999999999</v>
      </c>
      <c r="L84" s="137">
        <v>551.79999999999995</v>
      </c>
      <c r="M84" s="72">
        <f>-K84/L84</f>
        <v>2.1395433127944909</v>
      </c>
      <c r="N84" s="98">
        <v>0.63</v>
      </c>
      <c r="O84" s="69"/>
      <c r="P84" s="77">
        <v>50</v>
      </c>
      <c r="Q84" s="71">
        <v>-1084.3</v>
      </c>
      <c r="R84" s="137">
        <v>503.3</v>
      </c>
      <c r="S84" s="72">
        <f t="shared" si="17"/>
        <v>2.1543810848400553</v>
      </c>
      <c r="T84" s="98">
        <v>0.57999999999999996</v>
      </c>
      <c r="U84" s="69"/>
      <c r="V84" s="94">
        <v>50</v>
      </c>
      <c r="W84" s="95">
        <v>-1348.2</v>
      </c>
      <c r="X84" s="95">
        <v>403.3</v>
      </c>
      <c r="Y84" s="96">
        <f t="shared" si="16"/>
        <v>3.3429209025539302</v>
      </c>
      <c r="Z84" s="97">
        <v>0.72</v>
      </c>
      <c r="AA84" s="84"/>
    </row>
    <row r="85" spans="1:27" x14ac:dyDescent="0.25">
      <c r="C85" s="83"/>
      <c r="D85" s="77"/>
      <c r="E85" s="71"/>
      <c r="F85" s="71"/>
      <c r="G85" s="72"/>
      <c r="H85" s="98"/>
      <c r="I85" s="69"/>
      <c r="J85" s="77"/>
      <c r="K85" s="71"/>
      <c r="L85" s="71"/>
      <c r="M85" s="72"/>
      <c r="N85" s="98"/>
      <c r="O85" s="69"/>
      <c r="P85" s="136" t="s">
        <v>187</v>
      </c>
      <c r="Q85" s="71"/>
      <c r="R85" s="71"/>
      <c r="S85" s="72"/>
      <c r="T85" s="98"/>
      <c r="U85" s="69"/>
      <c r="V85" s="77"/>
      <c r="W85" s="71"/>
      <c r="X85" s="71"/>
      <c r="Y85" s="72"/>
      <c r="Z85" s="98"/>
      <c r="AA85" s="84"/>
    </row>
    <row r="86" spans="1:27" x14ac:dyDescent="0.25">
      <c r="C86" s="83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84"/>
    </row>
    <row r="87" spans="1:27" x14ac:dyDescent="0.25">
      <c r="A87" s="68"/>
      <c r="C87" s="83"/>
      <c r="D87" s="77"/>
      <c r="E87" s="71"/>
      <c r="F87" s="71"/>
      <c r="G87" s="72"/>
      <c r="H87" s="98"/>
      <c r="I87" s="69"/>
      <c r="J87" s="77"/>
      <c r="K87" s="71"/>
      <c r="L87" s="71"/>
      <c r="M87" s="72"/>
      <c r="N87" s="98"/>
      <c r="O87" s="69"/>
      <c r="P87" s="77"/>
      <c r="Q87" s="71"/>
      <c r="R87" s="71"/>
      <c r="S87" s="72"/>
      <c r="T87" s="98"/>
      <c r="U87" s="69"/>
      <c r="V87" s="77"/>
      <c r="W87" s="71"/>
      <c r="X87" s="71"/>
      <c r="Y87" s="72"/>
      <c r="Z87" s="98"/>
      <c r="AA87" s="84"/>
    </row>
    <row r="88" spans="1:27" x14ac:dyDescent="0.25">
      <c r="A88" s="71"/>
      <c r="C88" s="107"/>
      <c r="D88" s="124"/>
      <c r="E88" s="125"/>
      <c r="F88" s="125"/>
      <c r="G88" s="126"/>
      <c r="H88" s="127"/>
      <c r="I88" s="81"/>
      <c r="J88" s="124"/>
      <c r="K88" s="125"/>
      <c r="L88" s="125"/>
      <c r="M88" s="126"/>
      <c r="N88" s="127"/>
      <c r="O88" s="81"/>
      <c r="P88" s="124"/>
      <c r="Q88" s="125"/>
      <c r="R88" s="125"/>
      <c r="S88" s="126"/>
      <c r="T88" s="127"/>
      <c r="U88" s="81"/>
      <c r="V88" s="124"/>
      <c r="W88" s="125"/>
      <c r="X88" s="125"/>
      <c r="Y88" s="126"/>
      <c r="Z88" s="127"/>
      <c r="AA88" s="82"/>
    </row>
    <row r="89" spans="1:27" x14ac:dyDescent="0.25">
      <c r="A89" s="71"/>
      <c r="C89" s="83"/>
      <c r="D89" s="77"/>
      <c r="E89" s="71"/>
      <c r="F89" s="71"/>
      <c r="G89" s="72"/>
      <c r="H89" s="98"/>
      <c r="I89" s="69"/>
      <c r="J89" s="77"/>
      <c r="K89" s="71"/>
      <c r="L89" s="71"/>
      <c r="M89" s="72"/>
      <c r="N89" s="98"/>
      <c r="O89" s="69"/>
      <c r="P89" s="99" t="s">
        <v>164</v>
      </c>
      <c r="Q89" s="71"/>
      <c r="R89" s="71"/>
      <c r="S89" s="72"/>
      <c r="T89" s="98"/>
      <c r="U89" s="69"/>
      <c r="V89" s="77"/>
      <c r="W89" s="71"/>
      <c r="X89" s="71"/>
      <c r="Y89" s="72"/>
      <c r="Z89" s="98"/>
      <c r="AA89" s="84"/>
    </row>
    <row r="90" spans="1:27" x14ac:dyDescent="0.25">
      <c r="C90" s="83"/>
      <c r="D90" s="109" t="s">
        <v>181</v>
      </c>
      <c r="E90" s="69"/>
      <c r="F90" s="69"/>
      <c r="G90" s="69"/>
      <c r="H90" s="69"/>
      <c r="I90" s="69"/>
      <c r="J90" s="109" t="s">
        <v>181</v>
      </c>
      <c r="K90" s="69"/>
      <c r="L90" s="69"/>
      <c r="M90" s="69"/>
      <c r="N90" s="69"/>
      <c r="O90" s="69"/>
      <c r="P90" s="109" t="s">
        <v>181</v>
      </c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84"/>
    </row>
    <row r="91" spans="1:27" x14ac:dyDescent="0.25">
      <c r="C91" s="83"/>
      <c r="D91" s="108" t="s">
        <v>189</v>
      </c>
      <c r="E91" s="69"/>
      <c r="F91" s="102">
        <v>56</v>
      </c>
      <c r="G91" s="99" t="s">
        <v>144</v>
      </c>
      <c r="H91" s="69"/>
      <c r="I91" s="69"/>
      <c r="J91" s="108" t="s">
        <v>165</v>
      </c>
      <c r="K91" s="69"/>
      <c r="L91" s="102">
        <v>35</v>
      </c>
      <c r="M91" s="99" t="s">
        <v>144</v>
      </c>
      <c r="N91" s="69"/>
      <c r="O91" s="69"/>
      <c r="P91" s="108" t="s">
        <v>168</v>
      </c>
      <c r="Q91" s="69"/>
      <c r="R91" s="102">
        <v>29</v>
      </c>
      <c r="S91" s="99" t="s">
        <v>144</v>
      </c>
      <c r="T91" s="69"/>
      <c r="U91" s="69"/>
      <c r="V91" s="80" t="s">
        <v>158</v>
      </c>
      <c r="W91" s="81"/>
      <c r="X91" s="100">
        <v>24</v>
      </c>
      <c r="Y91" s="101" t="s">
        <v>144</v>
      </c>
      <c r="Z91" s="82"/>
      <c r="AA91" s="84"/>
    </row>
    <row r="92" spans="1:27" x14ac:dyDescent="0.25">
      <c r="C92" s="83"/>
      <c r="D92" s="128" t="s">
        <v>75</v>
      </c>
      <c r="E92" s="69"/>
      <c r="F92" s="138">
        <v>512</v>
      </c>
      <c r="G92" s="99" t="s">
        <v>144</v>
      </c>
      <c r="H92" s="69"/>
      <c r="I92" s="69"/>
      <c r="J92" s="128" t="s">
        <v>163</v>
      </c>
      <c r="K92" s="69"/>
      <c r="L92" s="102">
        <v>324</v>
      </c>
      <c r="M92" s="99" t="s">
        <v>144</v>
      </c>
      <c r="N92" s="69"/>
      <c r="O92" s="69"/>
      <c r="P92" s="128" t="s">
        <v>163</v>
      </c>
      <c r="Q92" s="69"/>
      <c r="R92" s="138">
        <v>329</v>
      </c>
      <c r="S92" s="99" t="s">
        <v>144</v>
      </c>
      <c r="T92" s="69"/>
      <c r="U92" s="69"/>
      <c r="V92" s="85" t="s">
        <v>183</v>
      </c>
      <c r="W92" s="99"/>
      <c r="X92" s="102">
        <v>305</v>
      </c>
      <c r="Y92" s="99" t="s">
        <v>144</v>
      </c>
      <c r="Z92" s="84"/>
      <c r="AA92" s="84"/>
    </row>
    <row r="93" spans="1:27" x14ac:dyDescent="0.25">
      <c r="C93" s="83"/>
      <c r="D93" s="128" t="s">
        <v>154</v>
      </c>
      <c r="E93" s="69"/>
      <c r="F93" s="138">
        <v>76</v>
      </c>
      <c r="G93" s="103" t="s">
        <v>167</v>
      </c>
      <c r="H93" s="69"/>
      <c r="I93" s="69"/>
      <c r="J93" s="128" t="s">
        <v>154</v>
      </c>
      <c r="K93" s="69"/>
      <c r="L93" s="102">
        <v>49</v>
      </c>
      <c r="M93" s="103" t="s">
        <v>167</v>
      </c>
      <c r="N93" s="69"/>
      <c r="O93" s="69"/>
      <c r="P93" s="128" t="s">
        <v>154</v>
      </c>
      <c r="Q93" s="69"/>
      <c r="R93" s="138">
        <v>49</v>
      </c>
      <c r="S93" s="103" t="s">
        <v>167</v>
      </c>
      <c r="T93" s="69"/>
      <c r="U93" s="69"/>
      <c r="V93" s="83" t="s">
        <v>155</v>
      </c>
      <c r="W93" s="69"/>
      <c r="X93" s="102">
        <v>73</v>
      </c>
      <c r="Y93" s="103" t="s">
        <v>166</v>
      </c>
      <c r="Z93" s="84"/>
      <c r="AA93" s="84"/>
    </row>
    <row r="94" spans="1:27" x14ac:dyDescent="0.25">
      <c r="C94" s="83"/>
      <c r="D94" s="108" t="s">
        <v>186</v>
      </c>
      <c r="E94" s="69"/>
      <c r="F94" s="69"/>
      <c r="G94" s="69"/>
      <c r="H94" s="69"/>
      <c r="I94" s="69"/>
      <c r="J94" s="108" t="s">
        <v>186</v>
      </c>
      <c r="K94" s="69"/>
      <c r="L94" s="69"/>
      <c r="M94" s="69"/>
      <c r="N94" s="69"/>
      <c r="O94" s="69"/>
      <c r="P94" s="108" t="s">
        <v>186</v>
      </c>
      <c r="Q94" s="69"/>
      <c r="R94" s="69"/>
      <c r="S94" s="69"/>
      <c r="T94" s="69"/>
      <c r="U94" s="69"/>
      <c r="V94" s="85" t="s">
        <v>126</v>
      </c>
      <c r="W94" s="77" t="s">
        <v>156</v>
      </c>
      <c r="X94" s="77" t="s">
        <v>156</v>
      </c>
      <c r="Y94" s="69"/>
      <c r="Z94" s="135" t="s">
        <v>184</v>
      </c>
      <c r="AA94" s="84"/>
    </row>
    <row r="95" spans="1:27" ht="15.75" x14ac:dyDescent="0.25">
      <c r="A95" s="21" t="s">
        <v>88</v>
      </c>
      <c r="C95" s="110">
        <v>5</v>
      </c>
      <c r="D95" s="70" t="s">
        <v>87</v>
      </c>
      <c r="E95" s="129" t="s">
        <v>88</v>
      </c>
      <c r="F95" s="70" t="s">
        <v>89</v>
      </c>
      <c r="G95" s="70" t="s">
        <v>90</v>
      </c>
      <c r="H95" s="111" t="s">
        <v>137</v>
      </c>
      <c r="I95" s="69"/>
      <c r="J95" s="70" t="s">
        <v>87</v>
      </c>
      <c r="K95" s="70" t="s">
        <v>88</v>
      </c>
      <c r="L95" s="70" t="s">
        <v>89</v>
      </c>
      <c r="M95" s="70" t="s">
        <v>90</v>
      </c>
      <c r="N95" s="111" t="s">
        <v>137</v>
      </c>
      <c r="O95" s="69"/>
      <c r="P95" s="70" t="s">
        <v>87</v>
      </c>
      <c r="Q95" s="70" t="s">
        <v>88</v>
      </c>
      <c r="R95" s="70" t="s">
        <v>89</v>
      </c>
      <c r="S95" s="70" t="s">
        <v>90</v>
      </c>
      <c r="T95" s="111" t="s">
        <v>137</v>
      </c>
      <c r="U95" s="69"/>
      <c r="V95" s="86" t="s">
        <v>87</v>
      </c>
      <c r="W95" s="70" t="s">
        <v>88</v>
      </c>
      <c r="X95" s="70" t="s">
        <v>89</v>
      </c>
      <c r="Y95" s="70" t="s">
        <v>90</v>
      </c>
      <c r="Z95" s="87" t="s">
        <v>137</v>
      </c>
      <c r="AA95" s="84"/>
    </row>
    <row r="96" spans="1:27" x14ac:dyDescent="0.25">
      <c r="A96" s="49">
        <f>-A108</f>
        <v>-1.4</v>
      </c>
      <c r="C96" s="83"/>
      <c r="D96" s="77">
        <v>1</v>
      </c>
      <c r="E96" s="71">
        <v>-31.3</v>
      </c>
      <c r="F96" s="71">
        <v>37.4</v>
      </c>
      <c r="G96" s="72">
        <f t="shared" ref="G96:G105" si="18">-E96/F96</f>
        <v>0.83689839572192515</v>
      </c>
      <c r="H96" s="98">
        <v>0.83</v>
      </c>
      <c r="I96" s="69"/>
      <c r="J96" s="113">
        <v>1</v>
      </c>
      <c r="K96" s="73">
        <v>-29.1</v>
      </c>
      <c r="L96" s="73">
        <v>31.3</v>
      </c>
      <c r="M96" s="74">
        <f>-K96/L96</f>
        <v>0.92971246006389774</v>
      </c>
      <c r="N96" s="117">
        <v>0.77</v>
      </c>
      <c r="O96" s="69"/>
      <c r="P96" s="113">
        <v>1</v>
      </c>
      <c r="Q96" s="73">
        <v>-29.1</v>
      </c>
      <c r="R96" s="73">
        <v>28.5</v>
      </c>
      <c r="S96" s="74">
        <f>-Q96/R96</f>
        <v>1.0210526315789474</v>
      </c>
      <c r="T96" s="117">
        <v>0.77</v>
      </c>
      <c r="U96" s="69"/>
      <c r="V96" s="88">
        <v>1</v>
      </c>
      <c r="W96" s="73">
        <v>-29.1</v>
      </c>
      <c r="X96" s="73">
        <v>26.5</v>
      </c>
      <c r="Y96" s="74">
        <f t="shared" ref="Y96:Y105" si="19">-W96/X96</f>
        <v>1.0981132075471698</v>
      </c>
      <c r="Z96" s="89">
        <v>0.77</v>
      </c>
      <c r="AA96" s="84"/>
    </row>
    <row r="97" spans="1:27" x14ac:dyDescent="0.25">
      <c r="A97" s="49">
        <f t="shared" ref="A97:A105" si="20">-A109</f>
        <v>-55</v>
      </c>
      <c r="C97" s="83"/>
      <c r="D97" s="77">
        <v>2</v>
      </c>
      <c r="E97" s="137">
        <v>-55</v>
      </c>
      <c r="F97" s="71">
        <v>68.900000000000006</v>
      </c>
      <c r="G97" s="72">
        <f t="shared" si="18"/>
        <v>0.79825834542815666</v>
      </c>
      <c r="H97" s="98">
        <v>0.73</v>
      </c>
      <c r="I97" s="69"/>
      <c r="J97" s="112">
        <v>2</v>
      </c>
      <c r="K97" s="78">
        <v>-51</v>
      </c>
      <c r="L97" s="78">
        <v>49</v>
      </c>
      <c r="M97" s="79">
        <f t="shared" ref="M97:M105" si="21">-K97/L97</f>
        <v>1.0408163265306123</v>
      </c>
      <c r="N97" s="98">
        <v>0.68</v>
      </c>
      <c r="O97" s="69"/>
      <c r="P97" s="112">
        <v>2</v>
      </c>
      <c r="Q97" s="139">
        <v>-51</v>
      </c>
      <c r="R97" s="78">
        <v>42.5</v>
      </c>
      <c r="S97" s="79">
        <f t="shared" ref="S97:S105" si="22">-Q97/R97</f>
        <v>1.2</v>
      </c>
      <c r="T97" s="98">
        <v>0.68</v>
      </c>
      <c r="U97" s="69"/>
      <c r="V97" s="90">
        <v>2</v>
      </c>
      <c r="W97" s="71">
        <v>-52.5</v>
      </c>
      <c r="X97" s="71">
        <v>37.4</v>
      </c>
      <c r="Y97" s="72">
        <f t="shared" si="19"/>
        <v>1.4037433155080214</v>
      </c>
      <c r="Z97" s="91">
        <v>0.7</v>
      </c>
      <c r="AA97" s="84"/>
    </row>
    <row r="98" spans="1:27" x14ac:dyDescent="0.25">
      <c r="A98" s="49">
        <f t="shared" si="20"/>
        <v>-76.599999999999994</v>
      </c>
      <c r="C98" s="83"/>
      <c r="D98" s="77">
        <v>3</v>
      </c>
      <c r="E98" s="71">
        <v>-76.8</v>
      </c>
      <c r="F98" s="71">
        <v>90.5</v>
      </c>
      <c r="G98" s="72">
        <f t="shared" si="18"/>
        <v>0.84861878453038675</v>
      </c>
      <c r="H98" s="98">
        <v>0.68</v>
      </c>
      <c r="I98" s="69"/>
      <c r="J98" s="112">
        <v>3</v>
      </c>
      <c r="K98" s="78">
        <v>-72.7</v>
      </c>
      <c r="L98" s="78">
        <v>62.7</v>
      </c>
      <c r="M98" s="79">
        <f t="shared" si="21"/>
        <v>1.1594896331738438</v>
      </c>
      <c r="N98" s="123">
        <v>0.64</v>
      </c>
      <c r="O98" s="69"/>
      <c r="P98" s="112">
        <v>3</v>
      </c>
      <c r="Q98" s="78">
        <v>-72.7</v>
      </c>
      <c r="R98" s="78">
        <v>55.3</v>
      </c>
      <c r="S98" s="79">
        <f t="shared" si="22"/>
        <v>1.3146473779385173</v>
      </c>
      <c r="T98" s="123">
        <v>0.64</v>
      </c>
      <c r="U98" s="69"/>
      <c r="V98" s="90">
        <v>3</v>
      </c>
      <c r="W98" s="71">
        <v>-75.3</v>
      </c>
      <c r="X98" s="71">
        <v>47.1</v>
      </c>
      <c r="Y98" s="72">
        <f t="shared" si="19"/>
        <v>1.5987261146496814</v>
      </c>
      <c r="Z98" s="91">
        <v>0.67</v>
      </c>
      <c r="AA98" s="84"/>
    </row>
    <row r="99" spans="1:27" x14ac:dyDescent="0.25">
      <c r="A99" s="49">
        <f t="shared" si="20"/>
        <v>-98.4</v>
      </c>
      <c r="C99" s="83"/>
      <c r="D99" s="77">
        <v>4</v>
      </c>
      <c r="E99" s="71">
        <v>-98.8</v>
      </c>
      <c r="F99" s="71">
        <v>107.4</v>
      </c>
      <c r="G99" s="72">
        <f t="shared" si="18"/>
        <v>0.91992551210428297</v>
      </c>
      <c r="H99" s="98">
        <v>0.66</v>
      </c>
      <c r="I99" s="69"/>
      <c r="J99" s="112">
        <v>4</v>
      </c>
      <c r="K99" s="78">
        <v>-94.6</v>
      </c>
      <c r="L99" s="78">
        <v>72.400000000000006</v>
      </c>
      <c r="M99" s="79">
        <f t="shared" si="21"/>
        <v>1.3066298342541434</v>
      </c>
      <c r="N99" s="98">
        <v>0.63</v>
      </c>
      <c r="O99" s="69"/>
      <c r="P99" s="112">
        <v>4</v>
      </c>
      <c r="Q99" s="78">
        <v>-94.6</v>
      </c>
      <c r="R99" s="78">
        <v>65.5</v>
      </c>
      <c r="S99" s="79">
        <f t="shared" si="22"/>
        <v>1.4442748091603053</v>
      </c>
      <c r="T99" s="98">
        <v>0.63</v>
      </c>
      <c r="U99" s="69"/>
      <c r="V99" s="90">
        <v>4</v>
      </c>
      <c r="W99" s="71">
        <v>-94.2</v>
      </c>
      <c r="X99" s="71">
        <v>56.7</v>
      </c>
      <c r="Y99" s="72">
        <f t="shared" si="19"/>
        <v>1.6613756613756614</v>
      </c>
      <c r="Z99" s="91">
        <v>0.63</v>
      </c>
      <c r="AA99" s="84"/>
    </row>
    <row r="100" spans="1:27" x14ac:dyDescent="0.25">
      <c r="A100" s="49">
        <f t="shared" si="20"/>
        <v>-120.5</v>
      </c>
      <c r="C100" s="83"/>
      <c r="D100" s="113">
        <v>5</v>
      </c>
      <c r="E100" s="73">
        <v>-120.9</v>
      </c>
      <c r="F100" s="73">
        <v>121.2</v>
      </c>
      <c r="G100" s="74">
        <f t="shared" si="18"/>
        <v>0.99752475247524752</v>
      </c>
      <c r="H100" s="98">
        <v>0.64</v>
      </c>
      <c r="I100" s="69"/>
      <c r="J100" s="130">
        <v>5</v>
      </c>
      <c r="K100" s="105">
        <v>-116.8</v>
      </c>
      <c r="L100" s="105">
        <v>83</v>
      </c>
      <c r="M100" s="106">
        <f t="shared" si="21"/>
        <v>1.4072289156626505</v>
      </c>
      <c r="N100" s="131">
        <v>0.62</v>
      </c>
      <c r="O100" s="69"/>
      <c r="P100" s="130">
        <v>5</v>
      </c>
      <c r="Q100" s="105">
        <v>-116.8</v>
      </c>
      <c r="R100" s="105">
        <v>77.099999999999994</v>
      </c>
      <c r="S100" s="106">
        <f t="shared" si="22"/>
        <v>1.5149156939040209</v>
      </c>
      <c r="T100" s="131">
        <v>0.62</v>
      </c>
      <c r="U100" s="69"/>
      <c r="V100" s="104">
        <v>5</v>
      </c>
      <c r="W100" s="105">
        <v>-114.3</v>
      </c>
      <c r="X100" s="105">
        <v>66.8</v>
      </c>
      <c r="Y100" s="106">
        <f t="shared" si="19"/>
        <v>1.7110778443113772</v>
      </c>
      <c r="Z100" s="93">
        <v>0.61</v>
      </c>
      <c r="AA100" s="84"/>
    </row>
    <row r="101" spans="1:27" x14ac:dyDescent="0.25">
      <c r="A101" s="49">
        <f t="shared" si="20"/>
        <v>-234.7</v>
      </c>
      <c r="C101" s="83"/>
      <c r="D101" s="77">
        <v>10</v>
      </c>
      <c r="E101" s="71">
        <v>-234.1</v>
      </c>
      <c r="F101" s="71">
        <v>188</v>
      </c>
      <c r="G101" s="72">
        <f t="shared" si="18"/>
        <v>1.2452127659574468</v>
      </c>
      <c r="H101" s="98">
        <v>0.62</v>
      </c>
      <c r="I101" s="69"/>
      <c r="J101" s="77">
        <v>10</v>
      </c>
      <c r="K101" s="71">
        <v>-231.5</v>
      </c>
      <c r="L101" s="71">
        <v>127.5</v>
      </c>
      <c r="M101" s="72">
        <f t="shared" si="21"/>
        <v>1.8156862745098039</v>
      </c>
      <c r="N101" s="98">
        <v>0.61</v>
      </c>
      <c r="O101" s="69"/>
      <c r="P101" s="77">
        <v>10</v>
      </c>
      <c r="Q101" s="71">
        <v>-231.5</v>
      </c>
      <c r="R101" s="71">
        <v>124.8</v>
      </c>
      <c r="S101" s="72">
        <f t="shared" si="22"/>
        <v>1.8549679487179487</v>
      </c>
      <c r="T101" s="98">
        <v>0.61</v>
      </c>
      <c r="U101" s="69"/>
      <c r="V101" s="90">
        <v>10</v>
      </c>
      <c r="W101" s="71">
        <v>-233.6</v>
      </c>
      <c r="X101" s="71">
        <v>113.8</v>
      </c>
      <c r="Y101" s="72">
        <f t="shared" si="19"/>
        <v>2.0527240773286466</v>
      </c>
      <c r="Z101" s="91">
        <v>0.62</v>
      </c>
      <c r="AA101" s="84"/>
    </row>
    <row r="102" spans="1:27" x14ac:dyDescent="0.25">
      <c r="A102" s="49">
        <f t="shared" si="20"/>
        <v>-482.4</v>
      </c>
      <c r="C102" s="83"/>
      <c r="D102" s="77">
        <v>20</v>
      </c>
      <c r="E102" s="71">
        <v>-472.4</v>
      </c>
      <c r="F102" s="71">
        <v>315.39999999999998</v>
      </c>
      <c r="G102" s="72">
        <f t="shared" si="18"/>
        <v>1.4977805960684845</v>
      </c>
      <c r="H102" s="98">
        <v>0.63</v>
      </c>
      <c r="I102" s="69"/>
      <c r="J102" s="77">
        <v>20</v>
      </c>
      <c r="K102" s="71">
        <v>-480.1</v>
      </c>
      <c r="L102" s="71">
        <v>209.5</v>
      </c>
      <c r="M102" s="72">
        <f t="shared" si="21"/>
        <v>2.2916467780429595</v>
      </c>
      <c r="N102" s="98">
        <v>0.64</v>
      </c>
      <c r="O102" s="69"/>
      <c r="P102" s="77">
        <v>20</v>
      </c>
      <c r="Q102" s="71">
        <v>-480.1</v>
      </c>
      <c r="R102" s="71">
        <v>207.8</v>
      </c>
      <c r="S102" s="72">
        <f t="shared" si="22"/>
        <v>2.3103946102021173</v>
      </c>
      <c r="T102" s="98">
        <v>0.64</v>
      </c>
      <c r="U102" s="69"/>
      <c r="V102" s="90">
        <v>20</v>
      </c>
      <c r="W102" s="71">
        <v>-480</v>
      </c>
      <c r="X102" s="71">
        <v>195.9</v>
      </c>
      <c r="Y102" s="72">
        <f t="shared" si="19"/>
        <v>2.4502297090352219</v>
      </c>
      <c r="Z102" s="91">
        <v>0.64</v>
      </c>
      <c r="AA102" s="84"/>
    </row>
    <row r="103" spans="1:27" x14ac:dyDescent="0.25">
      <c r="A103" s="49">
        <f t="shared" si="20"/>
        <v>-755.6</v>
      </c>
      <c r="C103" s="83"/>
      <c r="D103" s="77">
        <v>30</v>
      </c>
      <c r="E103" s="71">
        <v>-726.7</v>
      </c>
      <c r="F103" s="71">
        <v>418</v>
      </c>
      <c r="G103" s="72">
        <f t="shared" si="18"/>
        <v>1.7385167464114835</v>
      </c>
      <c r="H103" s="98">
        <v>0.64</v>
      </c>
      <c r="I103" s="69"/>
      <c r="J103" s="77">
        <v>30</v>
      </c>
      <c r="K103" s="71">
        <v>-754.2</v>
      </c>
      <c r="L103" s="71">
        <v>277.89999999999998</v>
      </c>
      <c r="M103" s="72">
        <f t="shared" si="21"/>
        <v>2.7139258726160493</v>
      </c>
      <c r="N103" s="98">
        <v>0.67</v>
      </c>
      <c r="O103" s="69"/>
      <c r="P103" s="77">
        <v>30</v>
      </c>
      <c r="Q103" s="71">
        <v>-754.2</v>
      </c>
      <c r="R103" s="71">
        <v>277.60000000000002</v>
      </c>
      <c r="S103" s="72">
        <f t="shared" si="22"/>
        <v>2.71685878962536</v>
      </c>
      <c r="T103" s="98">
        <v>0.67</v>
      </c>
      <c r="U103" s="69"/>
      <c r="V103" s="90">
        <v>30</v>
      </c>
      <c r="W103" s="71">
        <v>-746.6</v>
      </c>
      <c r="X103" s="71">
        <v>268.89999999999998</v>
      </c>
      <c r="Y103" s="72">
        <f t="shared" si="19"/>
        <v>2.7764968389735967</v>
      </c>
      <c r="Z103" s="91">
        <v>0.66</v>
      </c>
      <c r="AA103" s="84"/>
    </row>
    <row r="104" spans="1:27" x14ac:dyDescent="0.25">
      <c r="A104" s="49">
        <f t="shared" si="20"/>
        <v>-1054.5</v>
      </c>
      <c r="C104" s="83"/>
      <c r="D104" s="77">
        <v>40</v>
      </c>
      <c r="E104" s="137">
        <v>-997.1</v>
      </c>
      <c r="F104" s="71">
        <v>512.6</v>
      </c>
      <c r="G104" s="72">
        <f t="shared" si="18"/>
        <v>1.945181428014046</v>
      </c>
      <c r="H104" s="98">
        <v>0.66</v>
      </c>
      <c r="I104" s="69"/>
      <c r="J104" s="130">
        <v>40</v>
      </c>
      <c r="K104" s="105">
        <v>-1054.0999999999999</v>
      </c>
      <c r="L104" s="105">
        <v>339.6</v>
      </c>
      <c r="M104" s="106">
        <f t="shared" si="21"/>
        <v>3.103945818610129</v>
      </c>
      <c r="N104" s="131">
        <v>0.7</v>
      </c>
      <c r="O104" s="69"/>
      <c r="P104" s="130">
        <v>40</v>
      </c>
      <c r="Q104" s="146">
        <v>-1054.0999999999999</v>
      </c>
      <c r="R104" s="105">
        <v>340.2</v>
      </c>
      <c r="S104" s="106">
        <f t="shared" si="22"/>
        <v>3.098471487360376</v>
      </c>
      <c r="T104" s="131">
        <v>0.7</v>
      </c>
      <c r="U104" s="69"/>
      <c r="V104" s="104">
        <v>40</v>
      </c>
      <c r="W104" s="105">
        <v>-1055</v>
      </c>
      <c r="X104" s="105">
        <v>336.9</v>
      </c>
      <c r="Y104" s="106">
        <f t="shared" si="19"/>
        <v>3.131493024636391</v>
      </c>
      <c r="Z104" s="91">
        <v>0.7</v>
      </c>
      <c r="AA104" s="84"/>
    </row>
    <row r="105" spans="1:27" x14ac:dyDescent="0.25">
      <c r="A105" s="49">
        <f t="shared" si="20"/>
        <v>-1379</v>
      </c>
      <c r="C105" s="83"/>
      <c r="D105" s="77">
        <v>50</v>
      </c>
      <c r="E105" s="71">
        <v>-1283.2</v>
      </c>
      <c r="F105" s="137">
        <v>607.20000000000005</v>
      </c>
      <c r="G105" s="72">
        <f t="shared" si="18"/>
        <v>2.1133069828722002</v>
      </c>
      <c r="H105" s="98">
        <v>0.68</v>
      </c>
      <c r="I105" s="69"/>
      <c r="J105" s="77">
        <v>50</v>
      </c>
      <c r="K105" s="71">
        <v>-1379.4</v>
      </c>
      <c r="L105" s="71">
        <v>402.9</v>
      </c>
      <c r="M105" s="72">
        <f t="shared" si="21"/>
        <v>3.4236783320923312</v>
      </c>
      <c r="N105" s="98">
        <v>0.73</v>
      </c>
      <c r="O105" s="69"/>
      <c r="P105" s="77">
        <v>50</v>
      </c>
      <c r="Q105" s="71">
        <v>-1379.4</v>
      </c>
      <c r="R105" s="137">
        <v>403.4</v>
      </c>
      <c r="S105" s="72">
        <f t="shared" si="22"/>
        <v>3.4194348041646014</v>
      </c>
      <c r="T105" s="98">
        <v>0.73</v>
      </c>
      <c r="U105" s="69"/>
      <c r="V105" s="94">
        <v>50</v>
      </c>
      <c r="W105" s="95">
        <v>-1348.2</v>
      </c>
      <c r="X105" s="95">
        <v>403.3</v>
      </c>
      <c r="Y105" s="96">
        <f t="shared" si="19"/>
        <v>3.3429209025539302</v>
      </c>
      <c r="Z105" s="97">
        <v>0.72</v>
      </c>
      <c r="AA105" s="84"/>
    </row>
    <row r="106" spans="1:27" x14ac:dyDescent="0.25">
      <c r="A106" s="49"/>
      <c r="C106" s="83"/>
      <c r="D106" s="77"/>
      <c r="E106" s="71"/>
      <c r="F106" s="71"/>
      <c r="G106" s="72"/>
      <c r="H106" s="98"/>
      <c r="I106" s="69"/>
      <c r="J106" s="77"/>
      <c r="K106" s="71"/>
      <c r="L106" s="71"/>
      <c r="M106" s="72"/>
      <c r="N106" s="98"/>
      <c r="O106" s="69"/>
      <c r="P106" s="77"/>
      <c r="Q106" s="71"/>
      <c r="R106" s="71"/>
      <c r="S106" s="72"/>
      <c r="T106" s="98"/>
      <c r="U106" s="69"/>
      <c r="V106" s="77"/>
      <c r="W106" s="71"/>
      <c r="X106" s="71"/>
      <c r="Y106" s="72"/>
      <c r="Z106" s="98"/>
      <c r="AA106" s="84"/>
    </row>
    <row r="107" spans="1:27" x14ac:dyDescent="0.25">
      <c r="C107" s="83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84"/>
    </row>
    <row r="108" spans="1:27" x14ac:dyDescent="0.25">
      <c r="A108" s="3">
        <v>1.4</v>
      </c>
      <c r="C108" s="83"/>
      <c r="D108" s="99" t="s">
        <v>164</v>
      </c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84"/>
    </row>
    <row r="109" spans="1:27" x14ac:dyDescent="0.25">
      <c r="A109" s="63">
        <v>55</v>
      </c>
      <c r="C109" s="83"/>
      <c r="D109" s="109" t="s">
        <v>182</v>
      </c>
      <c r="E109" s="69"/>
      <c r="F109" s="69"/>
      <c r="G109" s="69"/>
      <c r="H109" s="69"/>
      <c r="I109" s="69"/>
      <c r="J109" s="109" t="s">
        <v>182</v>
      </c>
      <c r="K109" s="69"/>
      <c r="L109" s="69"/>
      <c r="M109" s="69"/>
      <c r="N109" s="69"/>
      <c r="O109" s="69"/>
      <c r="P109" s="109" t="s">
        <v>182</v>
      </c>
      <c r="Q109" s="69"/>
      <c r="R109" s="69"/>
      <c r="S109" s="69"/>
      <c r="T109" s="69"/>
      <c r="U109" s="69"/>
      <c r="V109" s="109" t="s">
        <v>182</v>
      </c>
      <c r="W109" s="69"/>
      <c r="X109" s="69"/>
      <c r="Y109" s="69"/>
      <c r="Z109" s="69"/>
      <c r="AA109" s="84"/>
    </row>
    <row r="110" spans="1:27" x14ac:dyDescent="0.25">
      <c r="A110" s="3">
        <v>76.599999999999994</v>
      </c>
      <c r="C110" s="83"/>
      <c r="D110" s="108" t="s">
        <v>168</v>
      </c>
      <c r="E110" s="69"/>
      <c r="F110" s="102">
        <v>29</v>
      </c>
      <c r="G110" s="99" t="s">
        <v>144</v>
      </c>
      <c r="H110" s="69"/>
      <c r="I110" s="69"/>
      <c r="J110" s="108" t="s">
        <v>170</v>
      </c>
      <c r="K110" s="69"/>
      <c r="L110" s="102">
        <v>42</v>
      </c>
      <c r="M110" s="99" t="s">
        <v>144</v>
      </c>
      <c r="N110" s="69"/>
      <c r="O110" s="69"/>
      <c r="P110" s="108" t="s">
        <v>172</v>
      </c>
      <c r="Q110" s="69"/>
      <c r="R110" s="102">
        <v>39</v>
      </c>
      <c r="S110" s="99" t="s">
        <v>144</v>
      </c>
      <c r="T110" s="69"/>
      <c r="U110" s="69"/>
      <c r="V110" s="108" t="s">
        <v>171</v>
      </c>
      <c r="W110" s="69"/>
      <c r="X110" s="102">
        <v>37</v>
      </c>
      <c r="Y110" s="99" t="s">
        <v>144</v>
      </c>
      <c r="Z110" s="69"/>
      <c r="AA110" s="84"/>
    </row>
    <row r="111" spans="1:27" x14ac:dyDescent="0.25">
      <c r="A111" s="3">
        <v>98.4</v>
      </c>
      <c r="C111" s="83"/>
      <c r="D111" s="128" t="s">
        <v>163</v>
      </c>
      <c r="E111" s="69"/>
      <c r="F111" s="138">
        <v>329</v>
      </c>
      <c r="G111" s="99" t="s">
        <v>144</v>
      </c>
      <c r="H111" s="69"/>
      <c r="I111" s="69"/>
      <c r="J111" s="128" t="s">
        <v>169</v>
      </c>
      <c r="K111" s="69"/>
      <c r="L111" s="138">
        <v>384</v>
      </c>
      <c r="M111" s="99" t="s">
        <v>144</v>
      </c>
      <c r="N111" s="69"/>
      <c r="O111" s="69"/>
      <c r="P111" s="128" t="s">
        <v>169</v>
      </c>
      <c r="Q111" s="69"/>
      <c r="R111" s="138">
        <v>357</v>
      </c>
      <c r="S111" s="99" t="s">
        <v>144</v>
      </c>
      <c r="T111" s="69"/>
      <c r="U111" s="69"/>
      <c r="V111" s="128" t="s">
        <v>169</v>
      </c>
      <c r="W111" s="69"/>
      <c r="X111" s="138">
        <v>338</v>
      </c>
      <c r="Y111" s="99" t="s">
        <v>144</v>
      </c>
      <c r="Z111" s="69"/>
      <c r="AA111" s="84"/>
    </row>
    <row r="112" spans="1:27" x14ac:dyDescent="0.25">
      <c r="A112" s="63">
        <v>120.5</v>
      </c>
      <c r="C112" s="83"/>
      <c r="D112" s="128" t="s">
        <v>154</v>
      </c>
      <c r="E112" s="69"/>
      <c r="F112" s="138">
        <v>49</v>
      </c>
      <c r="G112" s="103" t="s">
        <v>167</v>
      </c>
      <c r="H112" s="69"/>
      <c r="I112" s="69"/>
      <c r="J112" s="128" t="s">
        <v>155</v>
      </c>
      <c r="K112" s="69"/>
      <c r="L112" s="138">
        <v>58</v>
      </c>
      <c r="M112" s="103" t="s">
        <v>167</v>
      </c>
      <c r="N112" s="69"/>
      <c r="O112" s="69"/>
      <c r="P112" s="128" t="s">
        <v>155</v>
      </c>
      <c r="Q112" s="69"/>
      <c r="R112" s="138">
        <v>54</v>
      </c>
      <c r="S112" s="103" t="s">
        <v>167</v>
      </c>
      <c r="T112" s="69"/>
      <c r="U112" s="69"/>
      <c r="V112" s="128" t="s">
        <v>155</v>
      </c>
      <c r="W112" s="69"/>
      <c r="X112" s="138">
        <v>51</v>
      </c>
      <c r="Y112" s="103" t="s">
        <v>167</v>
      </c>
      <c r="Z112" s="69"/>
      <c r="AA112" s="84"/>
    </row>
    <row r="113" spans="1:28" x14ac:dyDescent="0.25">
      <c r="A113" s="3">
        <v>234.7</v>
      </c>
      <c r="C113" s="83"/>
      <c r="D113" s="108" t="s">
        <v>186</v>
      </c>
      <c r="E113" s="69"/>
      <c r="F113" s="69"/>
      <c r="G113" s="69"/>
      <c r="H113" s="69"/>
      <c r="I113" s="69"/>
      <c r="J113" s="108" t="s">
        <v>186</v>
      </c>
      <c r="K113" s="69"/>
      <c r="L113" s="69"/>
      <c r="M113" s="69"/>
      <c r="N113" s="69"/>
      <c r="O113" s="69"/>
      <c r="P113" s="108" t="s">
        <v>186</v>
      </c>
      <c r="Q113" s="69"/>
      <c r="R113" s="69"/>
      <c r="S113" s="69"/>
      <c r="T113" s="69"/>
      <c r="U113" s="69"/>
      <c r="V113" s="108" t="s">
        <v>186</v>
      </c>
      <c r="W113" s="69"/>
      <c r="X113" s="69"/>
      <c r="Y113" s="69"/>
      <c r="Z113" s="69"/>
      <c r="AA113" s="84"/>
    </row>
    <row r="114" spans="1:28" ht="15.75" x14ac:dyDescent="0.25">
      <c r="A114" s="3">
        <v>482.4</v>
      </c>
      <c r="C114" s="110">
        <v>6</v>
      </c>
      <c r="D114" s="70" t="s">
        <v>87</v>
      </c>
      <c r="E114" s="70" t="s">
        <v>88</v>
      </c>
      <c r="F114" s="70" t="s">
        <v>89</v>
      </c>
      <c r="G114" s="70" t="s">
        <v>90</v>
      </c>
      <c r="H114" s="111" t="s">
        <v>137</v>
      </c>
      <c r="I114" s="69"/>
      <c r="J114" s="70" t="s">
        <v>87</v>
      </c>
      <c r="K114" s="70" t="s">
        <v>88</v>
      </c>
      <c r="L114" s="70" t="s">
        <v>89</v>
      </c>
      <c r="M114" s="70" t="s">
        <v>90</v>
      </c>
      <c r="N114" s="111" t="s">
        <v>137</v>
      </c>
      <c r="O114" s="69"/>
      <c r="P114" s="70" t="s">
        <v>87</v>
      </c>
      <c r="Q114" s="70" t="s">
        <v>88</v>
      </c>
      <c r="R114" s="70" t="s">
        <v>89</v>
      </c>
      <c r="S114" s="70" t="s">
        <v>90</v>
      </c>
      <c r="T114" s="111" t="s">
        <v>137</v>
      </c>
      <c r="U114" s="69"/>
      <c r="V114" s="70" t="s">
        <v>87</v>
      </c>
      <c r="W114" s="70" t="s">
        <v>88</v>
      </c>
      <c r="X114" s="70" t="s">
        <v>89</v>
      </c>
      <c r="Y114" s="70" t="s">
        <v>90</v>
      </c>
      <c r="Z114" s="111" t="s">
        <v>137</v>
      </c>
      <c r="AA114" s="84"/>
    </row>
    <row r="115" spans="1:28" x14ac:dyDescent="0.25">
      <c r="A115" s="3">
        <v>755.6</v>
      </c>
      <c r="C115" s="83"/>
      <c r="D115" s="113">
        <v>1</v>
      </c>
      <c r="E115" s="73">
        <v>-29.1</v>
      </c>
      <c r="F115" s="73">
        <v>28.5</v>
      </c>
      <c r="G115" s="74">
        <f>-E115/F115</f>
        <v>1.0210526315789474</v>
      </c>
      <c r="H115" s="117">
        <v>0.77</v>
      </c>
      <c r="I115" s="69"/>
      <c r="J115" s="112">
        <v>1</v>
      </c>
      <c r="K115" s="78">
        <v>-31.4</v>
      </c>
      <c r="L115" s="78">
        <v>34.299999999999997</v>
      </c>
      <c r="M115" s="79">
        <f>-K115/L115</f>
        <v>0.91545189504373181</v>
      </c>
      <c r="N115" s="123">
        <v>0.76</v>
      </c>
      <c r="O115" s="134"/>
      <c r="P115" s="112">
        <v>1</v>
      </c>
      <c r="Q115" s="78">
        <v>-31.4</v>
      </c>
      <c r="R115" s="78">
        <v>32.799999999999997</v>
      </c>
      <c r="S115" s="79">
        <f>-Q115/R115</f>
        <v>0.95731707317073178</v>
      </c>
      <c r="T115" s="123">
        <v>0.76</v>
      </c>
      <c r="U115" s="69"/>
      <c r="V115" s="112">
        <v>1</v>
      </c>
      <c r="W115" s="78">
        <v>-31.4</v>
      </c>
      <c r="X115" s="78">
        <v>31.8</v>
      </c>
      <c r="Y115" s="79">
        <f>-W115/X115</f>
        <v>0.98742138364779863</v>
      </c>
      <c r="Z115" s="123">
        <v>0.76</v>
      </c>
      <c r="AA115" s="84"/>
    </row>
    <row r="116" spans="1:28" x14ac:dyDescent="0.25">
      <c r="A116" s="63">
        <v>1054.5</v>
      </c>
      <c r="C116" s="83"/>
      <c r="D116" s="112">
        <v>2</v>
      </c>
      <c r="E116" s="139">
        <v>-51</v>
      </c>
      <c r="F116" s="78">
        <v>42.5</v>
      </c>
      <c r="G116" s="79">
        <f t="shared" ref="G116:G123" si="23">-E116/F116</f>
        <v>1.2</v>
      </c>
      <c r="H116" s="98">
        <v>0.68</v>
      </c>
      <c r="I116" s="69"/>
      <c r="J116" s="113">
        <v>2</v>
      </c>
      <c r="K116" s="140">
        <v>-55</v>
      </c>
      <c r="L116" s="73">
        <v>55.2</v>
      </c>
      <c r="M116" s="74">
        <f t="shared" ref="M116:M123" si="24">-K116/L116</f>
        <v>0.99637681159420288</v>
      </c>
      <c r="N116" s="117">
        <v>0.66</v>
      </c>
      <c r="O116" s="69"/>
      <c r="P116" s="113">
        <v>2</v>
      </c>
      <c r="Q116" s="140">
        <v>-55</v>
      </c>
      <c r="R116" s="73">
        <v>52.2</v>
      </c>
      <c r="S116" s="74">
        <f t="shared" ref="S116:S123" si="25">-Q116/R116</f>
        <v>1.053639846743295</v>
      </c>
      <c r="T116" s="117">
        <v>0.66</v>
      </c>
      <c r="U116" s="69"/>
      <c r="V116" s="113">
        <v>2</v>
      </c>
      <c r="W116" s="140">
        <v>-55</v>
      </c>
      <c r="X116" s="73">
        <v>50</v>
      </c>
      <c r="Y116" s="74">
        <f t="shared" ref="Y116:Y123" si="26">-W116/X116</f>
        <v>1.1000000000000001</v>
      </c>
      <c r="Z116" s="117">
        <v>0.66</v>
      </c>
      <c r="AA116" s="84"/>
    </row>
    <row r="117" spans="1:28" x14ac:dyDescent="0.25">
      <c r="A117" s="3">
        <v>1379</v>
      </c>
      <c r="C117" s="83"/>
      <c r="D117" s="112">
        <v>3</v>
      </c>
      <c r="E117" s="78">
        <v>-72.7</v>
      </c>
      <c r="F117" s="78">
        <v>55.3</v>
      </c>
      <c r="G117" s="79">
        <f t="shared" si="23"/>
        <v>1.3146473779385173</v>
      </c>
      <c r="H117" s="123">
        <v>0.64</v>
      </c>
      <c r="I117" s="69"/>
      <c r="J117" s="112">
        <v>3</v>
      </c>
      <c r="K117" s="78">
        <v>-76.599999999999994</v>
      </c>
      <c r="L117" s="78">
        <v>71.2</v>
      </c>
      <c r="M117" s="79">
        <f t="shared" si="24"/>
        <v>1.0758426966292134</v>
      </c>
      <c r="N117" s="123">
        <v>0.62</v>
      </c>
      <c r="O117" s="69"/>
      <c r="P117" s="112">
        <v>3</v>
      </c>
      <c r="Q117" s="78">
        <v>-76.599999999999994</v>
      </c>
      <c r="R117" s="78">
        <v>67.2</v>
      </c>
      <c r="S117" s="79">
        <f t="shared" si="25"/>
        <v>1.1398809523809523</v>
      </c>
      <c r="T117" s="123">
        <v>0.62</v>
      </c>
      <c r="U117" s="69"/>
      <c r="V117" s="112">
        <v>3</v>
      </c>
      <c r="W117" s="78">
        <v>-76.599999999999994</v>
      </c>
      <c r="X117" s="78">
        <v>64.099999999999994</v>
      </c>
      <c r="Y117" s="79">
        <f t="shared" si="26"/>
        <v>1.1950078003120126</v>
      </c>
      <c r="Z117" s="123">
        <v>0.62</v>
      </c>
      <c r="AA117" s="84"/>
    </row>
    <row r="118" spans="1:28" x14ac:dyDescent="0.25">
      <c r="C118" s="83"/>
      <c r="D118" s="112">
        <v>4</v>
      </c>
      <c r="E118" s="78">
        <v>-94.6</v>
      </c>
      <c r="F118" s="78">
        <v>65.5</v>
      </c>
      <c r="G118" s="79">
        <f t="shared" si="23"/>
        <v>1.4442748091603053</v>
      </c>
      <c r="H118" s="98">
        <v>0.63</v>
      </c>
      <c r="I118" s="69"/>
      <c r="J118" s="112">
        <v>4</v>
      </c>
      <c r="K118" s="78">
        <v>-98.4</v>
      </c>
      <c r="L118" s="78">
        <v>82.6</v>
      </c>
      <c r="M118" s="79">
        <f t="shared" si="24"/>
        <v>1.1912832929782085</v>
      </c>
      <c r="N118" s="98">
        <v>0.59</v>
      </c>
      <c r="O118" s="69"/>
      <c r="P118" s="112">
        <v>4</v>
      </c>
      <c r="Q118" s="78">
        <v>-98.4</v>
      </c>
      <c r="R118" s="78">
        <v>77.7</v>
      </c>
      <c r="S118" s="79">
        <f t="shared" si="25"/>
        <v>1.2664092664092665</v>
      </c>
      <c r="T118" s="98">
        <v>0.59</v>
      </c>
      <c r="U118" s="69"/>
      <c r="V118" s="112">
        <v>4</v>
      </c>
      <c r="W118" s="78">
        <v>-98.4</v>
      </c>
      <c r="X118" s="78">
        <v>74.099999999999994</v>
      </c>
      <c r="Y118" s="79">
        <f t="shared" si="26"/>
        <v>1.3279352226720649</v>
      </c>
      <c r="Z118" s="98">
        <v>0.59</v>
      </c>
      <c r="AA118" s="84"/>
    </row>
    <row r="119" spans="1:28" x14ac:dyDescent="0.25">
      <c r="C119" s="83"/>
      <c r="D119" s="130">
        <v>5</v>
      </c>
      <c r="E119" s="105">
        <v>-116.8</v>
      </c>
      <c r="F119" s="105">
        <v>77.099999999999994</v>
      </c>
      <c r="G119" s="106">
        <f t="shared" si="23"/>
        <v>1.5149156939040209</v>
      </c>
      <c r="H119" s="131">
        <v>0.62</v>
      </c>
      <c r="I119" s="69"/>
      <c r="J119" s="130">
        <v>5</v>
      </c>
      <c r="K119" s="105">
        <v>-120.5</v>
      </c>
      <c r="L119" s="105">
        <v>94.8</v>
      </c>
      <c r="M119" s="106">
        <f t="shared" si="24"/>
        <v>1.2710970464135021</v>
      </c>
      <c r="N119" s="131">
        <v>0.57999999999999996</v>
      </c>
      <c r="O119" s="69"/>
      <c r="P119" s="130">
        <v>5</v>
      </c>
      <c r="Q119" s="105">
        <v>-120.5</v>
      </c>
      <c r="R119" s="105">
        <v>89.2</v>
      </c>
      <c r="S119" s="106">
        <f t="shared" si="25"/>
        <v>1.350896860986547</v>
      </c>
      <c r="T119" s="131">
        <v>0.57999999999999996</v>
      </c>
      <c r="U119" s="69"/>
      <c r="V119" s="130">
        <v>5</v>
      </c>
      <c r="W119" s="105">
        <v>-120.5</v>
      </c>
      <c r="X119" s="105">
        <v>85</v>
      </c>
      <c r="Y119" s="106">
        <f t="shared" si="26"/>
        <v>1.4176470588235295</v>
      </c>
      <c r="Z119" s="131">
        <v>0.57999999999999996</v>
      </c>
      <c r="AA119" s="84"/>
    </row>
    <row r="120" spans="1:28" x14ac:dyDescent="0.25">
      <c r="C120" s="83"/>
      <c r="D120" s="77">
        <v>10</v>
      </c>
      <c r="E120" s="71">
        <v>-231.5</v>
      </c>
      <c r="F120" s="71">
        <v>124.8</v>
      </c>
      <c r="G120" s="72">
        <f t="shared" si="23"/>
        <v>1.8549679487179487</v>
      </c>
      <c r="H120" s="98">
        <v>0.61</v>
      </c>
      <c r="I120" s="69"/>
      <c r="J120" s="77">
        <v>10</v>
      </c>
      <c r="K120" s="71">
        <v>-234.7</v>
      </c>
      <c r="L120" s="71">
        <v>146.6</v>
      </c>
      <c r="M120" s="72">
        <f t="shared" si="24"/>
        <v>1.6009549795361528</v>
      </c>
      <c r="N120" s="98">
        <v>0.56999999999999995</v>
      </c>
      <c r="O120" s="69"/>
      <c r="P120" s="77">
        <v>10</v>
      </c>
      <c r="Q120" s="71">
        <v>-234.7</v>
      </c>
      <c r="R120" s="71">
        <v>137.5</v>
      </c>
      <c r="S120" s="72">
        <f t="shared" si="25"/>
        <v>1.7069090909090909</v>
      </c>
      <c r="T120" s="98">
        <v>0.56999999999999995</v>
      </c>
      <c r="U120" s="69"/>
      <c r="V120" s="77">
        <v>10</v>
      </c>
      <c r="W120" s="71">
        <v>-234.7</v>
      </c>
      <c r="X120" s="71">
        <v>130.69999999999999</v>
      </c>
      <c r="Y120" s="72">
        <f t="shared" si="26"/>
        <v>1.7957153787299158</v>
      </c>
      <c r="Z120" s="98">
        <v>0.56999999999999995</v>
      </c>
      <c r="AA120" s="84"/>
    </row>
    <row r="121" spans="1:28" x14ac:dyDescent="0.25">
      <c r="C121" s="83"/>
      <c r="D121" s="77">
        <v>20</v>
      </c>
      <c r="E121" s="71">
        <v>-480.1</v>
      </c>
      <c r="F121" s="71">
        <v>207.8</v>
      </c>
      <c r="G121" s="72">
        <f t="shared" si="23"/>
        <v>2.3103946102021173</v>
      </c>
      <c r="H121" s="98">
        <v>0.64</v>
      </c>
      <c r="I121" s="69"/>
      <c r="J121" s="77">
        <v>20</v>
      </c>
      <c r="K121" s="71">
        <v>-482.4</v>
      </c>
      <c r="L121" s="71">
        <v>242.3</v>
      </c>
      <c r="M121" s="72">
        <f t="shared" si="24"/>
        <v>1.9909203466776721</v>
      </c>
      <c r="N121" s="98">
        <v>0.57999999999999996</v>
      </c>
      <c r="O121" s="69"/>
      <c r="P121" s="77">
        <v>20</v>
      </c>
      <c r="Q121" s="71">
        <v>-482.4</v>
      </c>
      <c r="R121" s="71">
        <v>226.8</v>
      </c>
      <c r="S121" s="72">
        <f t="shared" si="25"/>
        <v>2.126984126984127</v>
      </c>
      <c r="T121" s="98">
        <v>0.57999999999999996</v>
      </c>
      <c r="U121" s="69"/>
      <c r="V121" s="77">
        <v>20</v>
      </c>
      <c r="W121" s="71">
        <v>-482.4</v>
      </c>
      <c r="X121" s="71">
        <v>215.1</v>
      </c>
      <c r="Y121" s="72">
        <f t="shared" si="26"/>
        <v>2.2426778242677825</v>
      </c>
      <c r="Z121" s="98">
        <v>0.57999999999999996</v>
      </c>
      <c r="AA121" s="84"/>
    </row>
    <row r="122" spans="1:28" x14ac:dyDescent="0.25">
      <c r="C122" s="83"/>
      <c r="D122" s="77">
        <v>30</v>
      </c>
      <c r="E122" s="71">
        <v>-754.2</v>
      </c>
      <c r="F122" s="71">
        <v>277.60000000000002</v>
      </c>
      <c r="G122" s="72">
        <f t="shared" si="23"/>
        <v>2.71685878962536</v>
      </c>
      <c r="H122" s="98">
        <v>0.67</v>
      </c>
      <c r="I122" s="69"/>
      <c r="J122" s="77">
        <v>30</v>
      </c>
      <c r="K122" s="71">
        <v>-755.6</v>
      </c>
      <c r="L122" s="71">
        <v>321.89999999999998</v>
      </c>
      <c r="M122" s="72">
        <f t="shared" si="24"/>
        <v>2.3473128300714512</v>
      </c>
      <c r="N122" s="98">
        <v>0.61</v>
      </c>
      <c r="O122" s="69"/>
      <c r="P122" s="77">
        <v>30</v>
      </c>
      <c r="Q122" s="71">
        <v>-755.6</v>
      </c>
      <c r="R122" s="71">
        <v>301</v>
      </c>
      <c r="S122" s="72">
        <f t="shared" si="25"/>
        <v>2.5102990033222592</v>
      </c>
      <c r="T122" s="98">
        <v>0.61</v>
      </c>
      <c r="U122" s="69"/>
      <c r="V122" s="77">
        <v>30</v>
      </c>
      <c r="W122" s="71">
        <v>-755.6</v>
      </c>
      <c r="X122" s="71">
        <v>285.39999999999998</v>
      </c>
      <c r="Y122" s="72">
        <f t="shared" si="26"/>
        <v>2.6475122634898391</v>
      </c>
      <c r="Z122" s="98">
        <v>0.61</v>
      </c>
      <c r="AA122" s="84"/>
    </row>
    <row r="123" spans="1:28" x14ac:dyDescent="0.25">
      <c r="C123" s="83"/>
      <c r="D123" s="130">
        <v>40</v>
      </c>
      <c r="E123" s="146">
        <v>-1054.0999999999999</v>
      </c>
      <c r="F123" s="105">
        <v>340.2</v>
      </c>
      <c r="G123" s="106">
        <f t="shared" si="23"/>
        <v>3.098471487360376</v>
      </c>
      <c r="H123" s="131">
        <v>0.7</v>
      </c>
      <c r="I123" s="69"/>
      <c r="J123" s="130">
        <v>40</v>
      </c>
      <c r="K123" s="146">
        <v>-1054.5</v>
      </c>
      <c r="L123" s="105">
        <v>393.8</v>
      </c>
      <c r="M123" s="106">
        <f t="shared" si="24"/>
        <v>2.6777552056881664</v>
      </c>
      <c r="N123" s="131">
        <v>0.64</v>
      </c>
      <c r="O123" s="69"/>
      <c r="P123" s="130">
        <v>40</v>
      </c>
      <c r="Q123" s="146">
        <v>-1054.5</v>
      </c>
      <c r="R123" s="105">
        <v>368.1</v>
      </c>
      <c r="S123" s="106">
        <f t="shared" si="25"/>
        <v>2.8647106764466175</v>
      </c>
      <c r="T123" s="131">
        <v>0.64</v>
      </c>
      <c r="U123" s="69"/>
      <c r="V123" s="130">
        <v>40</v>
      </c>
      <c r="W123" s="146">
        <v>-1054.5</v>
      </c>
      <c r="X123" s="105">
        <v>348.8</v>
      </c>
      <c r="Y123" s="106">
        <f t="shared" si="26"/>
        <v>3.0232224770642202</v>
      </c>
      <c r="Z123" s="131">
        <v>0.64</v>
      </c>
      <c r="AA123" s="84"/>
    </row>
    <row r="124" spans="1:28" x14ac:dyDescent="0.25">
      <c r="C124" s="83"/>
      <c r="D124" s="77">
        <v>50</v>
      </c>
      <c r="E124" s="71">
        <v>-1379.4</v>
      </c>
      <c r="F124" s="137">
        <v>403.4</v>
      </c>
      <c r="G124" s="72">
        <f>-E124/F124</f>
        <v>3.4194348041646014</v>
      </c>
      <c r="H124" s="98">
        <v>0.73</v>
      </c>
      <c r="I124" s="69"/>
      <c r="J124" s="77">
        <v>50</v>
      </c>
      <c r="K124" s="71">
        <v>-1379</v>
      </c>
      <c r="L124" s="137">
        <v>467</v>
      </c>
      <c r="M124" s="72">
        <f>-K124/L124</f>
        <v>2.9528907922912206</v>
      </c>
      <c r="N124" s="98">
        <v>0.67</v>
      </c>
      <c r="O124" s="69"/>
      <c r="P124" s="77">
        <v>50</v>
      </c>
      <c r="Q124" s="71">
        <v>-1379</v>
      </c>
      <c r="R124" s="137">
        <v>436.6</v>
      </c>
      <c r="S124" s="72">
        <f>-Q124/R124</f>
        <v>3.1584974805313788</v>
      </c>
      <c r="T124" s="98">
        <v>0.67</v>
      </c>
      <c r="U124" s="69"/>
      <c r="V124" s="77">
        <v>50</v>
      </c>
      <c r="W124" s="71">
        <v>-1379</v>
      </c>
      <c r="X124" s="137">
        <v>413.8</v>
      </c>
      <c r="Y124" s="72">
        <f>-W124/X124</f>
        <v>3.3325277912034799</v>
      </c>
      <c r="Z124" s="98">
        <v>0.67</v>
      </c>
      <c r="AA124" s="84"/>
      <c r="AB124" s="69"/>
    </row>
    <row r="125" spans="1:28" x14ac:dyDescent="0.25">
      <c r="C125" s="83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84"/>
      <c r="AB125" s="69"/>
    </row>
    <row r="126" spans="1:28" x14ac:dyDescent="0.25">
      <c r="C126" s="118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2"/>
      <c r="AB126" s="69"/>
    </row>
    <row r="130" spans="18:18" x14ac:dyDescent="0.25">
      <c r="R130" s="20" t="s">
        <v>173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FF629-3B78-4E16-901E-E049B7FA0DC1}">
  <sheetPr transitionEvaluation="1" transitionEntry="1"/>
  <dimension ref="A2:AE190"/>
  <sheetViews>
    <sheetView showGridLines="0" zoomScale="90" zoomScaleNormal="90" workbookViewId="0"/>
  </sheetViews>
  <sheetFormatPr defaultRowHeight="15" x14ac:dyDescent="0.25"/>
  <cols>
    <col min="11" max="11" width="9.5703125" customWidth="1"/>
  </cols>
  <sheetData>
    <row r="2" spans="1:31" x14ac:dyDescent="0.25">
      <c r="A2" t="s">
        <v>99</v>
      </c>
    </row>
    <row r="3" spans="1:31" x14ac:dyDescent="0.25">
      <c r="A3" s="6" t="s">
        <v>100</v>
      </c>
    </row>
    <row r="4" spans="1:31" x14ac:dyDescent="0.25">
      <c r="A4" t="s">
        <v>101</v>
      </c>
    </row>
    <row r="6" spans="1:31" x14ac:dyDescent="0.25">
      <c r="A6" s="62" t="s">
        <v>123</v>
      </c>
    </row>
    <row r="7" spans="1:31" x14ac:dyDescent="0.25">
      <c r="A7" s="62" t="s">
        <v>124</v>
      </c>
    </row>
    <row r="8" spans="1:31" x14ac:dyDescent="0.25">
      <c r="A8" s="6"/>
    </row>
    <row r="10" spans="1:31" ht="15.75" x14ac:dyDescent="0.25">
      <c r="D10" s="16">
        <v>3</v>
      </c>
      <c r="E10">
        <v>3174</v>
      </c>
      <c r="I10" s="16" t="s">
        <v>54</v>
      </c>
      <c r="J10">
        <v>2886</v>
      </c>
      <c r="V10">
        <f>5/24</f>
        <v>0.20833333333333334</v>
      </c>
      <c r="Z10">
        <v>3174</v>
      </c>
    </row>
    <row r="11" spans="1:31" x14ac:dyDescent="0.25">
      <c r="E11" s="17" t="s">
        <v>55</v>
      </c>
      <c r="F11" s="17" t="s">
        <v>56</v>
      </c>
      <c r="J11" s="17" t="s">
        <v>55</v>
      </c>
      <c r="K11" s="17" t="s">
        <v>56</v>
      </c>
      <c r="T11">
        <v>0.99</v>
      </c>
      <c r="U11">
        <v>5</v>
      </c>
      <c r="V11">
        <v>5</v>
      </c>
    </row>
    <row r="12" spans="1:31" x14ac:dyDescent="0.25">
      <c r="E12" s="17">
        <v>1</v>
      </c>
      <c r="F12" s="17">
        <v>0.97</v>
      </c>
      <c r="J12" s="17">
        <v>5</v>
      </c>
      <c r="K12" s="17">
        <v>0.99</v>
      </c>
      <c r="T12">
        <v>1</v>
      </c>
      <c r="V12">
        <f>V11+V$10</f>
        <v>5.208333333333333</v>
      </c>
      <c r="Z12">
        <f>1/13</f>
        <v>7.6923076923076927E-2</v>
      </c>
      <c r="AB12">
        <f>(2-1)/13</f>
        <v>7.6923076923076927E-2</v>
      </c>
      <c r="AC12">
        <f>0.13/13</f>
        <v>0.01</v>
      </c>
      <c r="AE12">
        <v>7.6920000000000002E-2</v>
      </c>
    </row>
    <row r="13" spans="1:31" x14ac:dyDescent="0.25">
      <c r="E13" s="17">
        <v>2</v>
      </c>
      <c r="F13" s="17">
        <v>1.1000000000000001</v>
      </c>
      <c r="J13" s="17">
        <v>10</v>
      </c>
      <c r="K13" s="17">
        <v>1.23</v>
      </c>
      <c r="T13">
        <v>1.01</v>
      </c>
      <c r="V13">
        <f t="shared" ref="V13:V35" si="0">V12+V$10</f>
        <v>5.4166666666666661</v>
      </c>
      <c r="Y13">
        <v>0.97</v>
      </c>
      <c r="Z13">
        <v>1</v>
      </c>
      <c r="AB13">
        <v>1</v>
      </c>
      <c r="AC13">
        <v>0.97</v>
      </c>
      <c r="AE13">
        <v>1</v>
      </c>
    </row>
    <row r="14" spans="1:31" x14ac:dyDescent="0.25">
      <c r="T14">
        <v>1.02</v>
      </c>
      <c r="V14">
        <f t="shared" si="0"/>
        <v>5.6249999999999991</v>
      </c>
      <c r="Y14">
        <v>0.98</v>
      </c>
      <c r="AB14">
        <f t="shared" ref="AB14:AC26" si="1">AB13+AB$12</f>
        <v>1.0769230769230769</v>
      </c>
      <c r="AC14">
        <f t="shared" si="1"/>
        <v>0.98</v>
      </c>
      <c r="AE14">
        <f t="shared" ref="AE14:AE26" si="2">AE13+AE$12</f>
        <v>1.0769200000000001</v>
      </c>
    </row>
    <row r="15" spans="1:31" x14ac:dyDescent="0.25">
      <c r="B15">
        <f>1.1-0.97</f>
        <v>0.13000000000000012</v>
      </c>
      <c r="C15" t="s">
        <v>57</v>
      </c>
      <c r="F15">
        <f>(F13-F12)</f>
        <v>0.13000000000000012</v>
      </c>
      <c r="K15">
        <f>(K13-K12)</f>
        <v>0.24</v>
      </c>
      <c r="M15">
        <f>(K13-K12)</f>
        <v>0.24</v>
      </c>
      <c r="N15" t="s">
        <v>58</v>
      </c>
      <c r="T15">
        <v>1.03</v>
      </c>
      <c r="V15">
        <f t="shared" si="0"/>
        <v>5.8333333333333321</v>
      </c>
      <c r="Y15">
        <v>0.99</v>
      </c>
      <c r="AB15">
        <f t="shared" si="1"/>
        <v>1.1538461538461537</v>
      </c>
      <c r="AC15">
        <f t="shared" si="1"/>
        <v>0.99</v>
      </c>
      <c r="AE15">
        <f t="shared" si="2"/>
        <v>1.1538400000000002</v>
      </c>
    </row>
    <row r="16" spans="1:31" x14ac:dyDescent="0.25">
      <c r="B16">
        <f>0.13*100</f>
        <v>13</v>
      </c>
      <c r="C16" t="s">
        <v>59</v>
      </c>
      <c r="F16">
        <f>(F13-F12)*100</f>
        <v>13.000000000000011</v>
      </c>
      <c r="K16">
        <f>(K13-K12)*100</f>
        <v>24</v>
      </c>
      <c r="M16">
        <f>(K13-K12)*100</f>
        <v>24</v>
      </c>
      <c r="N16" t="s">
        <v>60</v>
      </c>
      <c r="T16">
        <v>1.04</v>
      </c>
      <c r="V16">
        <f t="shared" si="0"/>
        <v>6.0416666666666652</v>
      </c>
      <c r="Y16">
        <v>1</v>
      </c>
      <c r="AB16" s="18">
        <f t="shared" si="1"/>
        <v>1.2307692307692306</v>
      </c>
      <c r="AC16">
        <f t="shared" si="1"/>
        <v>1</v>
      </c>
      <c r="AE16">
        <f t="shared" si="2"/>
        <v>1.2307600000000003</v>
      </c>
    </row>
    <row r="17" spans="2:31" x14ac:dyDescent="0.25">
      <c r="B17">
        <f>(1/13)</f>
        <v>7.6923076923076927E-2</v>
      </c>
      <c r="C17" t="s">
        <v>61</v>
      </c>
      <c r="F17">
        <f>1/((F13-F12)*100)</f>
        <v>7.6923076923076858E-2</v>
      </c>
      <c r="K17">
        <f>5/((K13-K12)*100)</f>
        <v>0.20833333333333334</v>
      </c>
      <c r="M17">
        <f>5/24</f>
        <v>0.20833333333333334</v>
      </c>
      <c r="N17" t="s">
        <v>62</v>
      </c>
      <c r="T17">
        <v>1.05</v>
      </c>
      <c r="V17">
        <f t="shared" si="0"/>
        <v>6.2499999999999982</v>
      </c>
      <c r="Y17">
        <v>1.01</v>
      </c>
      <c r="AB17">
        <f t="shared" si="1"/>
        <v>1.3076923076923075</v>
      </c>
      <c r="AC17">
        <f t="shared" si="1"/>
        <v>1.01</v>
      </c>
      <c r="AE17">
        <f t="shared" si="2"/>
        <v>1.3076800000000004</v>
      </c>
    </row>
    <row r="18" spans="2:31" x14ac:dyDescent="0.25">
      <c r="B18">
        <f>(1-0.97)</f>
        <v>3.0000000000000027E-2</v>
      </c>
      <c r="C18" t="s">
        <v>63</v>
      </c>
      <c r="F18">
        <f>(1-F12)</f>
        <v>3.0000000000000027E-2</v>
      </c>
      <c r="K18">
        <f>(1-K12)</f>
        <v>1.0000000000000009E-2</v>
      </c>
      <c r="M18">
        <f>1-0.99</f>
        <v>1.0000000000000009E-2</v>
      </c>
      <c r="N18" t="s">
        <v>64</v>
      </c>
      <c r="T18">
        <v>1.06</v>
      </c>
      <c r="V18">
        <f t="shared" si="0"/>
        <v>6.4583333333333313</v>
      </c>
      <c r="Y18">
        <v>1.02</v>
      </c>
      <c r="AB18">
        <f t="shared" si="1"/>
        <v>1.3846153846153844</v>
      </c>
      <c r="AC18">
        <f t="shared" si="1"/>
        <v>1.02</v>
      </c>
      <c r="AE18">
        <f t="shared" si="2"/>
        <v>1.3846000000000005</v>
      </c>
    </row>
    <row r="19" spans="2:31" x14ac:dyDescent="0.25">
      <c r="B19">
        <f>(0.03/0.13)</f>
        <v>0.23076923076923075</v>
      </c>
      <c r="C19" t="s">
        <v>65</v>
      </c>
      <c r="F19">
        <f>(F18/F15)</f>
        <v>0.23076923076923078</v>
      </c>
      <c r="K19">
        <f>(K18/K15)*5</f>
        <v>0.20833333333333354</v>
      </c>
      <c r="M19">
        <f>(0.01/0.24)</f>
        <v>4.1666666666666671E-2</v>
      </c>
      <c r="N19" t="s">
        <v>66</v>
      </c>
      <c r="T19">
        <v>1.07</v>
      </c>
      <c r="V19">
        <f t="shared" si="0"/>
        <v>6.6666666666666643</v>
      </c>
      <c r="Y19">
        <v>1.01</v>
      </c>
      <c r="AB19">
        <f t="shared" si="1"/>
        <v>1.4615384615384612</v>
      </c>
      <c r="AC19">
        <f t="shared" si="1"/>
        <v>1.03</v>
      </c>
      <c r="AE19">
        <f t="shared" si="2"/>
        <v>1.4615200000000006</v>
      </c>
    </row>
    <row r="20" spans="2:31" x14ac:dyDescent="0.25">
      <c r="B20">
        <f>(0.23077+1)</f>
        <v>1.2307699999999999</v>
      </c>
      <c r="C20" t="s">
        <v>67</v>
      </c>
      <c r="F20">
        <f>(1-F12)/(F13-F12)+(E13-1)</f>
        <v>1.2307692307692308</v>
      </c>
      <c r="K20" s="19">
        <f>(K18/K15)*(J13-J12)+5</f>
        <v>5.2083333333333339</v>
      </c>
      <c r="M20">
        <f>0.04167*5</f>
        <v>0.20834999999999998</v>
      </c>
      <c r="N20" t="s">
        <v>68</v>
      </c>
      <c r="T20">
        <v>1.08</v>
      </c>
      <c r="V20">
        <f t="shared" si="0"/>
        <v>6.8749999999999973</v>
      </c>
      <c r="Y20">
        <v>1.04</v>
      </c>
      <c r="AB20">
        <f t="shared" si="1"/>
        <v>1.5384615384615381</v>
      </c>
      <c r="AC20">
        <f t="shared" si="1"/>
        <v>1.04</v>
      </c>
      <c r="AE20">
        <f t="shared" si="2"/>
        <v>1.5384400000000007</v>
      </c>
    </row>
    <row r="21" spans="2:31" x14ac:dyDescent="0.25">
      <c r="K21">
        <f>((1-K12)/(K13-K12)*5)+5</f>
        <v>5.2083333333333339</v>
      </c>
      <c r="M21">
        <f>0.20835+5</f>
        <v>5.2083500000000003</v>
      </c>
      <c r="N21" s="6" t="s">
        <v>69</v>
      </c>
      <c r="O21" s="6"/>
      <c r="P21" s="6"/>
      <c r="Q21" s="6"/>
      <c r="R21" s="6"/>
      <c r="T21">
        <v>1.0900000000000001</v>
      </c>
      <c r="V21">
        <f t="shared" si="0"/>
        <v>7.0833333333333304</v>
      </c>
      <c r="Y21">
        <v>1.05</v>
      </c>
      <c r="AB21">
        <f t="shared" si="1"/>
        <v>1.615384615384615</v>
      </c>
      <c r="AC21">
        <f t="shared" si="1"/>
        <v>1.05</v>
      </c>
      <c r="AE21">
        <f t="shared" si="2"/>
        <v>1.6153600000000008</v>
      </c>
    </row>
    <row r="22" spans="2:31" x14ac:dyDescent="0.25">
      <c r="T22">
        <v>1.1000000000000001</v>
      </c>
      <c r="V22">
        <f t="shared" si="0"/>
        <v>7.2916666666666634</v>
      </c>
      <c r="Y22">
        <v>1.06</v>
      </c>
      <c r="AB22">
        <f t="shared" si="1"/>
        <v>1.6923076923076918</v>
      </c>
      <c r="AC22">
        <f t="shared" si="1"/>
        <v>1.06</v>
      </c>
      <c r="AE22">
        <f t="shared" si="2"/>
        <v>1.6922800000000009</v>
      </c>
    </row>
    <row r="23" spans="2:31" x14ac:dyDescent="0.25">
      <c r="T23">
        <v>1.1100000000000001</v>
      </c>
      <c r="V23">
        <f t="shared" si="0"/>
        <v>7.4999999999999964</v>
      </c>
      <c r="Y23">
        <v>1.07</v>
      </c>
      <c r="AB23">
        <f t="shared" si="1"/>
        <v>1.7692307692307687</v>
      </c>
      <c r="AC23">
        <f t="shared" si="1"/>
        <v>1.07</v>
      </c>
      <c r="AE23">
        <f t="shared" si="2"/>
        <v>1.769200000000001</v>
      </c>
    </row>
    <row r="24" spans="2:31" x14ac:dyDescent="0.25">
      <c r="C24" s="6" t="s">
        <v>70</v>
      </c>
      <c r="J24" s="6" t="s">
        <v>71</v>
      </c>
      <c r="T24">
        <v>1.1200000000000001</v>
      </c>
      <c r="V24">
        <f t="shared" si="0"/>
        <v>7.7083333333333295</v>
      </c>
      <c r="Y24">
        <v>1.08</v>
      </c>
      <c r="AB24">
        <f t="shared" si="1"/>
        <v>1.8461538461538456</v>
      </c>
      <c r="AC24">
        <f t="shared" si="1"/>
        <v>1.08</v>
      </c>
      <c r="AE24">
        <f t="shared" si="2"/>
        <v>1.8461200000000011</v>
      </c>
    </row>
    <row r="25" spans="2:31" x14ac:dyDescent="0.25">
      <c r="D25" t="s">
        <v>72</v>
      </c>
      <c r="F25" t="s">
        <v>73</v>
      </c>
      <c r="G25" t="s">
        <v>72</v>
      </c>
      <c r="H25" t="s">
        <v>74</v>
      </c>
      <c r="K25">
        <v>0.99</v>
      </c>
      <c r="M25">
        <v>1.23</v>
      </c>
      <c r="N25">
        <v>0.99</v>
      </c>
      <c r="T25">
        <v>1.1299999999999999</v>
      </c>
      <c r="V25">
        <f t="shared" si="0"/>
        <v>7.9166666666666625</v>
      </c>
      <c r="Y25">
        <v>1.0900000000000001</v>
      </c>
      <c r="AB25">
        <f t="shared" si="1"/>
        <v>1.9230769230769225</v>
      </c>
      <c r="AC25">
        <f t="shared" si="1"/>
        <v>1.0900000000000001</v>
      </c>
      <c r="AE25">
        <f t="shared" si="2"/>
        <v>1.9230400000000012</v>
      </c>
    </row>
    <row r="26" spans="2:31" x14ac:dyDescent="0.25">
      <c r="D26">
        <v>0.97</v>
      </c>
      <c r="T26">
        <v>1.1400000000000001</v>
      </c>
      <c r="V26">
        <f t="shared" si="0"/>
        <v>8.1249999999999964</v>
      </c>
      <c r="Y26">
        <v>1.1000000000000001</v>
      </c>
      <c r="Z26">
        <v>2</v>
      </c>
      <c r="AB26">
        <f t="shared" si="1"/>
        <v>1.9999999999999993</v>
      </c>
      <c r="AC26">
        <f t="shared" si="1"/>
        <v>1.1000000000000001</v>
      </c>
      <c r="AE26">
        <f t="shared" si="2"/>
        <v>1.9999600000000013</v>
      </c>
    </row>
    <row r="27" spans="2:31" x14ac:dyDescent="0.25">
      <c r="T27">
        <v>1.1499999999999999</v>
      </c>
      <c r="V27">
        <f t="shared" si="0"/>
        <v>8.3333333333333304</v>
      </c>
    </row>
    <row r="28" spans="2:31" x14ac:dyDescent="0.25">
      <c r="T28">
        <v>1.1599999999999999</v>
      </c>
      <c r="V28">
        <f t="shared" si="0"/>
        <v>8.5416666666666643</v>
      </c>
      <c r="Y28">
        <f>(Y26-Y13)*100</f>
        <v>13.000000000000011</v>
      </c>
    </row>
    <row r="29" spans="2:31" ht="15.75" x14ac:dyDescent="0.25">
      <c r="D29" s="16">
        <v>2</v>
      </c>
      <c r="E29">
        <v>3174</v>
      </c>
      <c r="J29">
        <v>3229</v>
      </c>
      <c r="T29">
        <v>1.17</v>
      </c>
      <c r="V29">
        <f t="shared" si="0"/>
        <v>8.7499999999999982</v>
      </c>
      <c r="Y29">
        <f>0.13*100</f>
        <v>13</v>
      </c>
    </row>
    <row r="30" spans="2:31" x14ac:dyDescent="0.25">
      <c r="E30" s="17" t="s">
        <v>55</v>
      </c>
      <c r="F30" s="17" t="s">
        <v>56</v>
      </c>
      <c r="J30" s="17" t="s">
        <v>55</v>
      </c>
      <c r="K30" s="17" t="s">
        <v>56</v>
      </c>
      <c r="O30">
        <f>5/24</f>
        <v>0.20833333333333334</v>
      </c>
      <c r="T30">
        <v>1.18</v>
      </c>
      <c r="V30">
        <f t="shared" si="0"/>
        <v>8.9583333333333321</v>
      </c>
      <c r="Y30">
        <f>(Z26-Z13)/13</f>
        <v>7.6923076923076927E-2</v>
      </c>
    </row>
    <row r="31" spans="2:31" x14ac:dyDescent="0.25">
      <c r="E31" s="17">
        <v>2</v>
      </c>
      <c r="F31" s="17">
        <v>0.96</v>
      </c>
      <c r="J31" s="17">
        <v>5</v>
      </c>
      <c r="K31" s="17">
        <v>0.93</v>
      </c>
      <c r="M31">
        <v>0.93</v>
      </c>
      <c r="N31">
        <v>5</v>
      </c>
      <c r="O31">
        <v>5</v>
      </c>
      <c r="T31">
        <v>1.19</v>
      </c>
      <c r="V31">
        <f t="shared" si="0"/>
        <v>9.1666666666666661</v>
      </c>
      <c r="Y31">
        <f>1-0.97</f>
        <v>3.0000000000000027E-2</v>
      </c>
      <c r="AB31">
        <f>0.0769*3</f>
        <v>0.23069999999999999</v>
      </c>
    </row>
    <row r="32" spans="2:31" x14ac:dyDescent="0.25">
      <c r="E32" s="17">
        <v>3</v>
      </c>
      <c r="F32" s="17">
        <v>1</v>
      </c>
      <c r="J32" s="17">
        <v>10</v>
      </c>
      <c r="K32" s="17">
        <v>1.17</v>
      </c>
      <c r="M32">
        <v>0.94</v>
      </c>
      <c r="O32">
        <f>O31+O$30</f>
        <v>5.208333333333333</v>
      </c>
      <c r="T32">
        <v>1.2</v>
      </c>
      <c r="V32">
        <f t="shared" si="0"/>
        <v>9.375</v>
      </c>
    </row>
    <row r="33" spans="4:25" x14ac:dyDescent="0.25">
      <c r="M33">
        <v>0.95</v>
      </c>
      <c r="O33">
        <f t="shared" ref="O33:O55" si="3">O32+O$30</f>
        <v>5.4166666666666661</v>
      </c>
      <c r="T33">
        <v>1.21</v>
      </c>
      <c r="V33">
        <f t="shared" si="0"/>
        <v>9.5833333333333339</v>
      </c>
    </row>
    <row r="34" spans="4:25" x14ac:dyDescent="0.25">
      <c r="F34">
        <f>(F32-F31)</f>
        <v>4.0000000000000036E-2</v>
      </c>
      <c r="K34">
        <f>(K32-K31)</f>
        <v>0.23999999999999988</v>
      </c>
      <c r="M34">
        <v>0.96</v>
      </c>
      <c r="O34">
        <f t="shared" si="3"/>
        <v>5.6249999999999991</v>
      </c>
      <c r="T34">
        <v>1.22</v>
      </c>
      <c r="V34">
        <f t="shared" si="0"/>
        <v>9.7916666666666679</v>
      </c>
      <c r="Y34">
        <f>1-0.97</f>
        <v>3.0000000000000027E-2</v>
      </c>
    </row>
    <row r="35" spans="4:25" x14ac:dyDescent="0.25">
      <c r="F35">
        <f>(F32-F31)*100</f>
        <v>4.0000000000000036</v>
      </c>
      <c r="K35">
        <f>(K32-K31)*100</f>
        <v>23.999999999999989</v>
      </c>
      <c r="M35">
        <v>0.97</v>
      </c>
      <c r="O35">
        <f t="shared" si="3"/>
        <v>5.8333333333333321</v>
      </c>
      <c r="T35">
        <v>1.23</v>
      </c>
      <c r="U35">
        <v>10</v>
      </c>
      <c r="V35">
        <f t="shared" si="0"/>
        <v>10.000000000000002</v>
      </c>
    </row>
    <row r="36" spans="4:25" x14ac:dyDescent="0.25">
      <c r="F36">
        <f>1/((F32-F31)*100)</f>
        <v>0.24999999999999978</v>
      </c>
      <c r="K36">
        <f>5/((K32-K31)*100)</f>
        <v>0.20833333333333343</v>
      </c>
      <c r="M36">
        <v>0.98</v>
      </c>
      <c r="O36">
        <f t="shared" si="3"/>
        <v>6.0416666666666652</v>
      </c>
      <c r="Y36">
        <f>0.0769*3</f>
        <v>0.23069999999999999</v>
      </c>
    </row>
    <row r="37" spans="4:25" x14ac:dyDescent="0.25">
      <c r="F37">
        <f>(1-F31)</f>
        <v>4.0000000000000036E-2</v>
      </c>
      <c r="K37">
        <f>(1-K31)</f>
        <v>6.9999999999999951E-2</v>
      </c>
      <c r="M37">
        <v>0.99</v>
      </c>
      <c r="O37">
        <f t="shared" si="3"/>
        <v>6.2499999999999982</v>
      </c>
      <c r="T37">
        <f>1.23-0.99</f>
        <v>0.24</v>
      </c>
    </row>
    <row r="38" spans="4:25" x14ac:dyDescent="0.25">
      <c r="F38">
        <f>(F37/F34)</f>
        <v>1</v>
      </c>
      <c r="K38">
        <f>(K37/K34)*5</f>
        <v>1.458333333333333</v>
      </c>
      <c r="M38">
        <v>1</v>
      </c>
      <c r="O38">
        <f t="shared" si="3"/>
        <v>6.4583333333333313</v>
      </c>
    </row>
    <row r="39" spans="4:25" x14ac:dyDescent="0.25">
      <c r="F39">
        <f>(1-F31)/(F32-F31)+(E32-1)</f>
        <v>3</v>
      </c>
      <c r="K39" s="19">
        <f>(K37/K34)*(J32-J31)+5</f>
        <v>6.458333333333333</v>
      </c>
      <c r="M39">
        <v>1.01</v>
      </c>
      <c r="O39">
        <f t="shared" si="3"/>
        <v>6.6666666666666643</v>
      </c>
    </row>
    <row r="40" spans="4:25" x14ac:dyDescent="0.25">
      <c r="K40">
        <f>((1-K31)/(K32-K31)*5)+5</f>
        <v>6.458333333333333</v>
      </c>
      <c r="M40">
        <v>1.02</v>
      </c>
      <c r="O40">
        <f t="shared" si="3"/>
        <v>6.8749999999999973</v>
      </c>
    </row>
    <row r="41" spans="4:25" x14ac:dyDescent="0.25">
      <c r="M41">
        <v>1.03</v>
      </c>
      <c r="O41">
        <f t="shared" si="3"/>
        <v>7.0833333333333304</v>
      </c>
    </row>
    <row r="42" spans="4:25" x14ac:dyDescent="0.25">
      <c r="M42">
        <v>1.04</v>
      </c>
      <c r="O42">
        <f t="shared" si="3"/>
        <v>7.2916666666666634</v>
      </c>
    </row>
    <row r="43" spans="4:25" x14ac:dyDescent="0.25">
      <c r="D43">
        <f>123/145</f>
        <v>0.84827586206896555</v>
      </c>
      <c r="M43">
        <v>1.05</v>
      </c>
      <c r="O43">
        <f t="shared" si="3"/>
        <v>7.4999999999999964</v>
      </c>
    </row>
    <row r="44" spans="4:25" x14ac:dyDescent="0.25">
      <c r="M44">
        <v>1.06</v>
      </c>
      <c r="O44">
        <f t="shared" si="3"/>
        <v>7.7083333333333295</v>
      </c>
    </row>
    <row r="45" spans="4:25" x14ac:dyDescent="0.25">
      <c r="M45">
        <v>1.07</v>
      </c>
      <c r="O45">
        <f t="shared" si="3"/>
        <v>7.9166666666666625</v>
      </c>
    </row>
    <row r="46" spans="4:25" x14ac:dyDescent="0.25">
      <c r="M46">
        <v>1.08</v>
      </c>
      <c r="O46">
        <f t="shared" si="3"/>
        <v>8.1249999999999964</v>
      </c>
    </row>
    <row r="47" spans="4:25" x14ac:dyDescent="0.25">
      <c r="M47">
        <v>1.0900000000000001</v>
      </c>
      <c r="O47">
        <f t="shared" si="3"/>
        <v>8.3333333333333304</v>
      </c>
    </row>
    <row r="48" spans="4:25" x14ac:dyDescent="0.25">
      <c r="M48">
        <v>1.1000000000000001</v>
      </c>
      <c r="O48">
        <f t="shared" si="3"/>
        <v>8.5416666666666643</v>
      </c>
    </row>
    <row r="49" spans="8:19" x14ac:dyDescent="0.25">
      <c r="M49">
        <v>1.1100000000000001</v>
      </c>
      <c r="O49">
        <f t="shared" si="3"/>
        <v>8.7499999999999982</v>
      </c>
    </row>
    <row r="50" spans="8:19" x14ac:dyDescent="0.25">
      <c r="M50">
        <v>1.1200000000000001</v>
      </c>
      <c r="O50">
        <f t="shared" si="3"/>
        <v>8.9583333333333321</v>
      </c>
    </row>
    <row r="51" spans="8:19" x14ac:dyDescent="0.25">
      <c r="M51">
        <v>1.1299999999999999</v>
      </c>
      <c r="O51">
        <f t="shared" si="3"/>
        <v>9.1666666666666661</v>
      </c>
    </row>
    <row r="52" spans="8:19" x14ac:dyDescent="0.25">
      <c r="M52">
        <v>1.1400000000000001</v>
      </c>
      <c r="O52">
        <f t="shared" si="3"/>
        <v>9.375</v>
      </c>
    </row>
    <row r="53" spans="8:19" x14ac:dyDescent="0.25">
      <c r="M53">
        <v>1.1499999999999999</v>
      </c>
      <c r="O53">
        <f t="shared" si="3"/>
        <v>9.5833333333333339</v>
      </c>
    </row>
    <row r="54" spans="8:19" x14ac:dyDescent="0.25">
      <c r="M54">
        <v>1.1599999999999999</v>
      </c>
      <c r="O54">
        <f t="shared" si="3"/>
        <v>9.7916666666666679</v>
      </c>
    </row>
    <row r="55" spans="8:19" x14ac:dyDescent="0.25">
      <c r="M55">
        <v>1.17</v>
      </c>
      <c r="O55">
        <f t="shared" si="3"/>
        <v>10.000000000000002</v>
      </c>
    </row>
    <row r="57" spans="8:19" x14ac:dyDescent="0.25">
      <c r="M57">
        <f>1.17-0.93</f>
        <v>0.23999999999999988</v>
      </c>
    </row>
    <row r="61" spans="8:19" x14ac:dyDescent="0.25">
      <c r="H61" s="6" t="s">
        <v>75</v>
      </c>
      <c r="M61" s="6" t="s">
        <v>75</v>
      </c>
    </row>
    <row r="62" spans="8:19" x14ac:dyDescent="0.25">
      <c r="H62" t="s">
        <v>76</v>
      </c>
      <c r="M62" s="6" t="s">
        <v>77</v>
      </c>
    </row>
    <row r="63" spans="8:19" x14ac:dyDescent="0.25">
      <c r="H63" s="6" t="s">
        <v>78</v>
      </c>
      <c r="M63" s="6" t="s">
        <v>79</v>
      </c>
    </row>
    <row r="64" spans="8:19" x14ac:dyDescent="0.25">
      <c r="R64" s="17" t="s">
        <v>80</v>
      </c>
      <c r="S64" s="17" t="s">
        <v>81</v>
      </c>
    </row>
    <row r="65" spans="2:22" x14ac:dyDescent="0.25">
      <c r="C65" s="6" t="s">
        <v>82</v>
      </c>
      <c r="H65" s="6" t="s">
        <v>83</v>
      </c>
      <c r="M65" s="6" t="s">
        <v>84</v>
      </c>
      <c r="R65" s="17" t="s">
        <v>85</v>
      </c>
      <c r="S65" s="20" t="s">
        <v>86</v>
      </c>
    </row>
    <row r="66" spans="2:22" x14ac:dyDescent="0.25">
      <c r="C66" s="21" t="s">
        <v>87</v>
      </c>
      <c r="D66" s="21" t="s">
        <v>88</v>
      </c>
      <c r="E66" s="21" t="s">
        <v>89</v>
      </c>
      <c r="F66" s="21" t="s">
        <v>90</v>
      </c>
      <c r="H66" s="21" t="s">
        <v>87</v>
      </c>
      <c r="I66" s="21" t="s">
        <v>88</v>
      </c>
      <c r="J66" s="21" t="s">
        <v>89</v>
      </c>
      <c r="K66" s="21" t="s">
        <v>90</v>
      </c>
      <c r="M66" s="21" t="s">
        <v>87</v>
      </c>
      <c r="N66" s="21" t="s">
        <v>88</v>
      </c>
      <c r="O66" s="21" t="s">
        <v>89</v>
      </c>
      <c r="P66" s="21" t="s">
        <v>90</v>
      </c>
      <c r="R66" s="17"/>
      <c r="S66" s="17"/>
    </row>
    <row r="67" spans="2:22" x14ac:dyDescent="0.25">
      <c r="C67" s="17">
        <v>1</v>
      </c>
      <c r="D67" s="13">
        <v>-33</v>
      </c>
      <c r="E67" s="13">
        <v>40</v>
      </c>
      <c r="F67" s="22">
        <f>-D67/E67</f>
        <v>0.82499999999999996</v>
      </c>
      <c r="H67" s="17">
        <v>1</v>
      </c>
      <c r="I67" s="13">
        <v>-31</v>
      </c>
      <c r="J67" s="13">
        <v>37</v>
      </c>
      <c r="K67" s="22">
        <f t="shared" ref="K67:K72" si="4">-I67/J67</f>
        <v>0.83783783783783783</v>
      </c>
      <c r="M67" s="17">
        <v>1</v>
      </c>
      <c r="N67" s="13">
        <v>-31</v>
      </c>
      <c r="O67" s="13">
        <v>31</v>
      </c>
      <c r="P67" s="22">
        <f>-N67/O67</f>
        <v>1</v>
      </c>
      <c r="R67" s="23">
        <f>N67/I67</f>
        <v>1</v>
      </c>
      <c r="S67" s="23">
        <f>O67/J67</f>
        <v>0.83783783783783783</v>
      </c>
    </row>
    <row r="68" spans="2:22" x14ac:dyDescent="0.25">
      <c r="C68" s="17">
        <v>2</v>
      </c>
      <c r="D68" s="13">
        <v>-60</v>
      </c>
      <c r="E68" s="13">
        <v>80</v>
      </c>
      <c r="F68" s="22">
        <f t="shared" ref="F68:F72" si="5">-D68/E68</f>
        <v>0.75</v>
      </c>
      <c r="H68" s="17">
        <v>2</v>
      </c>
      <c r="I68" s="13">
        <v>-55</v>
      </c>
      <c r="J68" s="13">
        <v>69</v>
      </c>
      <c r="K68" s="22">
        <f t="shared" si="4"/>
        <v>0.79710144927536231</v>
      </c>
      <c r="M68" s="24">
        <v>2</v>
      </c>
      <c r="N68" s="25">
        <v>-55</v>
      </c>
      <c r="O68" s="25">
        <v>55</v>
      </c>
      <c r="P68" s="26">
        <f t="shared" ref="P68:P72" si="6">-N68/O68</f>
        <v>1</v>
      </c>
      <c r="R68" s="23">
        <f t="shared" ref="R68:S72" si="7">N68/I68</f>
        <v>1</v>
      </c>
      <c r="S68" s="23">
        <f t="shared" si="7"/>
        <v>0.79710144927536231</v>
      </c>
    </row>
    <row r="69" spans="2:22" x14ac:dyDescent="0.25">
      <c r="C69" s="17">
        <v>3</v>
      </c>
      <c r="D69" s="13">
        <v>-85</v>
      </c>
      <c r="E69" s="13">
        <v>105</v>
      </c>
      <c r="F69" s="22">
        <f t="shared" si="5"/>
        <v>0.80952380952380953</v>
      </c>
      <c r="H69" s="17">
        <v>3</v>
      </c>
      <c r="I69" s="13">
        <v>-77</v>
      </c>
      <c r="J69" s="13">
        <v>90</v>
      </c>
      <c r="K69" s="22">
        <f t="shared" si="4"/>
        <v>0.85555555555555551</v>
      </c>
      <c r="M69" s="17">
        <v>3</v>
      </c>
      <c r="N69" s="13">
        <v>-77</v>
      </c>
      <c r="O69" s="13">
        <v>71</v>
      </c>
      <c r="P69" s="22">
        <f t="shared" si="6"/>
        <v>1.0845070422535212</v>
      </c>
      <c r="R69" s="23">
        <f t="shared" si="7"/>
        <v>1</v>
      </c>
      <c r="S69" s="23">
        <f t="shared" si="7"/>
        <v>0.78888888888888886</v>
      </c>
    </row>
    <row r="70" spans="2:22" x14ac:dyDescent="0.25">
      <c r="C70" s="17">
        <v>4</v>
      </c>
      <c r="D70" s="13">
        <v>-106</v>
      </c>
      <c r="E70" s="13">
        <v>124</v>
      </c>
      <c r="F70" s="22">
        <f t="shared" si="5"/>
        <v>0.85483870967741937</v>
      </c>
      <c r="H70" s="17">
        <v>4</v>
      </c>
      <c r="I70" s="13">
        <v>-99</v>
      </c>
      <c r="J70" s="13">
        <v>107</v>
      </c>
      <c r="K70" s="22">
        <f t="shared" si="4"/>
        <v>0.92523364485981308</v>
      </c>
      <c r="M70" s="17">
        <v>4</v>
      </c>
      <c r="N70" s="13">
        <v>-99</v>
      </c>
      <c r="O70" s="13">
        <v>84</v>
      </c>
      <c r="P70" s="22">
        <f t="shared" si="6"/>
        <v>1.1785714285714286</v>
      </c>
      <c r="R70" s="23">
        <f t="shared" si="7"/>
        <v>1</v>
      </c>
      <c r="S70" s="23">
        <f t="shared" si="7"/>
        <v>0.78504672897196259</v>
      </c>
    </row>
    <row r="71" spans="2:22" x14ac:dyDescent="0.25">
      <c r="C71" s="17">
        <v>5</v>
      </c>
      <c r="D71" s="13">
        <v>-127</v>
      </c>
      <c r="E71" s="13">
        <v>140</v>
      </c>
      <c r="F71" s="22">
        <f t="shared" si="5"/>
        <v>0.90714285714285714</v>
      </c>
      <c r="H71" s="24">
        <v>5</v>
      </c>
      <c r="I71" s="25">
        <v>-121</v>
      </c>
      <c r="J71" s="25">
        <v>121</v>
      </c>
      <c r="K71" s="26">
        <f t="shared" si="4"/>
        <v>1</v>
      </c>
      <c r="M71" s="17">
        <v>5</v>
      </c>
      <c r="N71" s="13">
        <v>-121</v>
      </c>
      <c r="O71" s="13">
        <v>94</v>
      </c>
      <c r="P71" s="22">
        <f t="shared" si="6"/>
        <v>1.2872340425531914</v>
      </c>
      <c r="R71" s="23">
        <f t="shared" si="7"/>
        <v>1</v>
      </c>
      <c r="S71" s="23">
        <f t="shared" si="7"/>
        <v>0.77685950413223137</v>
      </c>
    </row>
    <row r="72" spans="2:22" x14ac:dyDescent="0.25">
      <c r="C72" s="17">
        <v>10</v>
      </c>
      <c r="D72" s="13">
        <v>-255</v>
      </c>
      <c r="E72" s="13">
        <v>216</v>
      </c>
      <c r="F72" s="22">
        <f t="shared" si="5"/>
        <v>1.1805555555555556</v>
      </c>
      <c r="H72" s="17">
        <v>10</v>
      </c>
      <c r="I72" s="13">
        <v>-234</v>
      </c>
      <c r="J72" s="13">
        <v>188</v>
      </c>
      <c r="K72" s="22">
        <f t="shared" si="4"/>
        <v>1.2446808510638299</v>
      </c>
      <c r="M72" s="17">
        <v>10</v>
      </c>
      <c r="N72" s="13">
        <v>-234</v>
      </c>
      <c r="O72" s="13">
        <v>145</v>
      </c>
      <c r="P72" s="22">
        <f t="shared" si="6"/>
        <v>1.6137931034482758</v>
      </c>
      <c r="R72" s="23">
        <f t="shared" si="7"/>
        <v>1</v>
      </c>
      <c r="S72" s="23">
        <f t="shared" si="7"/>
        <v>0.77127659574468088</v>
      </c>
    </row>
    <row r="73" spans="2:22" x14ac:dyDescent="0.25">
      <c r="J73" s="13"/>
      <c r="R73" s="23"/>
    </row>
    <row r="74" spans="2:22" x14ac:dyDescent="0.25">
      <c r="J74" s="13"/>
    </row>
    <row r="75" spans="2:22" x14ac:dyDescent="0.25">
      <c r="C75" s="27" t="s">
        <v>91</v>
      </c>
      <c r="E75" s="13"/>
    </row>
    <row r="76" spans="2:22" x14ac:dyDescent="0.25">
      <c r="C76" s="27" t="s">
        <v>92</v>
      </c>
      <c r="E76" s="13"/>
    </row>
    <row r="77" spans="2:22" x14ac:dyDescent="0.25">
      <c r="E77" s="13"/>
    </row>
    <row r="78" spans="2:22" x14ac:dyDescent="0.25">
      <c r="B78" t="s">
        <v>93</v>
      </c>
      <c r="C78" s="6" t="s">
        <v>94</v>
      </c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</row>
    <row r="79" spans="2:22" x14ac:dyDescent="0.25">
      <c r="C79" s="6" t="s">
        <v>95</v>
      </c>
      <c r="K79" s="80" t="s">
        <v>158</v>
      </c>
      <c r="L79" s="81" t="s">
        <v>155</v>
      </c>
      <c r="M79" s="81"/>
      <c r="N79" s="81"/>
      <c r="O79" s="82"/>
      <c r="P79" s="69"/>
      <c r="Q79" s="80" t="s">
        <v>158</v>
      </c>
      <c r="R79" s="81" t="s">
        <v>154</v>
      </c>
      <c r="S79" s="81"/>
      <c r="T79" s="81"/>
      <c r="U79" s="82"/>
      <c r="V79" s="69"/>
    </row>
    <row r="80" spans="2:22" x14ac:dyDescent="0.25">
      <c r="C80" s="6" t="s">
        <v>78</v>
      </c>
      <c r="K80" s="85" t="s">
        <v>133</v>
      </c>
      <c r="L80" s="69"/>
      <c r="M80" s="69"/>
      <c r="N80" s="69"/>
      <c r="O80" s="84"/>
      <c r="P80" s="69"/>
      <c r="Q80" s="85" t="s">
        <v>133</v>
      </c>
      <c r="R80" s="99" t="s">
        <v>157</v>
      </c>
      <c r="S80" s="69"/>
      <c r="T80" s="69"/>
      <c r="U80" s="84"/>
      <c r="V80" s="69"/>
    </row>
    <row r="81" spans="2:22" x14ac:dyDescent="0.25">
      <c r="K81" s="83"/>
      <c r="L81" s="69"/>
      <c r="M81" s="69"/>
      <c r="N81" s="69"/>
      <c r="O81" s="84"/>
      <c r="P81" s="69"/>
      <c r="Q81" s="83"/>
      <c r="R81" s="69"/>
      <c r="S81" s="69"/>
      <c r="T81" s="69"/>
      <c r="U81" s="84"/>
      <c r="V81" s="69"/>
    </row>
    <row r="82" spans="2:22" x14ac:dyDescent="0.25">
      <c r="C82" s="6" t="s">
        <v>83</v>
      </c>
      <c r="K82" s="85" t="s">
        <v>126</v>
      </c>
      <c r="L82" s="77" t="s">
        <v>156</v>
      </c>
      <c r="M82" s="77" t="s">
        <v>156</v>
      </c>
      <c r="N82" s="69"/>
      <c r="O82" s="84"/>
      <c r="P82" s="69"/>
      <c r="Q82" s="85" t="s">
        <v>126</v>
      </c>
      <c r="R82" s="77" t="s">
        <v>156</v>
      </c>
      <c r="S82" s="77" t="s">
        <v>156</v>
      </c>
      <c r="T82" s="69"/>
      <c r="U82" s="84"/>
      <c r="V82" s="69"/>
    </row>
    <row r="83" spans="2:22" x14ac:dyDescent="0.25">
      <c r="C83" s="21" t="s">
        <v>87</v>
      </c>
      <c r="D83" s="21" t="s">
        <v>88</v>
      </c>
      <c r="E83" s="21" t="s">
        <v>89</v>
      </c>
      <c r="F83" s="21" t="s">
        <v>90</v>
      </c>
      <c r="I83" s="70" t="s">
        <v>88</v>
      </c>
      <c r="K83" s="86" t="s">
        <v>87</v>
      </c>
      <c r="L83" s="70" t="s">
        <v>88</v>
      </c>
      <c r="M83" s="70" t="s">
        <v>89</v>
      </c>
      <c r="N83" s="70" t="s">
        <v>90</v>
      </c>
      <c r="O83" s="87" t="s">
        <v>137</v>
      </c>
      <c r="P83" s="69"/>
      <c r="Q83" s="86" t="s">
        <v>87</v>
      </c>
      <c r="R83" s="70" t="s">
        <v>88</v>
      </c>
      <c r="S83" s="70" t="s">
        <v>89</v>
      </c>
      <c r="T83" s="70" t="s">
        <v>90</v>
      </c>
      <c r="U83" s="87" t="s">
        <v>137</v>
      </c>
      <c r="V83" s="69"/>
    </row>
    <row r="84" spans="2:22" x14ac:dyDescent="0.25">
      <c r="C84" s="17">
        <v>1</v>
      </c>
      <c r="D84" s="13">
        <v>-28</v>
      </c>
      <c r="E84" s="13">
        <v>34</v>
      </c>
      <c r="F84" s="22">
        <f t="shared" ref="F84:F89" si="8">-D84/E84</f>
        <v>0.82352941176470584</v>
      </c>
      <c r="I84" s="71">
        <f>-I95</f>
        <v>-29.1</v>
      </c>
      <c r="K84" s="88">
        <v>1</v>
      </c>
      <c r="L84" s="73">
        <v>-29.1</v>
      </c>
      <c r="M84" s="73">
        <v>26.5</v>
      </c>
      <c r="N84" s="74">
        <f t="shared" ref="N84:N93" si="9">-L84/M84</f>
        <v>1.0981132075471698</v>
      </c>
      <c r="O84" s="89">
        <v>0.7</v>
      </c>
      <c r="P84" s="69"/>
      <c r="Q84" s="88">
        <v>1</v>
      </c>
      <c r="R84" s="73">
        <v>-29.1</v>
      </c>
      <c r="S84" s="73">
        <v>26.5</v>
      </c>
      <c r="T84" s="74">
        <f t="shared" ref="T84:T93" si="10">-R84/S84</f>
        <v>1.0981132075471698</v>
      </c>
      <c r="U84" s="89">
        <v>0.77</v>
      </c>
      <c r="V84" s="69"/>
    </row>
    <row r="85" spans="2:22" x14ac:dyDescent="0.25">
      <c r="C85" s="17">
        <v>2</v>
      </c>
      <c r="D85" s="13">
        <v>-49</v>
      </c>
      <c r="E85" s="13">
        <v>62</v>
      </c>
      <c r="F85" s="22">
        <f t="shared" si="8"/>
        <v>0.79032258064516125</v>
      </c>
      <c r="I85" s="71">
        <f t="shared" ref="I85:I93" si="11">-I96</f>
        <v>-52.5</v>
      </c>
      <c r="K85" s="90">
        <v>2</v>
      </c>
      <c r="L85" s="71">
        <v>-52.5</v>
      </c>
      <c r="M85" s="71">
        <v>37.4</v>
      </c>
      <c r="N85" s="72">
        <f t="shared" si="9"/>
        <v>1.4037433155080214</v>
      </c>
      <c r="O85" s="91">
        <v>0.63</v>
      </c>
      <c r="P85" s="69"/>
      <c r="Q85" s="90">
        <v>2</v>
      </c>
      <c r="R85" s="71">
        <v>-52.5</v>
      </c>
      <c r="S85" s="71">
        <v>37.4</v>
      </c>
      <c r="T85" s="72">
        <f t="shared" si="10"/>
        <v>1.4037433155080214</v>
      </c>
      <c r="U85" s="91">
        <v>0.7</v>
      </c>
      <c r="V85" s="69"/>
    </row>
    <row r="86" spans="2:22" x14ac:dyDescent="0.25">
      <c r="C86" s="17">
        <v>3</v>
      </c>
      <c r="D86" s="13">
        <v>-68</v>
      </c>
      <c r="E86" s="13">
        <v>81</v>
      </c>
      <c r="F86" s="22">
        <f t="shared" si="8"/>
        <v>0.83950617283950613</v>
      </c>
      <c r="I86" s="71">
        <f t="shared" si="11"/>
        <v>-75.3</v>
      </c>
      <c r="K86" s="90">
        <v>3</v>
      </c>
      <c r="L86" s="71">
        <v>-75.3</v>
      </c>
      <c r="M86" s="71">
        <v>47.1</v>
      </c>
      <c r="N86" s="72">
        <f t="shared" si="9"/>
        <v>1.5987261146496814</v>
      </c>
      <c r="O86" s="91">
        <v>0.61</v>
      </c>
      <c r="P86" s="69"/>
      <c r="Q86" s="90">
        <v>3</v>
      </c>
      <c r="R86" s="71">
        <v>-75.3</v>
      </c>
      <c r="S86" s="71">
        <v>47.1</v>
      </c>
      <c r="T86" s="72">
        <f t="shared" si="10"/>
        <v>1.5987261146496814</v>
      </c>
      <c r="U86" s="91">
        <v>0.67</v>
      </c>
      <c r="V86" s="69"/>
    </row>
    <row r="87" spans="2:22" x14ac:dyDescent="0.25">
      <c r="C87" s="17">
        <v>4</v>
      </c>
      <c r="D87" s="13">
        <v>-88</v>
      </c>
      <c r="E87" s="13">
        <v>96</v>
      </c>
      <c r="F87" s="22">
        <f t="shared" si="8"/>
        <v>0.91666666666666663</v>
      </c>
      <c r="I87" s="71">
        <f t="shared" si="11"/>
        <v>-94.2</v>
      </c>
      <c r="K87" s="90">
        <v>4</v>
      </c>
      <c r="L87" s="71">
        <v>-94.2</v>
      </c>
      <c r="M87" s="71">
        <v>56.7</v>
      </c>
      <c r="N87" s="72">
        <f t="shared" si="9"/>
        <v>1.6613756613756614</v>
      </c>
      <c r="O87" s="91">
        <v>0.56999999999999995</v>
      </c>
      <c r="P87" s="69"/>
      <c r="Q87" s="90">
        <v>4</v>
      </c>
      <c r="R87" s="71">
        <v>-94.2</v>
      </c>
      <c r="S87" s="71">
        <v>56.7</v>
      </c>
      <c r="T87" s="72">
        <f t="shared" si="10"/>
        <v>1.6613756613756614</v>
      </c>
      <c r="U87" s="91">
        <v>0.63</v>
      </c>
      <c r="V87" s="69"/>
    </row>
    <row r="88" spans="2:22" x14ac:dyDescent="0.25">
      <c r="C88" s="24">
        <v>5</v>
      </c>
      <c r="D88" s="25">
        <v>-108</v>
      </c>
      <c r="E88" s="25">
        <v>108</v>
      </c>
      <c r="F88" s="26">
        <f t="shared" si="8"/>
        <v>1</v>
      </c>
      <c r="I88" s="71">
        <f t="shared" si="11"/>
        <v>-114.3</v>
      </c>
      <c r="K88" s="92">
        <v>5</v>
      </c>
      <c r="L88" s="78">
        <v>-114.3</v>
      </c>
      <c r="M88" s="78">
        <v>66.8</v>
      </c>
      <c r="N88" s="79">
        <f t="shared" si="9"/>
        <v>1.7110778443113772</v>
      </c>
      <c r="O88" s="93">
        <v>0.55000000000000004</v>
      </c>
      <c r="P88" s="69"/>
      <c r="Q88" s="92">
        <v>5</v>
      </c>
      <c r="R88" s="78">
        <v>-114.3</v>
      </c>
      <c r="S88" s="78">
        <v>66.8</v>
      </c>
      <c r="T88" s="79">
        <f t="shared" si="10"/>
        <v>1.7110778443113772</v>
      </c>
      <c r="U88" s="93">
        <v>0.61</v>
      </c>
      <c r="V88" s="69"/>
    </row>
    <row r="89" spans="2:22" x14ac:dyDescent="0.25">
      <c r="C89" s="17">
        <v>10</v>
      </c>
      <c r="D89" s="13">
        <v>-208</v>
      </c>
      <c r="E89" s="13">
        <v>166</v>
      </c>
      <c r="F89" s="22">
        <f t="shared" si="8"/>
        <v>1.2530120481927711</v>
      </c>
      <c r="I89" s="71">
        <f t="shared" si="11"/>
        <v>-233.6</v>
      </c>
      <c r="K89" s="90">
        <v>10</v>
      </c>
      <c r="L89" s="71">
        <v>-233.6</v>
      </c>
      <c r="M89" s="71">
        <v>113.8</v>
      </c>
      <c r="N89" s="72">
        <f t="shared" si="9"/>
        <v>2.0527240773286466</v>
      </c>
      <c r="O89" s="91">
        <v>0.56000000000000005</v>
      </c>
      <c r="P89" s="69"/>
      <c r="Q89" s="90">
        <v>10</v>
      </c>
      <c r="R89" s="71">
        <v>-233.6</v>
      </c>
      <c r="S89" s="71">
        <v>113.8</v>
      </c>
      <c r="T89" s="72">
        <f t="shared" si="10"/>
        <v>2.0527240773286466</v>
      </c>
      <c r="U89" s="91">
        <v>0.62</v>
      </c>
      <c r="V89" s="69"/>
    </row>
    <row r="90" spans="2:22" x14ac:dyDescent="0.25">
      <c r="I90" s="71">
        <f t="shared" si="11"/>
        <v>-480</v>
      </c>
      <c r="K90" s="90">
        <v>20</v>
      </c>
      <c r="L90" s="71">
        <v>-480</v>
      </c>
      <c r="M90" s="71">
        <v>195.9</v>
      </c>
      <c r="N90" s="72">
        <f t="shared" si="9"/>
        <v>2.4502297090352219</v>
      </c>
      <c r="O90" s="91">
        <v>0.57999999999999996</v>
      </c>
      <c r="P90" s="69"/>
      <c r="Q90" s="90">
        <v>20</v>
      </c>
      <c r="R90" s="71">
        <v>-480</v>
      </c>
      <c r="S90" s="71">
        <v>195.9</v>
      </c>
      <c r="T90" s="72">
        <f t="shared" si="10"/>
        <v>2.4502297090352219</v>
      </c>
      <c r="U90" s="91">
        <v>0.64</v>
      </c>
      <c r="V90" s="69"/>
    </row>
    <row r="91" spans="2:22" x14ac:dyDescent="0.25">
      <c r="I91" s="71">
        <f t="shared" si="11"/>
        <v>-746.6</v>
      </c>
      <c r="K91" s="90">
        <v>30</v>
      </c>
      <c r="L91" s="71">
        <v>-746.6</v>
      </c>
      <c r="M91" s="71">
        <v>268.89999999999998</v>
      </c>
      <c r="N91" s="72">
        <f t="shared" si="9"/>
        <v>2.7764968389735967</v>
      </c>
      <c r="O91" s="91">
        <v>0.6</v>
      </c>
      <c r="P91" s="69"/>
      <c r="Q91" s="90">
        <v>30</v>
      </c>
      <c r="R91" s="71">
        <v>-746.6</v>
      </c>
      <c r="S91" s="71">
        <v>268.89999999999998</v>
      </c>
      <c r="T91" s="72">
        <f t="shared" si="10"/>
        <v>2.7764968389735967</v>
      </c>
      <c r="U91" s="91">
        <v>0.66</v>
      </c>
      <c r="V91" s="69"/>
    </row>
    <row r="92" spans="2:22" x14ac:dyDescent="0.25">
      <c r="B92" t="s">
        <v>96</v>
      </c>
      <c r="C92" s="6" t="s">
        <v>97</v>
      </c>
      <c r="I92" s="71">
        <f t="shared" si="11"/>
        <v>-1055</v>
      </c>
      <c r="K92" s="90">
        <v>40</v>
      </c>
      <c r="L92" s="71">
        <v>-1055</v>
      </c>
      <c r="M92" s="71">
        <v>336.9</v>
      </c>
      <c r="N92" s="72">
        <f t="shared" si="9"/>
        <v>3.131493024636391</v>
      </c>
      <c r="O92" s="91">
        <v>0.64</v>
      </c>
      <c r="P92" s="69"/>
      <c r="Q92" s="90">
        <v>40</v>
      </c>
      <c r="R92" s="71">
        <v>-1055</v>
      </c>
      <c r="S92" s="71">
        <v>336.9</v>
      </c>
      <c r="T92" s="72">
        <f t="shared" si="10"/>
        <v>3.131493024636391</v>
      </c>
      <c r="U92" s="91">
        <v>0.7</v>
      </c>
      <c r="V92" s="69"/>
    </row>
    <row r="93" spans="2:22" x14ac:dyDescent="0.25">
      <c r="C93" s="6" t="s">
        <v>98</v>
      </c>
      <c r="I93" s="71">
        <f t="shared" si="11"/>
        <v>-1348.2</v>
      </c>
      <c r="K93" s="94">
        <v>50</v>
      </c>
      <c r="L93" s="95">
        <v>-1348.2</v>
      </c>
      <c r="M93" s="95">
        <v>403.3</v>
      </c>
      <c r="N93" s="96">
        <f t="shared" si="9"/>
        <v>3.3429209025539302</v>
      </c>
      <c r="O93" s="97">
        <v>0.65</v>
      </c>
      <c r="P93" s="69"/>
      <c r="Q93" s="94">
        <v>50</v>
      </c>
      <c r="R93" s="95">
        <v>-1348.2</v>
      </c>
      <c r="S93" s="95">
        <v>403.3</v>
      </c>
      <c r="T93" s="96">
        <f t="shared" si="10"/>
        <v>3.3429209025539302</v>
      </c>
      <c r="U93" s="97">
        <v>0.72</v>
      </c>
      <c r="V93" s="69"/>
    </row>
    <row r="94" spans="2:22" x14ac:dyDescent="0.25">
      <c r="C94" s="6" t="s">
        <v>78</v>
      </c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</row>
    <row r="95" spans="2:22" x14ac:dyDescent="0.25">
      <c r="I95" s="75">
        <v>29.1</v>
      </c>
    </row>
    <row r="96" spans="2:22" x14ac:dyDescent="0.25">
      <c r="C96" s="6" t="s">
        <v>83</v>
      </c>
      <c r="I96" s="76">
        <v>52.5</v>
      </c>
    </row>
    <row r="97" spans="1:21" x14ac:dyDescent="0.25">
      <c r="C97" s="21" t="s">
        <v>87</v>
      </c>
      <c r="D97" s="21" t="s">
        <v>88</v>
      </c>
      <c r="E97" s="21" t="s">
        <v>89</v>
      </c>
      <c r="F97" s="21" t="s">
        <v>90</v>
      </c>
      <c r="I97" s="75">
        <v>75.3</v>
      </c>
    </row>
    <row r="98" spans="1:21" x14ac:dyDescent="0.25">
      <c r="C98" s="17">
        <v>1</v>
      </c>
      <c r="D98" s="13">
        <v>-35</v>
      </c>
      <c r="E98" s="13">
        <v>41</v>
      </c>
      <c r="F98" s="22">
        <f t="shared" ref="F98:F103" si="12">-D98/E98</f>
        <v>0.85365853658536583</v>
      </c>
      <c r="I98" s="75">
        <v>94.2</v>
      </c>
    </row>
    <row r="99" spans="1:21" x14ac:dyDescent="0.25">
      <c r="C99" s="17">
        <v>2</v>
      </c>
      <c r="D99" s="13">
        <v>-62</v>
      </c>
      <c r="E99" s="13">
        <v>76</v>
      </c>
      <c r="F99" s="22">
        <f t="shared" si="12"/>
        <v>0.81578947368421051</v>
      </c>
      <c r="I99" s="76">
        <v>114.3</v>
      </c>
    </row>
    <row r="100" spans="1:21" x14ac:dyDescent="0.25">
      <c r="C100" s="17">
        <v>3</v>
      </c>
      <c r="D100" s="13">
        <v>-86</v>
      </c>
      <c r="E100" s="13">
        <v>101</v>
      </c>
      <c r="F100" s="22">
        <f t="shared" si="12"/>
        <v>0.85148514851485146</v>
      </c>
      <c r="I100" s="75">
        <v>233.6</v>
      </c>
    </row>
    <row r="101" spans="1:21" x14ac:dyDescent="0.25">
      <c r="C101" s="17">
        <v>4</v>
      </c>
      <c r="D101" s="13">
        <v>-111</v>
      </c>
      <c r="E101" s="13">
        <v>120</v>
      </c>
      <c r="F101" s="22">
        <f t="shared" si="12"/>
        <v>0.92500000000000004</v>
      </c>
      <c r="I101" s="75">
        <v>480</v>
      </c>
    </row>
    <row r="102" spans="1:21" x14ac:dyDescent="0.25">
      <c r="C102" s="24">
        <v>5</v>
      </c>
      <c r="D102" s="25">
        <v>-135</v>
      </c>
      <c r="E102" s="25">
        <v>135</v>
      </c>
      <c r="F102" s="26">
        <f t="shared" si="12"/>
        <v>1</v>
      </c>
      <c r="I102" s="75">
        <v>746.6</v>
      </c>
    </row>
    <row r="103" spans="1:21" x14ac:dyDescent="0.25">
      <c r="C103" s="17">
        <v>10</v>
      </c>
      <c r="D103" s="13">
        <v>-262</v>
      </c>
      <c r="E103" s="13">
        <v>211</v>
      </c>
      <c r="F103" s="22">
        <f t="shared" si="12"/>
        <v>1.2417061611374407</v>
      </c>
      <c r="I103" s="76">
        <v>1055</v>
      </c>
    </row>
    <row r="104" spans="1:21" x14ac:dyDescent="0.25">
      <c r="I104" s="75">
        <v>1348.2</v>
      </c>
    </row>
    <row r="109" spans="1:21" x14ac:dyDescent="0.25">
      <c r="A109" s="48" t="s">
        <v>132</v>
      </c>
    </row>
    <row r="111" spans="1:21" x14ac:dyDescent="0.25">
      <c r="C111" s="6" t="s">
        <v>75</v>
      </c>
      <c r="I111" s="6" t="s">
        <v>75</v>
      </c>
      <c r="O111" s="6" t="s">
        <v>75</v>
      </c>
      <c r="U111" s="6" t="s">
        <v>75</v>
      </c>
    </row>
    <row r="112" spans="1:21" x14ac:dyDescent="0.25">
      <c r="C112" t="s">
        <v>76</v>
      </c>
      <c r="I112" s="6" t="s">
        <v>130</v>
      </c>
      <c r="O112" s="6" t="s">
        <v>131</v>
      </c>
      <c r="U112" s="6" t="s">
        <v>77</v>
      </c>
    </row>
    <row r="113" spans="3:25" x14ac:dyDescent="0.25">
      <c r="C113" s="6" t="s">
        <v>125</v>
      </c>
      <c r="I113" s="6" t="s">
        <v>125</v>
      </c>
      <c r="O113" s="6" t="s">
        <v>125</v>
      </c>
      <c r="U113" s="6" t="s">
        <v>125</v>
      </c>
    </row>
    <row r="115" spans="3:25" x14ac:dyDescent="0.25">
      <c r="C115" s="6" t="s">
        <v>126</v>
      </c>
      <c r="I115" s="6" t="s">
        <v>127</v>
      </c>
      <c r="O115" s="6" t="s">
        <v>128</v>
      </c>
      <c r="U115" s="6" t="s">
        <v>129</v>
      </c>
    </row>
    <row r="116" spans="3:25" x14ac:dyDescent="0.25">
      <c r="C116" s="21" t="s">
        <v>87</v>
      </c>
      <c r="D116" s="21" t="s">
        <v>88</v>
      </c>
      <c r="E116" s="21" t="s">
        <v>89</v>
      </c>
      <c r="F116" s="21" t="s">
        <v>90</v>
      </c>
      <c r="G116" s="64" t="s">
        <v>137</v>
      </c>
      <c r="I116" s="21" t="s">
        <v>87</v>
      </c>
      <c r="J116" s="21" t="s">
        <v>88</v>
      </c>
      <c r="K116" s="21" t="s">
        <v>89</v>
      </c>
      <c r="L116" s="21" t="s">
        <v>90</v>
      </c>
      <c r="M116" s="64" t="s">
        <v>137</v>
      </c>
      <c r="O116" s="21" t="s">
        <v>87</v>
      </c>
      <c r="P116" s="21" t="s">
        <v>88</v>
      </c>
      <c r="Q116" s="21" t="s">
        <v>89</v>
      </c>
      <c r="R116" s="21" t="s">
        <v>90</v>
      </c>
      <c r="S116" s="64" t="s">
        <v>137</v>
      </c>
      <c r="U116" s="21" t="s">
        <v>87</v>
      </c>
      <c r="V116" s="21" t="s">
        <v>88</v>
      </c>
      <c r="W116" s="21" t="s">
        <v>89</v>
      </c>
      <c r="X116" s="21" t="s">
        <v>90</v>
      </c>
      <c r="Y116" s="64" t="s">
        <v>137</v>
      </c>
    </row>
    <row r="117" spans="3:25" x14ac:dyDescent="0.25">
      <c r="C117" s="17">
        <v>1</v>
      </c>
      <c r="D117" s="49">
        <v>-31.3</v>
      </c>
      <c r="E117" s="49">
        <v>37.4</v>
      </c>
      <c r="F117" s="22">
        <f t="shared" ref="F117:F126" si="13">-D117/E117</f>
        <v>0.83689839572192515</v>
      </c>
      <c r="G117" s="65">
        <v>0.83</v>
      </c>
      <c r="I117" s="17">
        <v>1</v>
      </c>
      <c r="J117" s="49">
        <v>-31.3</v>
      </c>
      <c r="K117" s="49">
        <v>34.799999999999997</v>
      </c>
      <c r="L117" s="22">
        <f t="shared" ref="L117:L122" si="14">-J117/K117</f>
        <v>0.89942528735632188</v>
      </c>
      <c r="M117" s="65">
        <v>0.83</v>
      </c>
      <c r="O117" s="17">
        <v>1</v>
      </c>
      <c r="P117" s="49">
        <v>-31.3</v>
      </c>
      <c r="Q117" s="49">
        <v>32.5</v>
      </c>
      <c r="R117" s="22">
        <f>-P117/Q117</f>
        <v>0.96307692307692305</v>
      </c>
      <c r="S117" s="65">
        <v>0.83</v>
      </c>
      <c r="U117" s="17">
        <v>1</v>
      </c>
      <c r="V117" s="49">
        <v>-31.3</v>
      </c>
      <c r="W117" s="49">
        <v>31</v>
      </c>
      <c r="X117" s="22">
        <f>-V117/W117</f>
        <v>1.0096774193548388</v>
      </c>
      <c r="Y117" s="65">
        <v>0.83</v>
      </c>
    </row>
    <row r="118" spans="3:25" x14ac:dyDescent="0.25">
      <c r="C118" s="17">
        <v>2</v>
      </c>
      <c r="D118" s="49">
        <v>-55</v>
      </c>
      <c r="E118" s="49">
        <v>68.900000000000006</v>
      </c>
      <c r="F118" s="22">
        <f t="shared" si="13"/>
        <v>0.79825834542815666</v>
      </c>
      <c r="G118" s="65">
        <v>0.73</v>
      </c>
      <c r="I118" s="17">
        <v>2</v>
      </c>
      <c r="J118" s="49">
        <v>-55</v>
      </c>
      <c r="K118" s="49">
        <v>63.5</v>
      </c>
      <c r="L118" s="22">
        <f t="shared" si="14"/>
        <v>0.86614173228346458</v>
      </c>
      <c r="M118" s="65">
        <v>0.73</v>
      </c>
      <c r="O118" s="51">
        <v>2</v>
      </c>
      <c r="P118" s="52">
        <v>-55</v>
      </c>
      <c r="Q118" s="52">
        <v>58.8</v>
      </c>
      <c r="R118" s="53">
        <f t="shared" ref="R118:R122" si="15">-P118/Q118</f>
        <v>0.93537414965986398</v>
      </c>
      <c r="S118" s="65">
        <v>0.73</v>
      </c>
      <c r="U118" s="24">
        <v>2</v>
      </c>
      <c r="V118" s="50">
        <v>-55</v>
      </c>
      <c r="W118" s="50">
        <v>55</v>
      </c>
      <c r="X118" s="26">
        <f t="shared" ref="X118:X126" si="16">-V118/W118</f>
        <v>1</v>
      </c>
      <c r="Y118" s="65">
        <v>0.73</v>
      </c>
    </row>
    <row r="119" spans="3:25" x14ac:dyDescent="0.25">
      <c r="C119" s="17">
        <v>3</v>
      </c>
      <c r="D119" s="49">
        <v>-76.8</v>
      </c>
      <c r="E119" s="49">
        <v>90.5</v>
      </c>
      <c r="F119" s="22">
        <f t="shared" si="13"/>
        <v>0.84861878453038675</v>
      </c>
      <c r="G119" s="65">
        <v>0.68</v>
      </c>
      <c r="I119" s="17">
        <v>3</v>
      </c>
      <c r="J119" s="49">
        <v>-76.8</v>
      </c>
      <c r="K119" s="49">
        <v>83.1</v>
      </c>
      <c r="L119" s="22">
        <f t="shared" si="14"/>
        <v>0.92418772563176899</v>
      </c>
      <c r="M119" s="65">
        <v>0.68</v>
      </c>
      <c r="O119" s="24">
        <v>3</v>
      </c>
      <c r="P119" s="50">
        <v>-76.8</v>
      </c>
      <c r="Q119" s="50">
        <v>76.7</v>
      </c>
      <c r="R119" s="26">
        <f t="shared" si="15"/>
        <v>1.0013037809647978</v>
      </c>
      <c r="S119" s="65">
        <v>0.68</v>
      </c>
      <c r="U119" s="17">
        <v>3</v>
      </c>
      <c r="V119" s="49">
        <v>-76.8</v>
      </c>
      <c r="W119" s="49">
        <v>71</v>
      </c>
      <c r="X119" s="22">
        <f t="shared" si="16"/>
        <v>1.0816901408450703</v>
      </c>
      <c r="Y119" s="65">
        <v>0.68</v>
      </c>
    </row>
    <row r="120" spans="3:25" x14ac:dyDescent="0.25">
      <c r="C120" s="17">
        <v>4</v>
      </c>
      <c r="D120" s="49">
        <v>-98.8</v>
      </c>
      <c r="E120" s="49">
        <v>107.4</v>
      </c>
      <c r="F120" s="22">
        <f t="shared" si="13"/>
        <v>0.91992551210428297</v>
      </c>
      <c r="G120" s="65">
        <v>0.66</v>
      </c>
      <c r="I120" s="24">
        <v>4</v>
      </c>
      <c r="J120" s="50">
        <v>-98.8</v>
      </c>
      <c r="K120" s="50">
        <v>98.6</v>
      </c>
      <c r="L120" s="26">
        <f t="shared" si="14"/>
        <v>1.002028397565923</v>
      </c>
      <c r="M120" s="65">
        <v>0.66</v>
      </c>
      <c r="O120" s="51">
        <v>4</v>
      </c>
      <c r="P120" s="52">
        <v>-98.8</v>
      </c>
      <c r="Q120" s="52">
        <v>90.8</v>
      </c>
      <c r="R120" s="53">
        <f t="shared" si="15"/>
        <v>1.0881057268722467</v>
      </c>
      <c r="S120" s="65">
        <v>0.66</v>
      </c>
      <c r="U120" s="17">
        <v>4</v>
      </c>
      <c r="V120" s="49">
        <v>-98.8</v>
      </c>
      <c r="W120" s="49">
        <v>84</v>
      </c>
      <c r="X120" s="22">
        <f t="shared" si="16"/>
        <v>1.1761904761904762</v>
      </c>
      <c r="Y120" s="65">
        <v>0.66</v>
      </c>
    </row>
    <row r="121" spans="3:25" x14ac:dyDescent="0.25">
      <c r="C121" s="24">
        <v>5</v>
      </c>
      <c r="D121" s="50">
        <v>-120.9</v>
      </c>
      <c r="E121" s="50">
        <v>121.2</v>
      </c>
      <c r="F121" s="26">
        <f t="shared" si="13"/>
        <v>0.99752475247524752</v>
      </c>
      <c r="G121" s="65">
        <v>0.64</v>
      </c>
      <c r="I121" s="51">
        <v>5</v>
      </c>
      <c r="J121" s="52">
        <v>-120.9</v>
      </c>
      <c r="K121" s="52">
        <v>111</v>
      </c>
      <c r="L121" s="53">
        <f t="shared" si="14"/>
        <v>1.0891891891891892</v>
      </c>
      <c r="M121" s="65">
        <v>0.64</v>
      </c>
      <c r="O121" s="51">
        <v>5</v>
      </c>
      <c r="P121" s="52">
        <v>-120.9</v>
      </c>
      <c r="Q121" s="52">
        <v>102.1</v>
      </c>
      <c r="R121" s="53">
        <f t="shared" si="15"/>
        <v>1.1841332027424096</v>
      </c>
      <c r="S121" s="65">
        <v>0.64</v>
      </c>
      <c r="U121" s="51">
        <v>5</v>
      </c>
      <c r="V121" s="52">
        <v>-120.9</v>
      </c>
      <c r="W121" s="52">
        <v>94</v>
      </c>
      <c r="X121" s="22">
        <f t="shared" si="16"/>
        <v>1.2861702127659576</v>
      </c>
      <c r="Y121" s="65">
        <v>0.64</v>
      </c>
    </row>
    <row r="122" spans="3:25" x14ac:dyDescent="0.25">
      <c r="C122" s="17">
        <v>10</v>
      </c>
      <c r="D122" s="49">
        <v>-234.1</v>
      </c>
      <c r="E122" s="49">
        <v>188</v>
      </c>
      <c r="F122" s="22">
        <f t="shared" si="13"/>
        <v>1.2452127659574468</v>
      </c>
      <c r="G122" s="65">
        <v>0.62</v>
      </c>
      <c r="I122" s="17">
        <v>10</v>
      </c>
      <c r="J122" s="49">
        <v>-234.1</v>
      </c>
      <c r="K122" s="49">
        <v>171.5</v>
      </c>
      <c r="L122" s="22">
        <f t="shared" si="14"/>
        <v>1.3650145772594753</v>
      </c>
      <c r="M122" s="65">
        <v>0.62</v>
      </c>
      <c r="O122" s="17">
        <v>10</v>
      </c>
      <c r="P122" s="49">
        <v>-234.1</v>
      </c>
      <c r="Q122" s="49">
        <v>157</v>
      </c>
      <c r="R122" s="22">
        <f t="shared" si="15"/>
        <v>1.4910828025477707</v>
      </c>
      <c r="S122" s="65">
        <v>0.62</v>
      </c>
      <c r="U122" s="51">
        <v>10</v>
      </c>
      <c r="V122" s="52">
        <v>-234.1</v>
      </c>
      <c r="W122" s="52">
        <v>145</v>
      </c>
      <c r="X122" s="22">
        <f t="shared" si="16"/>
        <v>1.6144827586206896</v>
      </c>
      <c r="Y122" s="65">
        <v>0.62</v>
      </c>
    </row>
    <row r="123" spans="3:25" x14ac:dyDescent="0.25">
      <c r="C123" s="17">
        <v>20</v>
      </c>
      <c r="D123" s="49">
        <v>-472.4</v>
      </c>
      <c r="E123" s="49">
        <v>315.39999999999998</v>
      </c>
      <c r="F123" s="22">
        <f t="shared" si="13"/>
        <v>1.4977805960684845</v>
      </c>
      <c r="G123" s="65">
        <v>0.63</v>
      </c>
      <c r="I123" s="17">
        <v>20</v>
      </c>
      <c r="J123" s="49">
        <v>-472.4</v>
      </c>
      <c r="K123" s="49">
        <v>287.10000000000002</v>
      </c>
      <c r="L123" s="22">
        <f>-J123/K123</f>
        <v>1.6454197143852314</v>
      </c>
      <c r="M123" s="65">
        <v>0.63</v>
      </c>
      <c r="O123" s="17">
        <v>20</v>
      </c>
      <c r="P123" s="49">
        <v>-472.4</v>
      </c>
      <c r="Q123" s="49">
        <v>262.3</v>
      </c>
      <c r="R123" s="22">
        <f t="shared" ref="R123:R126" si="17">-P123/Q123</f>
        <v>1.8009912314144108</v>
      </c>
      <c r="S123" s="65">
        <v>0.63</v>
      </c>
      <c r="U123" s="17">
        <v>20</v>
      </c>
      <c r="V123" s="49">
        <v>-472.4</v>
      </c>
      <c r="W123" s="49">
        <v>241</v>
      </c>
      <c r="X123" s="22">
        <f t="shared" si="16"/>
        <v>1.9601659751037344</v>
      </c>
      <c r="Y123" s="65">
        <v>0.63</v>
      </c>
    </row>
    <row r="124" spans="3:25" x14ac:dyDescent="0.25">
      <c r="C124" s="17">
        <v>30</v>
      </c>
      <c r="D124" s="49">
        <v>-726.7</v>
      </c>
      <c r="E124" s="49">
        <v>418</v>
      </c>
      <c r="F124" s="22">
        <f t="shared" si="13"/>
        <v>1.7385167464114835</v>
      </c>
      <c r="G124" s="65">
        <v>0.64</v>
      </c>
      <c r="I124" s="17">
        <v>30</v>
      </c>
      <c r="J124" s="49">
        <v>-726.7</v>
      </c>
      <c r="K124" s="49">
        <v>380</v>
      </c>
      <c r="L124" s="22">
        <f>-J124/K124</f>
        <v>1.9123684210526317</v>
      </c>
      <c r="M124" s="65">
        <v>0.64</v>
      </c>
      <c r="O124" s="17">
        <v>30</v>
      </c>
      <c r="P124" s="49">
        <v>-726.7</v>
      </c>
      <c r="Q124" s="49">
        <v>346.8</v>
      </c>
      <c r="R124" s="22">
        <f t="shared" si="17"/>
        <v>2.0954440599769319</v>
      </c>
      <c r="S124" s="65">
        <v>0.64</v>
      </c>
      <c r="U124" s="17">
        <v>30</v>
      </c>
      <c r="V124" s="49">
        <v>-726.7</v>
      </c>
      <c r="W124" s="49">
        <v>318</v>
      </c>
      <c r="X124" s="22">
        <f t="shared" si="16"/>
        <v>2.2852201257861635</v>
      </c>
      <c r="Y124" s="65">
        <v>0.64</v>
      </c>
    </row>
    <row r="125" spans="3:25" x14ac:dyDescent="0.25">
      <c r="C125" s="17">
        <v>40</v>
      </c>
      <c r="D125" s="49">
        <v>-997.1</v>
      </c>
      <c r="E125" s="49">
        <v>512.6</v>
      </c>
      <c r="F125" s="22">
        <f t="shared" si="13"/>
        <v>1.945181428014046</v>
      </c>
      <c r="G125" s="65">
        <v>0.66</v>
      </c>
      <c r="I125" s="17">
        <v>40</v>
      </c>
      <c r="J125" s="49">
        <v>-997.1</v>
      </c>
      <c r="K125" s="49">
        <v>465.9</v>
      </c>
      <c r="L125" s="22">
        <f>-J125/K125</f>
        <v>2.1401588323674612</v>
      </c>
      <c r="M125" s="65">
        <v>0.66</v>
      </c>
      <c r="O125" s="17">
        <v>40</v>
      </c>
      <c r="P125" s="49">
        <v>-997.1</v>
      </c>
      <c r="Q125" s="49">
        <v>425</v>
      </c>
      <c r="R125" s="22">
        <f t="shared" si="17"/>
        <v>2.3461176470588234</v>
      </c>
      <c r="S125" s="65">
        <v>0.66</v>
      </c>
      <c r="U125" s="17">
        <v>40</v>
      </c>
      <c r="V125" s="49">
        <v>-997.1</v>
      </c>
      <c r="W125" s="49">
        <v>390</v>
      </c>
      <c r="X125" s="22">
        <f t="shared" si="16"/>
        <v>2.5566666666666666</v>
      </c>
      <c r="Y125" s="65">
        <v>0.66</v>
      </c>
    </row>
    <row r="126" spans="3:25" x14ac:dyDescent="0.25">
      <c r="C126" s="17">
        <v>50</v>
      </c>
      <c r="D126" s="49">
        <v>-1283.2</v>
      </c>
      <c r="E126" s="49">
        <v>607.20000000000005</v>
      </c>
      <c r="F126" s="22">
        <f t="shared" si="13"/>
        <v>2.1133069828722002</v>
      </c>
      <c r="G126" s="65">
        <v>0.68</v>
      </c>
      <c r="I126" s="17">
        <v>50</v>
      </c>
      <c r="J126" s="49">
        <v>-1283.2</v>
      </c>
      <c r="K126" s="49">
        <v>551.79999999999995</v>
      </c>
      <c r="L126" s="22">
        <f>-J126/K126</f>
        <v>2.3254802464661113</v>
      </c>
      <c r="M126" s="65">
        <v>0.68</v>
      </c>
      <c r="O126" s="17">
        <v>50</v>
      </c>
      <c r="P126" s="49">
        <v>-1283.2</v>
      </c>
      <c r="Q126" s="49">
        <v>503.3</v>
      </c>
      <c r="R126" s="22">
        <f t="shared" si="17"/>
        <v>2.5495728193920129</v>
      </c>
      <c r="S126" s="65">
        <v>0.68</v>
      </c>
      <c r="U126" s="17">
        <v>50</v>
      </c>
      <c r="V126" s="49">
        <v>-1283.2</v>
      </c>
      <c r="W126" s="49">
        <v>462</v>
      </c>
      <c r="X126" s="22">
        <f t="shared" si="16"/>
        <v>2.7774891774891777</v>
      </c>
      <c r="Y126" s="65">
        <v>0.68</v>
      </c>
    </row>
    <row r="127" spans="3:25" x14ac:dyDescent="0.25">
      <c r="I127" s="17"/>
      <c r="J127" s="13"/>
      <c r="K127" s="13"/>
      <c r="L127" s="22"/>
    </row>
    <row r="128" spans="3:25" x14ac:dyDescent="0.25">
      <c r="I128" s="17"/>
      <c r="J128" s="13"/>
      <c r="K128" s="13"/>
      <c r="L128" s="22"/>
    </row>
    <row r="129" spans="1:25" x14ac:dyDescent="0.25">
      <c r="C129" s="6" t="s">
        <v>141</v>
      </c>
      <c r="I129" s="6" t="s">
        <v>75</v>
      </c>
      <c r="O129" s="6" t="s">
        <v>75</v>
      </c>
      <c r="U129" s="6" t="s">
        <v>75</v>
      </c>
    </row>
    <row r="130" spans="1:25" x14ac:dyDescent="0.25">
      <c r="C130" s="6" t="s">
        <v>142</v>
      </c>
      <c r="I130" s="6" t="s">
        <v>130</v>
      </c>
      <c r="O130" s="6" t="s">
        <v>131</v>
      </c>
      <c r="U130" s="6" t="s">
        <v>77</v>
      </c>
    </row>
    <row r="131" spans="1:25" x14ac:dyDescent="0.25">
      <c r="C131" s="6" t="s">
        <v>125</v>
      </c>
      <c r="I131" s="6" t="s">
        <v>125</v>
      </c>
      <c r="O131" s="6" t="s">
        <v>125</v>
      </c>
      <c r="U131" s="6" t="s">
        <v>125</v>
      </c>
    </row>
    <row r="132" spans="1:25" x14ac:dyDescent="0.25">
      <c r="A132" s="66" t="s">
        <v>140</v>
      </c>
    </row>
    <row r="133" spans="1:25" x14ac:dyDescent="0.25">
      <c r="C133" s="6" t="s">
        <v>126</v>
      </c>
      <c r="I133" s="6" t="s">
        <v>127</v>
      </c>
      <c r="O133" s="6" t="s">
        <v>128</v>
      </c>
      <c r="U133" s="6" t="s">
        <v>129</v>
      </c>
    </row>
    <row r="134" spans="1:25" x14ac:dyDescent="0.25">
      <c r="A134" s="21" t="s">
        <v>88</v>
      </c>
      <c r="C134" s="21" t="s">
        <v>87</v>
      </c>
      <c r="D134" s="21" t="s">
        <v>88</v>
      </c>
      <c r="E134" s="21" t="s">
        <v>89</v>
      </c>
      <c r="F134" s="21" t="s">
        <v>90</v>
      </c>
      <c r="G134" s="64" t="s">
        <v>137</v>
      </c>
      <c r="I134" s="21" t="s">
        <v>87</v>
      </c>
      <c r="J134" s="21" t="s">
        <v>88</v>
      </c>
      <c r="K134" s="21" t="s">
        <v>89</v>
      </c>
      <c r="L134" s="21" t="s">
        <v>90</v>
      </c>
      <c r="M134" s="64" t="s">
        <v>137</v>
      </c>
      <c r="O134" s="21" t="s">
        <v>87</v>
      </c>
      <c r="P134" s="21" t="s">
        <v>88</v>
      </c>
      <c r="Q134" s="21" t="s">
        <v>89</v>
      </c>
      <c r="R134" s="21" t="s">
        <v>90</v>
      </c>
      <c r="S134" s="64" t="s">
        <v>137</v>
      </c>
      <c r="U134" s="21" t="s">
        <v>87</v>
      </c>
      <c r="V134" s="21" t="s">
        <v>88</v>
      </c>
      <c r="W134" s="21" t="s">
        <v>89</v>
      </c>
      <c r="X134" s="21" t="s">
        <v>90</v>
      </c>
      <c r="Y134" s="64" t="s">
        <v>137</v>
      </c>
    </row>
    <row r="135" spans="1:25" x14ac:dyDescent="0.25">
      <c r="A135" s="49">
        <f>-A146</f>
        <v>-31.3</v>
      </c>
      <c r="C135" s="17">
        <v>1</v>
      </c>
      <c r="D135" s="49">
        <v>-31.3</v>
      </c>
      <c r="E135" s="49">
        <v>36.1</v>
      </c>
      <c r="F135" s="22">
        <f t="shared" ref="F135:F144" si="18">-D135/E135</f>
        <v>0.86703601108033235</v>
      </c>
      <c r="G135" s="65">
        <v>0.83</v>
      </c>
      <c r="I135" s="17">
        <v>1</v>
      </c>
      <c r="J135" s="49">
        <v>-31.3</v>
      </c>
      <c r="K135" s="49">
        <v>34.799999999999997</v>
      </c>
      <c r="L135" s="22">
        <f t="shared" ref="L135:L140" si="19">-J135/K135</f>
        <v>0.89942528735632188</v>
      </c>
      <c r="M135" s="65">
        <v>0.83</v>
      </c>
      <c r="O135" s="17">
        <v>1</v>
      </c>
      <c r="P135" s="49">
        <v>-31.3</v>
      </c>
      <c r="Q135" s="49">
        <v>32.5</v>
      </c>
      <c r="R135" s="22">
        <f>-P135/Q135</f>
        <v>0.96307692307692305</v>
      </c>
      <c r="S135" s="65">
        <v>0.83</v>
      </c>
      <c r="U135" s="17">
        <v>1</v>
      </c>
      <c r="V135" s="49">
        <v>-31.3</v>
      </c>
      <c r="W135" s="49">
        <v>31</v>
      </c>
      <c r="X135" s="22">
        <f>-V135/W135</f>
        <v>1.0096774193548388</v>
      </c>
      <c r="Y135" s="65">
        <v>0.83</v>
      </c>
    </row>
    <row r="136" spans="1:25" x14ac:dyDescent="0.25">
      <c r="A136" s="49">
        <f t="shared" ref="A136:A144" si="20">-A147</f>
        <v>-55</v>
      </c>
      <c r="C136" s="17">
        <v>2</v>
      </c>
      <c r="D136" s="49">
        <v>-55</v>
      </c>
      <c r="E136" s="49">
        <v>66.2</v>
      </c>
      <c r="F136" s="22">
        <f t="shared" si="18"/>
        <v>0.83081570996978849</v>
      </c>
      <c r="G136" s="65">
        <v>0.73</v>
      </c>
      <c r="I136" s="17">
        <v>2</v>
      </c>
      <c r="J136" s="49">
        <v>-55</v>
      </c>
      <c r="K136" s="49">
        <v>63.5</v>
      </c>
      <c r="L136" s="22">
        <f t="shared" si="19"/>
        <v>0.86614173228346458</v>
      </c>
      <c r="M136" s="65">
        <v>0.73</v>
      </c>
      <c r="O136" s="51">
        <v>2</v>
      </c>
      <c r="P136" s="52">
        <v>-55</v>
      </c>
      <c r="Q136" s="52">
        <v>58.8</v>
      </c>
      <c r="R136" s="53">
        <f t="shared" ref="R136:R144" si="21">-P136/Q136</f>
        <v>0.93537414965986398</v>
      </c>
      <c r="S136" s="65">
        <v>0.73</v>
      </c>
      <c r="U136" s="24">
        <v>2</v>
      </c>
      <c r="V136" s="50">
        <v>-55</v>
      </c>
      <c r="W136" s="50">
        <v>55</v>
      </c>
      <c r="X136" s="26">
        <f t="shared" ref="X136:X144" si="22">-V136/W136</f>
        <v>1</v>
      </c>
      <c r="Y136" s="65">
        <v>0.73</v>
      </c>
    </row>
    <row r="137" spans="1:25" x14ac:dyDescent="0.25">
      <c r="A137" s="49">
        <f t="shared" si="20"/>
        <v>-75.3</v>
      </c>
      <c r="C137" s="17">
        <v>3</v>
      </c>
      <c r="D137" s="49">
        <v>-75.3</v>
      </c>
      <c r="E137" s="49">
        <v>86.8</v>
      </c>
      <c r="F137" s="22">
        <f t="shared" si="18"/>
        <v>0.86751152073732718</v>
      </c>
      <c r="G137" s="65">
        <v>0.67</v>
      </c>
      <c r="I137" s="17">
        <v>3</v>
      </c>
      <c r="J137" s="49">
        <v>-76.8</v>
      </c>
      <c r="K137" s="49">
        <v>83.1</v>
      </c>
      <c r="L137" s="22">
        <f t="shared" si="19"/>
        <v>0.92418772563176899</v>
      </c>
      <c r="M137" s="65">
        <v>0.68</v>
      </c>
      <c r="O137" s="24">
        <v>3</v>
      </c>
      <c r="P137" s="50">
        <v>-76.8</v>
      </c>
      <c r="Q137" s="50">
        <v>76.7</v>
      </c>
      <c r="R137" s="26">
        <f t="shared" si="21"/>
        <v>1.0013037809647978</v>
      </c>
      <c r="S137" s="65">
        <v>0.68</v>
      </c>
      <c r="U137" s="17">
        <v>3</v>
      </c>
      <c r="V137" s="49">
        <v>-76.8</v>
      </c>
      <c r="W137" s="49">
        <v>71</v>
      </c>
      <c r="X137" s="22">
        <f t="shared" si="22"/>
        <v>1.0816901408450703</v>
      </c>
      <c r="Y137" s="65">
        <v>0.68</v>
      </c>
    </row>
    <row r="138" spans="1:25" x14ac:dyDescent="0.25">
      <c r="A138" s="49">
        <f t="shared" si="20"/>
        <v>-95.8</v>
      </c>
      <c r="C138" s="17">
        <v>4</v>
      </c>
      <c r="D138" s="49">
        <v>-95.8</v>
      </c>
      <c r="E138" s="49">
        <v>103</v>
      </c>
      <c r="F138" s="22">
        <f t="shared" si="18"/>
        <v>0.93009708737864072</v>
      </c>
      <c r="G138" s="65">
        <v>0.64</v>
      </c>
      <c r="I138" s="24">
        <v>4</v>
      </c>
      <c r="J138" s="50">
        <v>-98.8</v>
      </c>
      <c r="K138" s="50">
        <v>98.6</v>
      </c>
      <c r="L138" s="26">
        <f t="shared" si="19"/>
        <v>1.002028397565923</v>
      </c>
      <c r="M138" s="65">
        <v>0.66</v>
      </c>
      <c r="O138" s="51">
        <v>4</v>
      </c>
      <c r="P138" s="52">
        <v>-98.8</v>
      </c>
      <c r="Q138" s="52">
        <v>90.8</v>
      </c>
      <c r="R138" s="53">
        <f t="shared" si="21"/>
        <v>1.0881057268722467</v>
      </c>
      <c r="S138" s="65">
        <v>0.66</v>
      </c>
      <c r="U138" s="17">
        <v>4</v>
      </c>
      <c r="V138" s="49">
        <v>-98.8</v>
      </c>
      <c r="W138" s="49">
        <v>84</v>
      </c>
      <c r="X138" s="22">
        <f t="shared" si="22"/>
        <v>1.1761904761904762</v>
      </c>
      <c r="Y138" s="65">
        <v>0.66</v>
      </c>
    </row>
    <row r="139" spans="1:25" x14ac:dyDescent="0.25">
      <c r="A139" s="49">
        <f t="shared" si="20"/>
        <v>-116.4</v>
      </c>
      <c r="C139" s="24">
        <v>5</v>
      </c>
      <c r="D139" s="50">
        <v>-116.4</v>
      </c>
      <c r="E139" s="50">
        <v>116.1</v>
      </c>
      <c r="F139" s="26">
        <f t="shared" si="18"/>
        <v>1.0025839793281655</v>
      </c>
      <c r="G139" s="65">
        <v>0.62</v>
      </c>
      <c r="I139" s="51">
        <v>5</v>
      </c>
      <c r="J139" s="52">
        <v>-120.9</v>
      </c>
      <c r="K139" s="52">
        <v>111</v>
      </c>
      <c r="L139" s="53">
        <f t="shared" si="19"/>
        <v>1.0891891891891892</v>
      </c>
      <c r="M139" s="65">
        <v>0.64</v>
      </c>
      <c r="O139" s="51">
        <v>5</v>
      </c>
      <c r="P139" s="52">
        <v>-120.9</v>
      </c>
      <c r="Q139" s="52">
        <v>102.1</v>
      </c>
      <c r="R139" s="53">
        <f t="shared" si="21"/>
        <v>1.1841332027424096</v>
      </c>
      <c r="S139" s="65">
        <v>0.64</v>
      </c>
      <c r="U139" s="51">
        <v>5</v>
      </c>
      <c r="V139" s="52">
        <v>-120.9</v>
      </c>
      <c r="W139" s="52">
        <v>94</v>
      </c>
      <c r="X139" s="22">
        <f t="shared" si="22"/>
        <v>1.2861702127659576</v>
      </c>
      <c r="Y139" s="65">
        <v>0.64</v>
      </c>
    </row>
    <row r="140" spans="1:25" x14ac:dyDescent="0.25">
      <c r="A140" s="49">
        <f t="shared" si="20"/>
        <v>-222.1</v>
      </c>
      <c r="C140" s="17">
        <v>10</v>
      </c>
      <c r="D140" s="49">
        <v>-222.1</v>
      </c>
      <c r="E140" s="49">
        <v>179.7</v>
      </c>
      <c r="F140" s="22">
        <f t="shared" si="18"/>
        <v>1.2359488035614914</v>
      </c>
      <c r="G140" s="65">
        <v>0.59</v>
      </c>
      <c r="I140" s="17">
        <v>10</v>
      </c>
      <c r="J140" s="49">
        <v>-234.1</v>
      </c>
      <c r="K140" s="49">
        <v>171.5</v>
      </c>
      <c r="L140" s="22">
        <f t="shared" si="19"/>
        <v>1.3650145772594753</v>
      </c>
      <c r="M140" s="65">
        <v>0.62</v>
      </c>
      <c r="O140" s="17">
        <v>10</v>
      </c>
      <c r="P140" s="49">
        <v>-234.1</v>
      </c>
      <c r="Q140" s="49">
        <v>157</v>
      </c>
      <c r="R140" s="22">
        <f t="shared" si="21"/>
        <v>1.4910828025477707</v>
      </c>
      <c r="S140" s="65">
        <v>0.62</v>
      </c>
      <c r="U140" s="51">
        <v>10</v>
      </c>
      <c r="V140" s="52">
        <v>-234.1</v>
      </c>
      <c r="W140" s="52">
        <v>145</v>
      </c>
      <c r="X140" s="22">
        <f t="shared" si="22"/>
        <v>1.6144827586206896</v>
      </c>
      <c r="Y140" s="65">
        <v>0.62</v>
      </c>
    </row>
    <row r="141" spans="1:25" x14ac:dyDescent="0.25">
      <c r="A141" s="49">
        <f t="shared" si="20"/>
        <v>-445.4</v>
      </c>
      <c r="C141" s="17">
        <v>20</v>
      </c>
      <c r="D141" s="49">
        <v>-445.4</v>
      </c>
      <c r="E141" s="49">
        <v>301.3</v>
      </c>
      <c r="F141" s="22">
        <f t="shared" si="18"/>
        <v>1.4782608695652173</v>
      </c>
      <c r="G141" s="65">
        <v>0.59</v>
      </c>
      <c r="I141" s="17">
        <v>20</v>
      </c>
      <c r="J141" s="49">
        <v>-472.4</v>
      </c>
      <c r="K141" s="49">
        <v>287.10000000000002</v>
      </c>
      <c r="L141" s="22">
        <f>-J141/K141</f>
        <v>1.6454197143852314</v>
      </c>
      <c r="M141" s="65">
        <v>0.63</v>
      </c>
      <c r="O141" s="17">
        <v>20</v>
      </c>
      <c r="P141" s="49">
        <v>-472.4</v>
      </c>
      <c r="Q141" s="49">
        <v>262.3</v>
      </c>
      <c r="R141" s="22">
        <f t="shared" si="21"/>
        <v>1.8009912314144108</v>
      </c>
      <c r="S141" s="65">
        <v>0.63</v>
      </c>
      <c r="U141" s="17">
        <v>20</v>
      </c>
      <c r="V141" s="49">
        <v>-472.4</v>
      </c>
      <c r="W141" s="49">
        <v>241</v>
      </c>
      <c r="X141" s="22">
        <f t="shared" si="22"/>
        <v>1.9601659751037344</v>
      </c>
      <c r="Y141" s="65">
        <v>0.63</v>
      </c>
    </row>
    <row r="142" spans="1:25" x14ac:dyDescent="0.25">
      <c r="A142" s="49">
        <f t="shared" si="20"/>
        <v>-684.7</v>
      </c>
      <c r="C142" s="17">
        <v>30</v>
      </c>
      <c r="D142" s="49">
        <v>-684.7</v>
      </c>
      <c r="E142" s="49">
        <v>399</v>
      </c>
      <c r="F142" s="22">
        <f t="shared" si="18"/>
        <v>1.7160401002506267</v>
      </c>
      <c r="G142" s="65">
        <v>0.61</v>
      </c>
      <c r="I142" s="17">
        <v>30</v>
      </c>
      <c r="J142" s="49">
        <v>-726.7</v>
      </c>
      <c r="K142" s="49">
        <v>380</v>
      </c>
      <c r="L142" s="22">
        <f>-J142/K142</f>
        <v>1.9123684210526317</v>
      </c>
      <c r="M142" s="65">
        <v>0.64</v>
      </c>
      <c r="O142" s="17">
        <v>30</v>
      </c>
      <c r="P142" s="49">
        <v>-726.7</v>
      </c>
      <c r="Q142" s="49">
        <v>346.8</v>
      </c>
      <c r="R142" s="22">
        <f t="shared" si="21"/>
        <v>2.0954440599769319</v>
      </c>
      <c r="S142" s="65">
        <v>0.64</v>
      </c>
      <c r="U142" s="17">
        <v>30</v>
      </c>
      <c r="V142" s="49">
        <v>-726.7</v>
      </c>
      <c r="W142" s="49">
        <v>318</v>
      </c>
      <c r="X142" s="22">
        <f t="shared" si="22"/>
        <v>2.2852201257861635</v>
      </c>
      <c r="Y142" s="65">
        <v>0.64</v>
      </c>
    </row>
    <row r="143" spans="1:25" x14ac:dyDescent="0.25">
      <c r="A143" s="49">
        <f t="shared" si="20"/>
        <v>-940.1</v>
      </c>
      <c r="C143" s="17">
        <v>40</v>
      </c>
      <c r="D143" s="49">
        <v>-940.1</v>
      </c>
      <c r="E143" s="49">
        <v>489.3</v>
      </c>
      <c r="F143" s="22">
        <f t="shared" si="18"/>
        <v>1.9213161659513591</v>
      </c>
      <c r="G143" s="65">
        <v>0.62</v>
      </c>
      <c r="I143" s="17">
        <v>40</v>
      </c>
      <c r="J143" s="49">
        <v>-997.1</v>
      </c>
      <c r="K143" s="49">
        <v>465.9</v>
      </c>
      <c r="L143" s="22">
        <f>-J143/K143</f>
        <v>2.1401588323674612</v>
      </c>
      <c r="M143" s="65">
        <v>0.66</v>
      </c>
      <c r="O143" s="17">
        <v>40</v>
      </c>
      <c r="P143" s="49">
        <v>-997.1</v>
      </c>
      <c r="Q143" s="49">
        <v>425</v>
      </c>
      <c r="R143" s="22">
        <f t="shared" si="21"/>
        <v>2.3461176470588234</v>
      </c>
      <c r="S143" s="65">
        <v>0.66</v>
      </c>
      <c r="U143" s="17">
        <v>40</v>
      </c>
      <c r="V143" s="49">
        <v>-997.1</v>
      </c>
      <c r="W143" s="49">
        <v>390</v>
      </c>
      <c r="X143" s="22">
        <f t="shared" si="22"/>
        <v>2.5566666666666666</v>
      </c>
      <c r="Y143" s="65">
        <v>0.66</v>
      </c>
    </row>
    <row r="144" spans="1:25" x14ac:dyDescent="0.25">
      <c r="A144" s="49">
        <f t="shared" si="20"/>
        <v>-1211.5</v>
      </c>
      <c r="C144" s="17">
        <v>50</v>
      </c>
      <c r="D144" s="49">
        <v>-1211.5</v>
      </c>
      <c r="E144" s="49">
        <v>579.5</v>
      </c>
      <c r="F144" s="22">
        <f t="shared" si="18"/>
        <v>2.0905953408110438</v>
      </c>
      <c r="G144" s="65">
        <v>0.64</v>
      </c>
      <c r="I144" s="17">
        <v>50</v>
      </c>
      <c r="J144" s="49">
        <v>-1283.2</v>
      </c>
      <c r="K144" s="49">
        <v>551.79999999999995</v>
      </c>
      <c r="L144" s="22">
        <f>-J144/K144</f>
        <v>2.3254802464661113</v>
      </c>
      <c r="M144" s="65">
        <v>0.68</v>
      </c>
      <c r="O144" s="17">
        <v>50</v>
      </c>
      <c r="P144" s="49">
        <v>-1283.2</v>
      </c>
      <c r="Q144" s="49">
        <v>503.3</v>
      </c>
      <c r="R144" s="22">
        <f t="shared" si="21"/>
        <v>2.5495728193920129</v>
      </c>
      <c r="S144" s="65">
        <v>0.68</v>
      </c>
      <c r="U144" s="17">
        <v>50</v>
      </c>
      <c r="V144" s="49">
        <v>-1283.2</v>
      </c>
      <c r="W144" s="49">
        <v>462</v>
      </c>
      <c r="X144" s="22">
        <f t="shared" si="22"/>
        <v>2.7774891774891777</v>
      </c>
      <c r="Y144" s="65">
        <v>0.68</v>
      </c>
    </row>
    <row r="145" spans="1:25" x14ac:dyDescent="0.25">
      <c r="C145" s="6" t="s">
        <v>75</v>
      </c>
      <c r="I145" s="6" t="s">
        <v>134</v>
      </c>
      <c r="O145" s="6" t="s">
        <v>136</v>
      </c>
      <c r="U145" s="6" t="s">
        <v>135</v>
      </c>
    </row>
    <row r="146" spans="1:25" x14ac:dyDescent="0.25">
      <c r="A146" s="3">
        <v>31.3</v>
      </c>
      <c r="C146" t="s">
        <v>76</v>
      </c>
      <c r="I146" s="6" t="s">
        <v>130</v>
      </c>
      <c r="O146" s="6" t="s">
        <v>131</v>
      </c>
      <c r="U146" s="6" t="s">
        <v>77</v>
      </c>
    </row>
    <row r="147" spans="1:25" x14ac:dyDescent="0.25">
      <c r="A147" s="63">
        <v>55</v>
      </c>
      <c r="C147" s="6" t="s">
        <v>125</v>
      </c>
      <c r="I147" s="6" t="s">
        <v>125</v>
      </c>
      <c r="O147" s="6" t="s">
        <v>125</v>
      </c>
      <c r="U147" s="6" t="s">
        <v>125</v>
      </c>
    </row>
    <row r="148" spans="1:25" x14ac:dyDescent="0.25">
      <c r="A148" s="3">
        <v>75.3</v>
      </c>
    </row>
    <row r="149" spans="1:25" x14ac:dyDescent="0.25">
      <c r="A149" s="3">
        <v>95.8</v>
      </c>
      <c r="C149" s="6" t="s">
        <v>126</v>
      </c>
      <c r="I149" s="6" t="s">
        <v>127</v>
      </c>
      <c r="O149" s="6" t="s">
        <v>128</v>
      </c>
      <c r="U149" s="6" t="s">
        <v>129</v>
      </c>
    </row>
    <row r="150" spans="1:25" x14ac:dyDescent="0.25">
      <c r="A150" s="63">
        <v>116.4</v>
      </c>
      <c r="C150" s="21" t="s">
        <v>87</v>
      </c>
      <c r="D150" s="21" t="s">
        <v>88</v>
      </c>
      <c r="E150" s="21" t="s">
        <v>89</v>
      </c>
      <c r="F150" s="21" t="s">
        <v>90</v>
      </c>
      <c r="G150" s="64" t="s">
        <v>137</v>
      </c>
      <c r="I150" s="21" t="s">
        <v>87</v>
      </c>
      <c r="J150" s="21" t="s">
        <v>88</v>
      </c>
      <c r="K150" s="21" t="s">
        <v>89</v>
      </c>
      <c r="L150" s="21" t="s">
        <v>90</v>
      </c>
      <c r="M150" s="64" t="s">
        <v>137</v>
      </c>
      <c r="O150" s="21" t="s">
        <v>87</v>
      </c>
      <c r="P150" s="21" t="s">
        <v>88</v>
      </c>
      <c r="Q150" s="21" t="s">
        <v>89</v>
      </c>
      <c r="R150" s="21" t="s">
        <v>90</v>
      </c>
      <c r="S150" s="64" t="s">
        <v>137</v>
      </c>
      <c r="U150" s="21" t="s">
        <v>87</v>
      </c>
      <c r="V150" s="21" t="s">
        <v>88</v>
      </c>
      <c r="W150" s="21" t="s">
        <v>89</v>
      </c>
      <c r="X150" s="21" t="s">
        <v>90</v>
      </c>
      <c r="Y150" s="64" t="s">
        <v>137</v>
      </c>
    </row>
    <row r="151" spans="1:25" x14ac:dyDescent="0.25">
      <c r="A151" s="3">
        <v>222.1</v>
      </c>
      <c r="C151" s="17">
        <v>1</v>
      </c>
      <c r="D151" s="49">
        <v>-31.3</v>
      </c>
      <c r="E151" s="49">
        <v>37.4</v>
      </c>
      <c r="F151" s="22">
        <f t="shared" ref="F151:F160" si="23">-D151/E151</f>
        <v>0.83689839572192515</v>
      </c>
      <c r="G151" s="65">
        <v>0.83</v>
      </c>
      <c r="I151" s="17">
        <v>1</v>
      </c>
      <c r="J151" s="49">
        <v>-28.8</v>
      </c>
      <c r="K151" s="49">
        <v>34.799999999999997</v>
      </c>
      <c r="L151" s="22">
        <f t="shared" ref="L151:L156" si="24">-J151/K151</f>
        <v>0.82758620689655182</v>
      </c>
      <c r="M151" s="65">
        <v>0.77</v>
      </c>
      <c r="O151" s="17">
        <v>1</v>
      </c>
      <c r="P151" s="49">
        <v>-26.5</v>
      </c>
      <c r="Q151" s="49">
        <v>32.5</v>
      </c>
      <c r="R151" s="22">
        <f>-P151/Q151</f>
        <v>0.81538461538461537</v>
      </c>
      <c r="S151" s="65">
        <v>0.7</v>
      </c>
      <c r="U151" s="17">
        <v>1</v>
      </c>
      <c r="V151" s="49">
        <v>-24.4</v>
      </c>
      <c r="W151" s="49">
        <v>30.6</v>
      </c>
      <c r="X151" s="22">
        <f>-V151/W151</f>
        <v>0.79738562091503262</v>
      </c>
      <c r="Y151" s="65">
        <v>0.65</v>
      </c>
    </row>
    <row r="152" spans="1:25" x14ac:dyDescent="0.25">
      <c r="A152" s="3">
        <v>445.4</v>
      </c>
      <c r="C152" s="17">
        <v>2</v>
      </c>
      <c r="D152" s="49">
        <v>-55</v>
      </c>
      <c r="E152" s="49">
        <v>68.900000000000006</v>
      </c>
      <c r="F152" s="22">
        <f t="shared" si="23"/>
        <v>0.79825834542815666</v>
      </c>
      <c r="G152" s="65">
        <v>0.73</v>
      </c>
      <c r="I152" s="17">
        <v>2</v>
      </c>
      <c r="J152" s="49">
        <v>-50.6</v>
      </c>
      <c r="K152" s="49">
        <v>63.5</v>
      </c>
      <c r="L152" s="22">
        <f t="shared" si="24"/>
        <v>0.79685039370078747</v>
      </c>
      <c r="M152" s="65">
        <v>0.67</v>
      </c>
      <c r="O152" s="51">
        <v>2</v>
      </c>
      <c r="P152" s="49">
        <v>-46.5</v>
      </c>
      <c r="Q152" s="52">
        <v>58.8</v>
      </c>
      <c r="R152" s="53">
        <f t="shared" ref="R152:R160" si="25">-P152/Q152</f>
        <v>0.79081632653061229</v>
      </c>
      <c r="S152" s="65">
        <v>0.62</v>
      </c>
      <c r="U152" s="51">
        <v>2</v>
      </c>
      <c r="V152" s="49">
        <v>-42.9</v>
      </c>
      <c r="W152" s="52">
        <v>54.7</v>
      </c>
      <c r="X152" s="53">
        <f t="shared" ref="X152:X160" si="26">-V152/W152</f>
        <v>0.78427787934186466</v>
      </c>
      <c r="Y152" s="65">
        <v>0.56999999999999995</v>
      </c>
    </row>
    <row r="153" spans="1:25" x14ac:dyDescent="0.25">
      <c r="A153" s="3">
        <v>684.7</v>
      </c>
      <c r="C153" s="17">
        <v>3</v>
      </c>
      <c r="D153" s="49">
        <v>-76.8</v>
      </c>
      <c r="E153" s="49">
        <v>90.5</v>
      </c>
      <c r="F153" s="22">
        <f t="shared" si="23"/>
        <v>0.84861878453038675</v>
      </c>
      <c r="G153" s="65">
        <v>0.68</v>
      </c>
      <c r="I153" s="17">
        <v>3</v>
      </c>
      <c r="J153" s="49">
        <v>-70.7</v>
      </c>
      <c r="K153" s="49">
        <v>83.1</v>
      </c>
      <c r="L153" s="22">
        <f t="shared" si="24"/>
        <v>0.85078219013237077</v>
      </c>
      <c r="M153" s="65">
        <v>0.63</v>
      </c>
      <c r="O153" s="51">
        <v>3</v>
      </c>
      <c r="P153" s="52">
        <v>-64.900000000000006</v>
      </c>
      <c r="Q153" s="52">
        <v>76.7</v>
      </c>
      <c r="R153" s="53">
        <f t="shared" si="25"/>
        <v>0.84615384615384615</v>
      </c>
      <c r="S153" s="65">
        <v>0.56999999999999995</v>
      </c>
      <c r="U153" s="51">
        <v>3</v>
      </c>
      <c r="V153" s="52">
        <v>-59.9</v>
      </c>
      <c r="W153" s="52">
        <v>71.099999999999994</v>
      </c>
      <c r="X153" s="53">
        <f t="shared" si="26"/>
        <v>0.84247538677918432</v>
      </c>
      <c r="Y153" s="65">
        <v>0.53</v>
      </c>
    </row>
    <row r="154" spans="1:25" x14ac:dyDescent="0.25">
      <c r="A154" s="63">
        <v>940.1</v>
      </c>
      <c r="C154" s="17">
        <v>4</v>
      </c>
      <c r="D154" s="49">
        <v>-98.8</v>
      </c>
      <c r="E154" s="49">
        <v>107.4</v>
      </c>
      <c r="F154" s="22">
        <f t="shared" si="23"/>
        <v>0.91992551210428297</v>
      </c>
      <c r="G154" s="65">
        <v>0.66</v>
      </c>
      <c r="I154" s="51">
        <v>4</v>
      </c>
      <c r="J154" s="52">
        <v>-90.9</v>
      </c>
      <c r="K154" s="52">
        <v>98.6</v>
      </c>
      <c r="L154" s="53">
        <f t="shared" si="24"/>
        <v>0.92190669371196765</v>
      </c>
      <c r="M154" s="65">
        <v>0.6</v>
      </c>
      <c r="O154" s="51">
        <v>4</v>
      </c>
      <c r="P154" s="52">
        <v>-83.5</v>
      </c>
      <c r="Q154" s="52">
        <v>90.8</v>
      </c>
      <c r="R154" s="53">
        <f t="shared" si="25"/>
        <v>0.91960352422907488</v>
      </c>
      <c r="S154" s="65">
        <v>0.55000000000000004</v>
      </c>
      <c r="U154" s="51">
        <v>4</v>
      </c>
      <c r="V154" s="52">
        <v>-77.099999999999994</v>
      </c>
      <c r="W154" s="52">
        <v>84.2</v>
      </c>
      <c r="X154" s="53">
        <f t="shared" si="26"/>
        <v>0.91567695961995244</v>
      </c>
      <c r="Y154" s="65">
        <v>0.51</v>
      </c>
    </row>
    <row r="155" spans="1:25" x14ac:dyDescent="0.25">
      <c r="A155" s="3">
        <v>1211.5</v>
      </c>
      <c r="C155" s="24">
        <v>5</v>
      </c>
      <c r="D155" s="50">
        <v>-120.9</v>
      </c>
      <c r="E155" s="50">
        <v>121.2</v>
      </c>
      <c r="F155" s="26">
        <f t="shared" si="23"/>
        <v>0.99752475247524752</v>
      </c>
      <c r="G155" s="65">
        <v>0.64</v>
      </c>
      <c r="I155" s="24">
        <v>5</v>
      </c>
      <c r="J155" s="50">
        <v>-111.3</v>
      </c>
      <c r="K155" s="50">
        <v>111</v>
      </c>
      <c r="L155" s="26">
        <f t="shared" si="24"/>
        <v>1.0027027027027027</v>
      </c>
      <c r="M155" s="65">
        <v>0.59</v>
      </c>
      <c r="O155" s="24">
        <v>5</v>
      </c>
      <c r="P155" s="50">
        <v>-102.2</v>
      </c>
      <c r="Q155" s="50">
        <v>102.1</v>
      </c>
      <c r="R155" s="26">
        <f t="shared" si="25"/>
        <v>1.0009794319294809</v>
      </c>
      <c r="S155" s="65">
        <v>0.54</v>
      </c>
      <c r="U155" s="24">
        <v>5</v>
      </c>
      <c r="V155" s="50">
        <v>-94.3</v>
      </c>
      <c r="W155" s="50">
        <v>94.5</v>
      </c>
      <c r="X155" s="26">
        <f t="shared" si="26"/>
        <v>0.99788359788359782</v>
      </c>
      <c r="Y155" s="65">
        <v>0.5</v>
      </c>
    </row>
    <row r="156" spans="1:25" x14ac:dyDescent="0.25">
      <c r="C156" s="17">
        <v>10</v>
      </c>
      <c r="D156" s="49">
        <v>-234.1</v>
      </c>
      <c r="E156" s="49">
        <v>188</v>
      </c>
      <c r="F156" s="22">
        <f t="shared" si="23"/>
        <v>1.2452127659574468</v>
      </c>
      <c r="G156" s="65">
        <v>0.62</v>
      </c>
      <c r="I156" s="17">
        <v>10</v>
      </c>
      <c r="J156" s="49">
        <v>-215.4</v>
      </c>
      <c r="K156" s="49">
        <v>171.5</v>
      </c>
      <c r="L156" s="22">
        <f t="shared" si="24"/>
        <v>1.2559766763848397</v>
      </c>
      <c r="M156" s="65">
        <v>0.56999999999999995</v>
      </c>
      <c r="O156" s="17">
        <v>10</v>
      </c>
      <c r="P156" s="49">
        <v>-197.8</v>
      </c>
      <c r="Q156" s="49">
        <v>157</v>
      </c>
      <c r="R156" s="22">
        <f t="shared" si="25"/>
        <v>1.2598726114649683</v>
      </c>
      <c r="S156" s="65">
        <v>0.53</v>
      </c>
      <c r="U156" s="17">
        <v>10</v>
      </c>
      <c r="V156" s="49">
        <v>-182.6</v>
      </c>
      <c r="W156" s="49">
        <v>144.6</v>
      </c>
      <c r="X156" s="22">
        <f t="shared" si="26"/>
        <v>1.2627939142461964</v>
      </c>
      <c r="Y156" s="65">
        <v>0.48</v>
      </c>
    </row>
    <row r="157" spans="1:25" x14ac:dyDescent="0.25">
      <c r="C157" s="17">
        <v>20</v>
      </c>
      <c r="D157" s="49">
        <v>-472.4</v>
      </c>
      <c r="E157" s="49">
        <v>315.39999999999998</v>
      </c>
      <c r="F157" s="22">
        <f t="shared" si="23"/>
        <v>1.4977805960684845</v>
      </c>
      <c r="G157" s="65">
        <v>0.63</v>
      </c>
      <c r="I157" s="17">
        <v>20</v>
      </c>
      <c r="J157" s="49">
        <v>-434.6</v>
      </c>
      <c r="K157" s="49">
        <v>287.10000000000002</v>
      </c>
      <c r="L157" s="22">
        <f>-J157/K157</f>
        <v>1.513758272378962</v>
      </c>
      <c r="M157" s="65">
        <v>0.57999999999999996</v>
      </c>
      <c r="O157" s="17">
        <v>20</v>
      </c>
      <c r="P157" s="49">
        <v>-399.2</v>
      </c>
      <c r="Q157" s="49">
        <v>262.3</v>
      </c>
      <c r="R157" s="22">
        <f t="shared" si="25"/>
        <v>1.5219214639725505</v>
      </c>
      <c r="S157" s="65">
        <v>0.53</v>
      </c>
      <c r="U157" s="17">
        <v>20</v>
      </c>
      <c r="V157" s="49">
        <v>-368.5</v>
      </c>
      <c r="W157" s="49">
        <v>241.1</v>
      </c>
      <c r="X157" s="22">
        <f t="shared" si="26"/>
        <v>1.5284114475321444</v>
      </c>
      <c r="Y157" s="65">
        <v>0.49</v>
      </c>
    </row>
    <row r="158" spans="1:25" x14ac:dyDescent="0.25">
      <c r="C158" s="17">
        <v>30</v>
      </c>
      <c r="D158" s="49">
        <v>-726.7</v>
      </c>
      <c r="E158" s="49">
        <v>418</v>
      </c>
      <c r="F158" s="22">
        <f t="shared" si="23"/>
        <v>1.7385167464114835</v>
      </c>
      <c r="G158" s="65">
        <v>0.64</v>
      </c>
      <c r="I158" s="17">
        <v>30</v>
      </c>
      <c r="J158" s="49">
        <v>-668.5</v>
      </c>
      <c r="K158" s="49">
        <v>380</v>
      </c>
      <c r="L158" s="22">
        <f>-J158/K158</f>
        <v>1.7592105263157896</v>
      </c>
      <c r="M158" s="65">
        <v>0.59</v>
      </c>
      <c r="O158" s="17">
        <v>30</v>
      </c>
      <c r="P158" s="49">
        <v>-614</v>
      </c>
      <c r="Q158" s="49">
        <v>346.8</v>
      </c>
      <c r="R158" s="22">
        <f t="shared" si="25"/>
        <v>1.770472895040369</v>
      </c>
      <c r="S158" s="65">
        <v>0.54</v>
      </c>
      <c r="U158" s="17">
        <v>30</v>
      </c>
      <c r="V158" s="49">
        <v>-566.79999999999995</v>
      </c>
      <c r="W158" s="49">
        <v>318.39999999999998</v>
      </c>
      <c r="X158" s="22">
        <f t="shared" si="26"/>
        <v>1.7801507537688441</v>
      </c>
      <c r="Y158" s="65">
        <v>0.5</v>
      </c>
    </row>
    <row r="159" spans="1:25" x14ac:dyDescent="0.25">
      <c r="C159" s="17">
        <v>40</v>
      </c>
      <c r="D159" s="49">
        <v>-997.1</v>
      </c>
      <c r="E159" s="49">
        <v>512.6</v>
      </c>
      <c r="F159" s="22">
        <f t="shared" si="23"/>
        <v>1.945181428014046</v>
      </c>
      <c r="G159" s="65">
        <v>0.66</v>
      </c>
      <c r="I159" s="17">
        <v>40</v>
      </c>
      <c r="J159" s="49">
        <v>-917.3</v>
      </c>
      <c r="K159" s="49">
        <v>465.9</v>
      </c>
      <c r="L159" s="22">
        <f>-J159/K159</f>
        <v>1.9688774415110539</v>
      </c>
      <c r="M159" s="65">
        <v>0.61</v>
      </c>
      <c r="O159" s="17">
        <v>40</v>
      </c>
      <c r="P159" s="49">
        <v>-842.5</v>
      </c>
      <c r="Q159" s="49">
        <v>425</v>
      </c>
      <c r="R159" s="22">
        <f t="shared" si="25"/>
        <v>1.9823529411764707</v>
      </c>
      <c r="S159" s="65">
        <v>0.56000000000000005</v>
      </c>
      <c r="U159" s="17">
        <v>40</v>
      </c>
      <c r="V159" s="49">
        <v>-777.7</v>
      </c>
      <c r="W159" s="49">
        <v>389.9</v>
      </c>
      <c r="X159" s="22">
        <f t="shared" si="26"/>
        <v>1.9946140035906645</v>
      </c>
      <c r="Y159" s="65">
        <v>0.52</v>
      </c>
    </row>
    <row r="160" spans="1:25" x14ac:dyDescent="0.25">
      <c r="C160" s="17">
        <v>50</v>
      </c>
      <c r="D160" s="49">
        <v>-1283.2</v>
      </c>
      <c r="E160" s="49">
        <v>607.20000000000005</v>
      </c>
      <c r="F160" s="22">
        <f t="shared" si="23"/>
        <v>2.1133069828722002</v>
      </c>
      <c r="G160" s="65">
        <v>0.68</v>
      </c>
      <c r="I160" s="17">
        <v>50</v>
      </c>
      <c r="J160" s="49">
        <v>-1180.5999999999999</v>
      </c>
      <c r="K160" s="49">
        <v>551.79999999999995</v>
      </c>
      <c r="L160" s="22">
        <f>-J160/K160</f>
        <v>2.1395433127944909</v>
      </c>
      <c r="M160" s="65">
        <v>0.63</v>
      </c>
      <c r="O160" s="17">
        <v>50</v>
      </c>
      <c r="P160" s="49">
        <v>-1084.3</v>
      </c>
      <c r="Q160" s="49">
        <v>503.3</v>
      </c>
      <c r="R160" s="22">
        <f t="shared" si="25"/>
        <v>2.1543810848400553</v>
      </c>
      <c r="S160" s="65">
        <v>0.57999999999999996</v>
      </c>
      <c r="U160" s="17">
        <v>50</v>
      </c>
      <c r="V160" s="49">
        <v>-1000.9</v>
      </c>
      <c r="W160" s="49">
        <v>461.8</v>
      </c>
      <c r="X160" s="22">
        <f t="shared" si="26"/>
        <v>2.1673884798614118</v>
      </c>
      <c r="Y160" s="65">
        <v>0.53</v>
      </c>
    </row>
    <row r="163" spans="1:25" x14ac:dyDescent="0.25">
      <c r="C163" s="6" t="s">
        <v>75</v>
      </c>
      <c r="I163" s="6" t="s">
        <v>138</v>
      </c>
      <c r="O163" s="6" t="s">
        <v>136</v>
      </c>
      <c r="U163" s="6" t="s">
        <v>135</v>
      </c>
    </row>
    <row r="164" spans="1:25" x14ac:dyDescent="0.25">
      <c r="C164" t="s">
        <v>76</v>
      </c>
      <c r="I164" s="6" t="s">
        <v>130</v>
      </c>
      <c r="O164" s="6" t="s">
        <v>131</v>
      </c>
      <c r="U164" s="6" t="s">
        <v>77</v>
      </c>
    </row>
    <row r="165" spans="1:25" x14ac:dyDescent="0.25">
      <c r="C165" s="6" t="s">
        <v>125</v>
      </c>
      <c r="I165" s="6" t="s">
        <v>125</v>
      </c>
      <c r="O165" s="6" t="s">
        <v>125</v>
      </c>
      <c r="U165" s="6" t="s">
        <v>125</v>
      </c>
    </row>
    <row r="166" spans="1:25" x14ac:dyDescent="0.25">
      <c r="A166" s="67" t="s">
        <v>139</v>
      </c>
    </row>
    <row r="167" spans="1:25" x14ac:dyDescent="0.25">
      <c r="C167" s="6" t="s">
        <v>126</v>
      </c>
      <c r="I167" s="6" t="s">
        <v>127</v>
      </c>
      <c r="O167" s="6" t="s">
        <v>128</v>
      </c>
      <c r="U167" s="6" t="s">
        <v>129</v>
      </c>
    </row>
    <row r="168" spans="1:25" x14ac:dyDescent="0.25">
      <c r="C168" s="21" t="s">
        <v>87</v>
      </c>
      <c r="D168" s="21" t="s">
        <v>88</v>
      </c>
      <c r="E168" s="21" t="s">
        <v>89</v>
      </c>
      <c r="F168" s="21" t="s">
        <v>90</v>
      </c>
      <c r="G168" s="64" t="s">
        <v>137</v>
      </c>
      <c r="I168" s="21" t="s">
        <v>87</v>
      </c>
      <c r="J168" s="21" t="s">
        <v>88</v>
      </c>
      <c r="K168" s="21" t="s">
        <v>89</v>
      </c>
      <c r="L168" s="21" t="s">
        <v>90</v>
      </c>
      <c r="M168" s="64" t="s">
        <v>137</v>
      </c>
      <c r="O168" s="21" t="s">
        <v>87</v>
      </c>
      <c r="P168" s="21" t="s">
        <v>88</v>
      </c>
      <c r="Q168" s="21" t="s">
        <v>89</v>
      </c>
      <c r="R168" s="21" t="s">
        <v>90</v>
      </c>
      <c r="S168" s="64" t="s">
        <v>137</v>
      </c>
      <c r="U168" s="21" t="s">
        <v>87</v>
      </c>
      <c r="V168" s="21" t="s">
        <v>88</v>
      </c>
      <c r="W168" s="21" t="s">
        <v>89</v>
      </c>
      <c r="X168" s="21" t="s">
        <v>90</v>
      </c>
      <c r="Y168" s="64" t="s">
        <v>137</v>
      </c>
    </row>
    <row r="169" spans="1:25" x14ac:dyDescent="0.25">
      <c r="C169" s="17">
        <v>1</v>
      </c>
      <c r="D169" s="49">
        <v>-31.3</v>
      </c>
      <c r="E169" s="49">
        <v>37.4</v>
      </c>
      <c r="F169" s="22">
        <f t="shared" ref="F169:F178" si="27">-D169/E169</f>
        <v>0.83689839572192515</v>
      </c>
      <c r="G169" s="65">
        <v>0.83</v>
      </c>
      <c r="I169" s="17">
        <v>1</v>
      </c>
      <c r="J169" s="49">
        <f>-J181</f>
        <v>-31</v>
      </c>
      <c r="K169" s="49">
        <v>34.799999999999997</v>
      </c>
      <c r="L169" s="22">
        <f t="shared" ref="L169:L174" si="28">-J169/K169</f>
        <v>0.8908045977011495</v>
      </c>
      <c r="M169" s="65">
        <v>0.82</v>
      </c>
      <c r="O169" s="17">
        <v>1</v>
      </c>
      <c r="P169" s="49">
        <v>-26.5</v>
      </c>
      <c r="Q169" s="49">
        <v>32.5</v>
      </c>
      <c r="R169" s="22">
        <f>-P169/Q169</f>
        <v>0.81538461538461537</v>
      </c>
      <c r="S169" s="65">
        <v>0.7</v>
      </c>
      <c r="U169" s="17">
        <v>1</v>
      </c>
      <c r="V169" s="49">
        <v>-24.4</v>
      </c>
      <c r="W169" s="49">
        <v>30.6</v>
      </c>
      <c r="X169" s="22">
        <f>-V169/W169</f>
        <v>0.79738562091503262</v>
      </c>
      <c r="Y169" s="65">
        <v>0.65</v>
      </c>
    </row>
    <row r="170" spans="1:25" x14ac:dyDescent="0.25">
      <c r="C170" s="17">
        <v>2</v>
      </c>
      <c r="D170" s="49">
        <v>-55</v>
      </c>
      <c r="E170" s="49">
        <v>68.900000000000006</v>
      </c>
      <c r="F170" s="22">
        <f t="shared" si="27"/>
        <v>0.79825834542815666</v>
      </c>
      <c r="G170" s="65">
        <v>0.73</v>
      </c>
      <c r="I170" s="17">
        <v>2</v>
      </c>
      <c r="J170" s="49">
        <f t="shared" ref="J170:J178" si="29">-J182</f>
        <v>-53.9</v>
      </c>
      <c r="K170" s="49">
        <v>63.5</v>
      </c>
      <c r="L170" s="22">
        <f t="shared" si="28"/>
        <v>0.84881889763779528</v>
      </c>
      <c r="M170" s="65">
        <v>0.72</v>
      </c>
      <c r="O170" s="51">
        <v>2</v>
      </c>
      <c r="P170" s="49">
        <v>-46.5</v>
      </c>
      <c r="Q170" s="52">
        <v>58.8</v>
      </c>
      <c r="R170" s="53">
        <f t="shared" ref="R170:R178" si="30">-P170/Q170</f>
        <v>0.79081632653061229</v>
      </c>
      <c r="S170" s="65">
        <v>0.62</v>
      </c>
      <c r="U170" s="51">
        <v>2</v>
      </c>
      <c r="V170" s="49">
        <v>-42.9</v>
      </c>
      <c r="W170" s="52">
        <v>54.7</v>
      </c>
      <c r="X170" s="53">
        <f t="shared" ref="X170:X178" si="31">-V170/W170</f>
        <v>0.78427787934186466</v>
      </c>
      <c r="Y170" s="65">
        <v>0.56999999999999995</v>
      </c>
    </row>
    <row r="171" spans="1:25" x14ac:dyDescent="0.25">
      <c r="C171" s="17">
        <v>3</v>
      </c>
      <c r="D171" s="49">
        <v>-76.8</v>
      </c>
      <c r="E171" s="49">
        <v>90.5</v>
      </c>
      <c r="F171" s="22">
        <f t="shared" si="27"/>
        <v>0.84861878453038675</v>
      </c>
      <c r="G171" s="65">
        <v>0.68</v>
      </c>
      <c r="I171" s="17">
        <v>3</v>
      </c>
      <c r="J171" s="49">
        <f t="shared" si="29"/>
        <v>-73.2</v>
      </c>
      <c r="K171" s="49">
        <v>83.1</v>
      </c>
      <c r="L171" s="22">
        <f t="shared" si="28"/>
        <v>0.88086642599277987</v>
      </c>
      <c r="M171" s="65">
        <v>0.65</v>
      </c>
      <c r="O171" s="51">
        <v>3</v>
      </c>
      <c r="P171" s="52">
        <v>-64.900000000000006</v>
      </c>
      <c r="Q171" s="52">
        <v>76.7</v>
      </c>
      <c r="R171" s="53">
        <f t="shared" si="30"/>
        <v>0.84615384615384615</v>
      </c>
      <c r="S171" s="65">
        <v>0.56999999999999995</v>
      </c>
      <c r="U171" s="51">
        <v>3</v>
      </c>
      <c r="V171" s="52">
        <v>-59.9</v>
      </c>
      <c r="W171" s="52">
        <v>71.099999999999994</v>
      </c>
      <c r="X171" s="53">
        <f t="shared" si="31"/>
        <v>0.84247538677918432</v>
      </c>
      <c r="Y171" s="65">
        <v>0.53</v>
      </c>
    </row>
    <row r="172" spans="1:25" x14ac:dyDescent="0.25">
      <c r="C172" s="17">
        <v>4</v>
      </c>
      <c r="D172" s="49">
        <v>-98.8</v>
      </c>
      <c r="E172" s="49">
        <v>107.4</v>
      </c>
      <c r="F172" s="22">
        <f t="shared" si="27"/>
        <v>0.91992551210428297</v>
      </c>
      <c r="G172" s="65">
        <v>0.66</v>
      </c>
      <c r="I172" s="51">
        <v>4</v>
      </c>
      <c r="J172" s="49">
        <f t="shared" si="29"/>
        <v>-92.1</v>
      </c>
      <c r="K172" s="52">
        <v>98.6</v>
      </c>
      <c r="L172" s="53">
        <f t="shared" si="28"/>
        <v>0.93407707910750504</v>
      </c>
      <c r="M172" s="65">
        <v>0.61</v>
      </c>
      <c r="O172" s="51">
        <v>4</v>
      </c>
      <c r="P172" s="52">
        <v>-83.5</v>
      </c>
      <c r="Q172" s="52">
        <v>90.8</v>
      </c>
      <c r="R172" s="53">
        <f t="shared" si="30"/>
        <v>0.91960352422907488</v>
      </c>
      <c r="S172" s="65">
        <v>0.55000000000000004</v>
      </c>
      <c r="U172" s="51">
        <v>4</v>
      </c>
      <c r="V172" s="52">
        <v>-77.099999999999994</v>
      </c>
      <c r="W172" s="52">
        <v>84.2</v>
      </c>
      <c r="X172" s="53">
        <f t="shared" si="31"/>
        <v>0.91567695961995244</v>
      </c>
      <c r="Y172" s="65">
        <v>0.51</v>
      </c>
    </row>
    <row r="173" spans="1:25" x14ac:dyDescent="0.25">
      <c r="C173" s="24">
        <v>5</v>
      </c>
      <c r="D173" s="50">
        <v>-120.9</v>
      </c>
      <c r="E173" s="50">
        <v>121.2</v>
      </c>
      <c r="F173" s="26">
        <f t="shared" si="27"/>
        <v>0.99752475247524752</v>
      </c>
      <c r="G173" s="65">
        <v>0.64</v>
      </c>
      <c r="I173" s="24">
        <v>5</v>
      </c>
      <c r="J173" s="49">
        <f t="shared" si="29"/>
        <v>-111.1</v>
      </c>
      <c r="K173" s="50">
        <v>111</v>
      </c>
      <c r="L173" s="26">
        <f t="shared" si="28"/>
        <v>1.0009009009009009</v>
      </c>
      <c r="M173" s="65">
        <v>0.59</v>
      </c>
      <c r="O173" s="24">
        <v>5</v>
      </c>
      <c r="P173" s="50">
        <v>-102.2</v>
      </c>
      <c r="Q173" s="50">
        <v>102.1</v>
      </c>
      <c r="R173" s="26">
        <f t="shared" si="30"/>
        <v>1.0009794319294809</v>
      </c>
      <c r="S173" s="65">
        <v>0.54</v>
      </c>
      <c r="U173" s="24">
        <v>5</v>
      </c>
      <c r="V173" s="50">
        <v>-94.3</v>
      </c>
      <c r="W173" s="50">
        <v>94.5</v>
      </c>
      <c r="X173" s="26">
        <f t="shared" si="31"/>
        <v>0.99788359788359782</v>
      </c>
      <c r="Y173" s="65">
        <v>0.5</v>
      </c>
    </row>
    <row r="174" spans="1:25" x14ac:dyDescent="0.25">
      <c r="C174" s="17">
        <v>10</v>
      </c>
      <c r="D174" s="49">
        <v>-234.1</v>
      </c>
      <c r="E174" s="49">
        <v>188</v>
      </c>
      <c r="F174" s="22">
        <f t="shared" si="27"/>
        <v>1.2452127659574468</v>
      </c>
      <c r="G174" s="65">
        <v>0.62</v>
      </c>
      <c r="I174" s="17">
        <v>10</v>
      </c>
      <c r="J174" s="49">
        <f t="shared" si="29"/>
        <v>-208.9</v>
      </c>
      <c r="K174" s="49">
        <v>171.5</v>
      </c>
      <c r="L174" s="22">
        <f t="shared" si="28"/>
        <v>1.2180758017492712</v>
      </c>
      <c r="M174" s="65">
        <v>0.55000000000000004</v>
      </c>
      <c r="O174" s="17">
        <v>10</v>
      </c>
      <c r="P174" s="49">
        <v>-197.8</v>
      </c>
      <c r="Q174" s="49">
        <v>157</v>
      </c>
      <c r="R174" s="22">
        <f t="shared" si="30"/>
        <v>1.2598726114649683</v>
      </c>
      <c r="S174" s="65">
        <v>0.53</v>
      </c>
      <c r="U174" s="17">
        <v>10</v>
      </c>
      <c r="V174" s="49">
        <v>-182.6</v>
      </c>
      <c r="W174" s="49">
        <v>144.6</v>
      </c>
      <c r="X174" s="22">
        <f t="shared" si="31"/>
        <v>1.2627939142461964</v>
      </c>
      <c r="Y174" s="65">
        <v>0.48</v>
      </c>
    </row>
    <row r="175" spans="1:25" x14ac:dyDescent="0.25">
      <c r="C175" s="17">
        <v>20</v>
      </c>
      <c r="D175" s="49">
        <v>-472.4</v>
      </c>
      <c r="E175" s="49">
        <v>315.39999999999998</v>
      </c>
      <c r="F175" s="22">
        <f t="shared" si="27"/>
        <v>1.4977805960684845</v>
      </c>
      <c r="G175" s="65">
        <v>0.63</v>
      </c>
      <c r="I175" s="17">
        <v>20</v>
      </c>
      <c r="J175" s="49">
        <f t="shared" si="29"/>
        <v>-416.1</v>
      </c>
      <c r="K175" s="49">
        <v>287.10000000000002</v>
      </c>
      <c r="L175" s="22">
        <f>-J175/K175</f>
        <v>1.4493207941483803</v>
      </c>
      <c r="M175" s="65">
        <v>0.55000000000000004</v>
      </c>
      <c r="O175" s="17">
        <v>20</v>
      </c>
      <c r="P175" s="49">
        <v>-399.2</v>
      </c>
      <c r="Q175" s="49">
        <v>262.3</v>
      </c>
      <c r="R175" s="22">
        <f t="shared" si="30"/>
        <v>1.5219214639725505</v>
      </c>
      <c r="S175" s="65">
        <v>0.53</v>
      </c>
      <c r="U175" s="17">
        <v>20</v>
      </c>
      <c r="V175" s="49">
        <v>-368.5</v>
      </c>
      <c r="W175" s="49">
        <v>241.1</v>
      </c>
      <c r="X175" s="22">
        <f t="shared" si="31"/>
        <v>1.5284114475321444</v>
      </c>
      <c r="Y175" s="65">
        <v>0.49</v>
      </c>
    </row>
    <row r="176" spans="1:25" x14ac:dyDescent="0.25">
      <c r="C176" s="17">
        <v>30</v>
      </c>
      <c r="D176" s="49">
        <v>-726.7</v>
      </c>
      <c r="E176" s="49">
        <v>418</v>
      </c>
      <c r="F176" s="22">
        <f t="shared" si="27"/>
        <v>1.7385167464114835</v>
      </c>
      <c r="G176" s="65">
        <v>0.64</v>
      </c>
      <c r="I176" s="17">
        <v>30</v>
      </c>
      <c r="J176" s="49">
        <f t="shared" si="29"/>
        <v>-639.20000000000005</v>
      </c>
      <c r="K176" s="49">
        <v>380</v>
      </c>
      <c r="L176" s="22">
        <f>-J176/K176</f>
        <v>1.6821052631578948</v>
      </c>
      <c r="M176" s="65">
        <v>0.56999999999999995</v>
      </c>
      <c r="O176" s="17">
        <v>30</v>
      </c>
      <c r="P176" s="49">
        <v>-614</v>
      </c>
      <c r="Q176" s="49">
        <v>346.8</v>
      </c>
      <c r="R176" s="22">
        <f t="shared" si="30"/>
        <v>1.770472895040369</v>
      </c>
      <c r="S176" s="65">
        <v>0.54</v>
      </c>
      <c r="U176" s="17">
        <v>30</v>
      </c>
      <c r="V176" s="49">
        <v>-566.79999999999995</v>
      </c>
      <c r="W176" s="49">
        <v>318.39999999999998</v>
      </c>
      <c r="X176" s="22">
        <f t="shared" si="31"/>
        <v>1.7801507537688441</v>
      </c>
      <c r="Y176" s="65">
        <v>0.5</v>
      </c>
    </row>
    <row r="177" spans="3:25" x14ac:dyDescent="0.25">
      <c r="C177" s="17">
        <v>40</v>
      </c>
      <c r="D177" s="49">
        <v>-997.1</v>
      </c>
      <c r="E177" s="49">
        <v>512.6</v>
      </c>
      <c r="F177" s="22">
        <f t="shared" si="27"/>
        <v>1.945181428014046</v>
      </c>
      <c r="G177" s="65">
        <v>0.66</v>
      </c>
      <c r="I177" s="17">
        <v>40</v>
      </c>
      <c r="J177" s="49">
        <f t="shared" si="29"/>
        <v>-878.2</v>
      </c>
      <c r="K177" s="49">
        <v>465.9</v>
      </c>
      <c r="L177" s="22">
        <f>-J177/K177</f>
        <v>1.8849538527581027</v>
      </c>
      <c r="M177" s="65">
        <v>0.57999999999999996</v>
      </c>
      <c r="O177" s="17">
        <v>40</v>
      </c>
      <c r="P177" s="49">
        <v>-842.5</v>
      </c>
      <c r="Q177" s="49">
        <v>425</v>
      </c>
      <c r="R177" s="22">
        <f t="shared" si="30"/>
        <v>1.9823529411764707</v>
      </c>
      <c r="S177" s="65">
        <v>0.56000000000000005</v>
      </c>
      <c r="U177" s="17">
        <v>40</v>
      </c>
      <c r="V177" s="49">
        <v>-777.7</v>
      </c>
      <c r="W177" s="49">
        <v>389.9</v>
      </c>
      <c r="X177" s="22">
        <f t="shared" si="31"/>
        <v>1.9946140035906645</v>
      </c>
      <c r="Y177" s="65">
        <v>0.52</v>
      </c>
    </row>
    <row r="178" spans="3:25" x14ac:dyDescent="0.25">
      <c r="C178" s="17">
        <v>50</v>
      </c>
      <c r="D178" s="49">
        <v>-1283.2</v>
      </c>
      <c r="E178" s="49">
        <v>607.20000000000005</v>
      </c>
      <c r="F178" s="22">
        <f t="shared" si="27"/>
        <v>2.1133069828722002</v>
      </c>
      <c r="G178" s="65">
        <v>0.68</v>
      </c>
      <c r="I178" s="17">
        <v>50</v>
      </c>
      <c r="J178" s="49">
        <f t="shared" si="29"/>
        <v>-1134.7</v>
      </c>
      <c r="K178" s="49">
        <v>551.79999999999995</v>
      </c>
      <c r="L178" s="22">
        <f>-J178/K178</f>
        <v>2.0563610003624504</v>
      </c>
      <c r="M178" s="65">
        <v>0.6</v>
      </c>
      <c r="O178" s="17">
        <v>50</v>
      </c>
      <c r="P178" s="49">
        <v>-1084.3</v>
      </c>
      <c r="Q178" s="49">
        <v>503.3</v>
      </c>
      <c r="R178" s="22">
        <f t="shared" si="30"/>
        <v>2.1543810848400553</v>
      </c>
      <c r="S178" s="65">
        <v>0.57999999999999996</v>
      </c>
      <c r="U178" s="17">
        <v>50</v>
      </c>
      <c r="V178" s="49">
        <v>-1000.9</v>
      </c>
      <c r="W178" s="49">
        <v>461.8</v>
      </c>
      <c r="X178" s="22">
        <f t="shared" si="31"/>
        <v>2.1673884798614118</v>
      </c>
      <c r="Y178" s="65">
        <v>0.53</v>
      </c>
    </row>
    <row r="181" spans="3:25" x14ac:dyDescent="0.25">
      <c r="J181" s="3">
        <v>31</v>
      </c>
    </row>
    <row r="182" spans="3:25" x14ac:dyDescent="0.25">
      <c r="J182" s="63">
        <v>53.9</v>
      </c>
    </row>
    <row r="183" spans="3:25" x14ac:dyDescent="0.25">
      <c r="J183" s="3">
        <v>73.2</v>
      </c>
    </row>
    <row r="184" spans="3:25" x14ac:dyDescent="0.25">
      <c r="J184" s="3">
        <v>92.1</v>
      </c>
    </row>
    <row r="185" spans="3:25" x14ac:dyDescent="0.25">
      <c r="J185" s="63">
        <v>111.1</v>
      </c>
    </row>
    <row r="186" spans="3:25" x14ac:dyDescent="0.25">
      <c r="J186" s="3">
        <v>208.9</v>
      </c>
    </row>
    <row r="187" spans="3:25" x14ac:dyDescent="0.25">
      <c r="J187" s="3">
        <v>416.1</v>
      </c>
    </row>
    <row r="188" spans="3:25" x14ac:dyDescent="0.25">
      <c r="J188" s="3">
        <v>639.20000000000005</v>
      </c>
    </row>
    <row r="189" spans="3:25" x14ac:dyDescent="0.25">
      <c r="J189" s="63">
        <v>878.2</v>
      </c>
    </row>
    <row r="190" spans="3:25" x14ac:dyDescent="0.25">
      <c r="J190" s="3">
        <v>1134.7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9D7D0-F607-48E3-A42D-D0D793C8DF36}">
  <dimension ref="F6:L16"/>
  <sheetViews>
    <sheetView workbookViewId="0"/>
  </sheetViews>
  <sheetFormatPr defaultRowHeight="15" x14ac:dyDescent="0.25"/>
  <sheetData>
    <row r="6" spans="6:12" x14ac:dyDescent="0.25">
      <c r="F6" s="54">
        <v>1</v>
      </c>
      <c r="G6" s="54">
        <v>3</v>
      </c>
      <c r="H6" s="54"/>
      <c r="I6" s="55">
        <v>47</v>
      </c>
      <c r="J6" s="55">
        <v>34</v>
      </c>
      <c r="K6" s="56">
        <v>13</v>
      </c>
      <c r="L6" s="59">
        <v>1.38</v>
      </c>
    </row>
    <row r="7" spans="6:12" x14ac:dyDescent="0.25">
      <c r="F7" s="54">
        <v>2</v>
      </c>
      <c r="G7" s="54">
        <v>5</v>
      </c>
      <c r="H7" s="54"/>
      <c r="I7" s="57">
        <v>83</v>
      </c>
      <c r="J7" s="57">
        <v>72</v>
      </c>
      <c r="K7" s="58">
        <v>11</v>
      </c>
      <c r="L7" s="60">
        <v>1.1599999999999999</v>
      </c>
    </row>
    <row r="8" spans="6:12" x14ac:dyDescent="0.25">
      <c r="F8" s="54">
        <v>3</v>
      </c>
      <c r="G8" s="54">
        <v>8</v>
      </c>
      <c r="H8" s="54"/>
      <c r="I8" s="55">
        <v>107</v>
      </c>
      <c r="J8" s="55">
        <v>97</v>
      </c>
      <c r="K8" s="56">
        <v>10</v>
      </c>
      <c r="L8" s="59">
        <v>1.1000000000000001</v>
      </c>
    </row>
    <row r="9" spans="6:12" x14ac:dyDescent="0.25">
      <c r="F9" s="54">
        <v>4</v>
      </c>
      <c r="G9" s="54">
        <v>10</v>
      </c>
      <c r="H9" s="54">
        <v>0.25</v>
      </c>
      <c r="I9" s="55">
        <v>128</v>
      </c>
      <c r="J9" s="55">
        <v>119</v>
      </c>
      <c r="K9" s="56">
        <v>9</v>
      </c>
      <c r="L9" s="59">
        <v>1.07</v>
      </c>
    </row>
    <row r="10" spans="6:12" x14ac:dyDescent="0.25">
      <c r="F10" s="54">
        <v>5</v>
      </c>
      <c r="G10" s="54">
        <v>13</v>
      </c>
      <c r="H10" s="54"/>
      <c r="I10" s="57">
        <v>146</v>
      </c>
      <c r="J10" s="57">
        <v>139</v>
      </c>
      <c r="K10" s="58">
        <v>7</v>
      </c>
      <c r="L10" s="60">
        <v>1.05</v>
      </c>
    </row>
    <row r="11" spans="6:12" x14ac:dyDescent="0.25">
      <c r="F11" s="54">
        <v>10</v>
      </c>
      <c r="G11" s="54">
        <v>25</v>
      </c>
      <c r="H11" s="54">
        <v>0.6</v>
      </c>
      <c r="I11" s="55">
        <v>229</v>
      </c>
      <c r="J11" s="55">
        <v>221</v>
      </c>
      <c r="K11" s="56">
        <v>8</v>
      </c>
      <c r="L11" s="59">
        <v>1.04</v>
      </c>
    </row>
    <row r="12" spans="6:12" x14ac:dyDescent="0.25">
      <c r="F12" s="54">
        <v>20</v>
      </c>
      <c r="G12" s="54">
        <v>50</v>
      </c>
      <c r="H12" s="54">
        <v>1.3</v>
      </c>
      <c r="I12" s="55">
        <v>381</v>
      </c>
      <c r="J12" s="55">
        <v>370</v>
      </c>
      <c r="K12" s="56">
        <v>11</v>
      </c>
      <c r="L12" s="59">
        <v>1.03</v>
      </c>
    </row>
    <row r="13" spans="6:12" x14ac:dyDescent="0.25">
      <c r="F13" s="54">
        <v>30</v>
      </c>
      <c r="G13" s="54">
        <v>76</v>
      </c>
      <c r="H13" s="54">
        <v>1.9</v>
      </c>
      <c r="I13" s="55">
        <v>507</v>
      </c>
      <c r="J13" s="55">
        <v>497</v>
      </c>
      <c r="K13" s="56">
        <v>10</v>
      </c>
      <c r="L13" s="59">
        <v>1.02</v>
      </c>
    </row>
    <row r="14" spans="6:12" x14ac:dyDescent="0.25">
      <c r="F14" s="54">
        <v>40</v>
      </c>
      <c r="G14" s="54">
        <v>101</v>
      </c>
      <c r="H14" s="54">
        <v>2.5</v>
      </c>
      <c r="I14" s="55">
        <v>622</v>
      </c>
      <c r="J14" s="55">
        <v>610</v>
      </c>
      <c r="K14" s="56">
        <v>12</v>
      </c>
      <c r="L14" s="59">
        <v>1.02</v>
      </c>
    </row>
    <row r="15" spans="6:12" x14ac:dyDescent="0.25">
      <c r="F15" s="54">
        <v>50</v>
      </c>
      <c r="G15" s="54">
        <v>126</v>
      </c>
      <c r="H15" s="54">
        <v>3.2</v>
      </c>
      <c r="I15" s="57">
        <v>732</v>
      </c>
      <c r="J15" s="57">
        <v>720</v>
      </c>
      <c r="K15" s="58">
        <v>12</v>
      </c>
      <c r="L15" s="60">
        <v>1.02</v>
      </c>
    </row>
    <row r="16" spans="6:12" x14ac:dyDescent="0.25">
      <c r="L16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6D23-5B5B-4CCD-B142-0FF75095CD6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EFB-122B-4EA4-9328-481A743810EA}">
  <sheetPr transitionEvaluation="1" transitionEntry="1"/>
  <dimension ref="B2:S139"/>
  <sheetViews>
    <sheetView showGridLines="0" workbookViewId="0"/>
  </sheetViews>
  <sheetFormatPr defaultRowHeight="15" x14ac:dyDescent="0.25"/>
  <cols>
    <col min="4" max="4" width="9.140625" customWidth="1"/>
    <col min="5" max="5" width="15" customWidth="1"/>
    <col min="8" max="8" width="7.28515625" customWidth="1"/>
    <col min="9" max="9" width="9.5703125" customWidth="1"/>
    <col min="10" max="10" width="2.28515625" customWidth="1"/>
    <col min="11" max="20" width="7.28515625" customWidth="1"/>
  </cols>
  <sheetData>
    <row r="2" spans="2:19" x14ac:dyDescent="0.25">
      <c r="L2" t="s">
        <v>0</v>
      </c>
    </row>
    <row r="3" spans="2:19" x14ac:dyDescent="0.25">
      <c r="B3" t="s">
        <v>1</v>
      </c>
    </row>
    <row r="4" spans="2:19" x14ac:dyDescent="0.25">
      <c r="B4" t="s">
        <v>2</v>
      </c>
    </row>
    <row r="5" spans="2:19" x14ac:dyDescent="0.25">
      <c r="B5" t="s">
        <v>3</v>
      </c>
    </row>
    <row r="6" spans="2:19" x14ac:dyDescent="0.25">
      <c r="I6" s="29"/>
      <c r="J6" s="29"/>
      <c r="K6" s="29"/>
      <c r="L6" s="29"/>
      <c r="M6" s="29"/>
      <c r="N6" s="29"/>
      <c r="O6" s="29"/>
      <c r="P6" s="29" t="s">
        <v>0</v>
      </c>
      <c r="Q6" s="29"/>
      <c r="R6" s="29"/>
      <c r="S6" s="29"/>
    </row>
    <row r="7" spans="2:19" x14ac:dyDescent="0.25">
      <c r="I7" s="29"/>
      <c r="J7" s="29"/>
      <c r="K7" s="29"/>
      <c r="L7" s="29"/>
      <c r="M7" s="29"/>
      <c r="N7" s="29"/>
      <c r="O7" s="29"/>
      <c r="P7" s="29" t="s">
        <v>109</v>
      </c>
      <c r="Q7" s="29"/>
      <c r="R7" s="29"/>
      <c r="S7" s="29"/>
    </row>
    <row r="8" spans="2:19" x14ac:dyDescent="0.25">
      <c r="I8" s="43" t="s">
        <v>111</v>
      </c>
      <c r="J8" s="29"/>
      <c r="K8" s="37"/>
      <c r="L8" s="33"/>
      <c r="M8" s="33"/>
      <c r="N8" s="33"/>
      <c r="O8" s="33"/>
      <c r="P8" s="33"/>
      <c r="Q8" s="33"/>
      <c r="R8" s="33"/>
      <c r="S8" s="33"/>
    </row>
    <row r="9" spans="2:19" ht="25.5" x14ac:dyDescent="0.25">
      <c r="I9" s="37" t="s">
        <v>112</v>
      </c>
      <c r="J9" s="29"/>
      <c r="K9" s="43" t="s">
        <v>121</v>
      </c>
      <c r="L9" s="44" t="s">
        <v>113</v>
      </c>
      <c r="M9" s="44" t="s">
        <v>114</v>
      </c>
      <c r="N9" s="44" t="s">
        <v>115</v>
      </c>
      <c r="O9" s="44" t="s">
        <v>116</v>
      </c>
      <c r="P9" s="44" t="s">
        <v>117</v>
      </c>
      <c r="Q9" s="44" t="s">
        <v>118</v>
      </c>
      <c r="R9" s="44" t="s">
        <v>119</v>
      </c>
      <c r="S9" s="44" t="s">
        <v>120</v>
      </c>
    </row>
    <row r="10" spans="2:19" x14ac:dyDescent="0.25">
      <c r="C10" s="6" t="s">
        <v>50</v>
      </c>
      <c r="I10" s="37"/>
      <c r="J10" s="29"/>
      <c r="K10" s="45">
        <v>2</v>
      </c>
      <c r="L10" s="46">
        <v>3</v>
      </c>
      <c r="M10" s="46">
        <v>8</v>
      </c>
      <c r="N10" s="46">
        <v>17</v>
      </c>
      <c r="O10" s="46">
        <v>19</v>
      </c>
      <c r="P10" s="46">
        <v>33</v>
      </c>
      <c r="Q10" s="46">
        <v>28</v>
      </c>
      <c r="R10" s="46">
        <v>13</v>
      </c>
      <c r="S10" s="46">
        <v>5</v>
      </c>
    </row>
    <row r="11" spans="2:19" x14ac:dyDescent="0.25">
      <c r="C11" s="7">
        <f>138-11+1</f>
        <v>128</v>
      </c>
      <c r="I11" s="39">
        <v>1.8</v>
      </c>
      <c r="J11" s="29"/>
      <c r="K11" s="39">
        <v>1.8</v>
      </c>
      <c r="L11" s="29"/>
      <c r="M11" s="29"/>
      <c r="N11" s="30" t="s">
        <v>50</v>
      </c>
      <c r="O11" s="29"/>
      <c r="P11" s="29"/>
      <c r="R11" s="29"/>
      <c r="S11" s="29"/>
    </row>
    <row r="12" spans="2:19" x14ac:dyDescent="0.25">
      <c r="I12" s="39">
        <v>1.9</v>
      </c>
      <c r="J12" s="29"/>
      <c r="K12" s="39">
        <v>1.9</v>
      </c>
      <c r="L12" s="29"/>
      <c r="M12" s="29"/>
      <c r="N12" s="35">
        <f>138-11+1</f>
        <v>128</v>
      </c>
      <c r="O12" s="29"/>
      <c r="P12" s="29"/>
      <c r="R12" s="29"/>
      <c r="S12" s="29"/>
    </row>
    <row r="13" spans="2:19" x14ac:dyDescent="0.25">
      <c r="C13" s="6" t="s">
        <v>49</v>
      </c>
      <c r="I13" s="39">
        <v>2.1</v>
      </c>
      <c r="J13" s="29"/>
      <c r="K13" s="29"/>
      <c r="L13" s="39">
        <v>2.1</v>
      </c>
      <c r="M13" s="29"/>
      <c r="N13" s="30" t="s">
        <v>122</v>
      </c>
      <c r="O13" s="29"/>
      <c r="P13" s="29"/>
      <c r="R13" s="29"/>
      <c r="S13" s="29"/>
    </row>
    <row r="14" spans="2:19" x14ac:dyDescent="0.25">
      <c r="C14" s="7">
        <v>6.3</v>
      </c>
      <c r="D14" t="s">
        <v>48</v>
      </c>
      <c r="I14" s="39">
        <v>2.2000000000000002</v>
      </c>
      <c r="J14" s="29"/>
      <c r="K14" s="29"/>
      <c r="L14" s="39">
        <v>2.2000000000000002</v>
      </c>
      <c r="M14" s="29"/>
      <c r="N14" s="35">
        <v>6.3</v>
      </c>
      <c r="O14" s="29" t="s">
        <v>48</v>
      </c>
      <c r="P14" s="29"/>
      <c r="R14" s="29"/>
      <c r="S14" s="29"/>
    </row>
    <row r="15" spans="2:19" x14ac:dyDescent="0.25">
      <c r="I15" s="39">
        <v>2.8</v>
      </c>
      <c r="J15" s="29"/>
      <c r="K15" s="29"/>
      <c r="L15" s="39">
        <v>2.8</v>
      </c>
      <c r="M15" s="29"/>
      <c r="N15" s="29"/>
      <c r="R15" s="29"/>
      <c r="S15" s="29"/>
    </row>
    <row r="16" spans="2:19" x14ac:dyDescent="0.25">
      <c r="C16" t="s">
        <v>51</v>
      </c>
      <c r="I16" s="39">
        <v>3.1</v>
      </c>
      <c r="J16" s="29"/>
      <c r="K16" s="29"/>
      <c r="L16" s="29"/>
      <c r="M16" s="39">
        <v>3.1</v>
      </c>
      <c r="N16" s="29"/>
      <c r="O16" s="29"/>
      <c r="P16" s="29"/>
      <c r="Q16" s="29"/>
      <c r="R16" s="29"/>
      <c r="S16" s="29"/>
    </row>
    <row r="17" spans="4:19" x14ac:dyDescent="0.25">
      <c r="D17" s="14" t="s">
        <v>53</v>
      </c>
      <c r="E17" s="15" t="s">
        <v>52</v>
      </c>
      <c r="I17" s="39">
        <v>3.2</v>
      </c>
      <c r="J17" s="29"/>
      <c r="K17" s="29"/>
      <c r="L17" s="29"/>
      <c r="M17" s="39">
        <v>3.2</v>
      </c>
      <c r="N17" s="29"/>
      <c r="O17" s="29"/>
      <c r="P17" s="29"/>
      <c r="Q17" s="29"/>
      <c r="R17" s="29"/>
      <c r="S17" s="29"/>
    </row>
    <row r="18" spans="4:19" x14ac:dyDescent="0.25">
      <c r="D18" s="13">
        <v>2</v>
      </c>
      <c r="E18" t="s">
        <v>39</v>
      </c>
      <c r="I18" s="39">
        <v>3.5</v>
      </c>
      <c r="J18" s="29"/>
      <c r="K18" s="29"/>
      <c r="L18" s="29"/>
      <c r="M18" s="39">
        <v>3.5</v>
      </c>
      <c r="N18" s="29"/>
      <c r="O18" s="29"/>
      <c r="P18" s="29"/>
      <c r="Q18" s="29"/>
      <c r="R18" s="29"/>
      <c r="S18" s="29"/>
    </row>
    <row r="19" spans="4:19" x14ac:dyDescent="0.25">
      <c r="D19" s="13">
        <v>3</v>
      </c>
      <c r="E19" t="s">
        <v>41</v>
      </c>
      <c r="I19" s="39">
        <v>3.8</v>
      </c>
      <c r="J19" s="29"/>
      <c r="K19" s="29"/>
      <c r="L19" s="29"/>
      <c r="M19" s="39">
        <v>3.8</v>
      </c>
      <c r="N19" s="29"/>
      <c r="O19" s="29"/>
      <c r="P19" s="29"/>
      <c r="Q19" s="29"/>
      <c r="R19" s="29"/>
      <c r="S19" s="29"/>
    </row>
    <row r="20" spans="4:19" x14ac:dyDescent="0.25">
      <c r="D20" s="13">
        <v>8</v>
      </c>
      <c r="E20" t="s">
        <v>42</v>
      </c>
      <c r="I20" s="39">
        <v>3.9</v>
      </c>
      <c r="J20" s="29"/>
      <c r="K20" s="29"/>
      <c r="L20" s="29"/>
      <c r="M20" s="39">
        <v>3.9</v>
      </c>
      <c r="N20" s="29"/>
      <c r="O20" s="29"/>
      <c r="P20" s="29"/>
      <c r="Q20" s="29"/>
      <c r="R20" s="29"/>
      <c r="S20" s="29"/>
    </row>
    <row r="21" spans="4:19" x14ac:dyDescent="0.25">
      <c r="D21" s="13">
        <v>17</v>
      </c>
      <c r="E21" t="s">
        <v>43</v>
      </c>
      <c r="I21" s="39">
        <v>3.9</v>
      </c>
      <c r="J21" s="29"/>
      <c r="K21" s="29"/>
      <c r="L21" s="29"/>
      <c r="M21" s="39">
        <v>3.9</v>
      </c>
      <c r="N21" s="29"/>
      <c r="O21" s="29"/>
      <c r="P21" s="29"/>
      <c r="Q21" s="29"/>
      <c r="R21" s="29"/>
      <c r="S21" s="29"/>
    </row>
    <row r="22" spans="4:19" x14ac:dyDescent="0.25">
      <c r="D22" s="13">
        <v>19</v>
      </c>
      <c r="E22" t="s">
        <v>44</v>
      </c>
      <c r="I22" s="39">
        <v>3.9</v>
      </c>
      <c r="J22" s="29"/>
      <c r="K22" s="29"/>
      <c r="L22" s="29"/>
      <c r="M22" s="39">
        <v>3.9</v>
      </c>
      <c r="N22" s="29"/>
      <c r="O22" s="29"/>
      <c r="P22" s="29"/>
      <c r="Q22" s="29"/>
      <c r="R22" s="29"/>
      <c r="S22" s="29"/>
    </row>
    <row r="23" spans="4:19" x14ac:dyDescent="0.25">
      <c r="D23" s="13">
        <v>33</v>
      </c>
      <c r="E23" t="s">
        <v>45</v>
      </c>
      <c r="I23" s="39">
        <v>4</v>
      </c>
      <c r="J23" s="29"/>
      <c r="K23" s="29"/>
      <c r="L23" s="29"/>
      <c r="M23" s="39">
        <v>4</v>
      </c>
      <c r="N23" s="29"/>
      <c r="O23" s="29"/>
      <c r="P23" s="29"/>
      <c r="Q23" s="29"/>
      <c r="R23" s="29"/>
      <c r="S23" s="29"/>
    </row>
    <row r="24" spans="4:19" x14ac:dyDescent="0.25">
      <c r="D24" s="13">
        <v>28</v>
      </c>
      <c r="E24" t="s">
        <v>40</v>
      </c>
      <c r="I24" s="39">
        <v>4.0999999999999996</v>
      </c>
      <c r="J24" s="29"/>
      <c r="K24" s="29"/>
      <c r="L24" s="29"/>
      <c r="M24" s="29"/>
      <c r="N24" s="39">
        <v>4.0999999999999996</v>
      </c>
      <c r="O24" s="29"/>
      <c r="P24" s="29"/>
      <c r="Q24" s="29"/>
      <c r="R24" s="29"/>
      <c r="S24" s="29"/>
    </row>
    <row r="25" spans="4:19" x14ac:dyDescent="0.25">
      <c r="D25" s="13">
        <v>13</v>
      </c>
      <c r="E25" t="s">
        <v>46</v>
      </c>
      <c r="I25" s="39">
        <v>4.3</v>
      </c>
      <c r="J25" s="29"/>
      <c r="K25" s="29"/>
      <c r="L25" s="29"/>
      <c r="M25" s="29"/>
      <c r="N25" s="39">
        <v>4.3</v>
      </c>
      <c r="O25" s="29"/>
      <c r="P25" s="29"/>
      <c r="Q25" s="29"/>
      <c r="R25" s="29"/>
      <c r="S25" s="29"/>
    </row>
    <row r="26" spans="4:19" x14ac:dyDescent="0.25">
      <c r="D26" s="13">
        <v>5</v>
      </c>
      <c r="E26" t="s">
        <v>47</v>
      </c>
      <c r="I26" s="39">
        <v>4.3</v>
      </c>
      <c r="J26" s="29"/>
      <c r="K26" s="29"/>
      <c r="L26" s="29"/>
      <c r="M26" s="29"/>
      <c r="N26" s="39">
        <v>4.3</v>
      </c>
      <c r="O26" s="29"/>
      <c r="P26" s="29"/>
      <c r="Q26" s="29"/>
      <c r="R26" s="29"/>
      <c r="S26" s="29"/>
    </row>
    <row r="27" spans="4:19" x14ac:dyDescent="0.25">
      <c r="I27" s="39">
        <v>4.3</v>
      </c>
      <c r="J27" s="29"/>
      <c r="K27" s="29"/>
      <c r="L27" s="29"/>
      <c r="M27" s="29"/>
      <c r="N27" s="39">
        <v>4.3</v>
      </c>
      <c r="O27" s="29"/>
      <c r="P27" s="29"/>
      <c r="Q27" s="29"/>
      <c r="R27" s="29"/>
      <c r="S27" s="29"/>
    </row>
    <row r="28" spans="4:19" x14ac:dyDescent="0.25">
      <c r="I28" s="39">
        <v>4.4000000000000004</v>
      </c>
      <c r="J28" s="29"/>
      <c r="K28" s="29"/>
      <c r="L28" s="29"/>
      <c r="M28" s="29"/>
      <c r="N28" s="39">
        <v>4.4000000000000004</v>
      </c>
      <c r="O28" s="29"/>
      <c r="P28" s="29"/>
      <c r="Q28" s="29"/>
      <c r="R28" s="29"/>
      <c r="S28" s="29"/>
    </row>
    <row r="29" spans="4:19" x14ac:dyDescent="0.25">
      <c r="I29" s="39">
        <v>4.4000000000000004</v>
      </c>
      <c r="J29" s="29"/>
      <c r="K29" s="29"/>
      <c r="L29" s="29"/>
      <c r="M29" s="29"/>
      <c r="N29" s="39">
        <v>4.4000000000000004</v>
      </c>
      <c r="O29" s="29"/>
      <c r="P29" s="29"/>
      <c r="Q29" s="29"/>
      <c r="R29" s="29"/>
      <c r="S29" s="29"/>
    </row>
    <row r="30" spans="4:19" x14ac:dyDescent="0.25">
      <c r="I30" s="39">
        <v>4.4000000000000004</v>
      </c>
      <c r="J30" s="29"/>
      <c r="K30" s="29"/>
      <c r="L30" s="29"/>
      <c r="M30" s="29"/>
      <c r="N30" s="39">
        <v>4.4000000000000004</v>
      </c>
      <c r="O30" s="29"/>
      <c r="P30" s="29"/>
      <c r="Q30" s="29"/>
      <c r="R30" s="29"/>
      <c r="S30" s="29"/>
    </row>
    <row r="31" spans="4:19" x14ac:dyDescent="0.25">
      <c r="I31" s="39">
        <v>4.4000000000000004</v>
      </c>
      <c r="J31" s="29"/>
      <c r="K31" s="29"/>
      <c r="L31" s="29"/>
      <c r="M31" s="29"/>
      <c r="N31" s="39">
        <v>4.4000000000000004</v>
      </c>
      <c r="O31" s="29"/>
      <c r="P31" s="29"/>
      <c r="Q31" s="29"/>
      <c r="R31" s="29"/>
      <c r="S31" s="29"/>
    </row>
    <row r="32" spans="4:19" x14ac:dyDescent="0.25">
      <c r="I32" s="39">
        <v>4.5</v>
      </c>
      <c r="J32" s="29"/>
      <c r="K32" s="29"/>
      <c r="L32" s="29"/>
      <c r="M32" s="29"/>
      <c r="N32" s="39">
        <v>4.5</v>
      </c>
      <c r="O32" s="29"/>
      <c r="P32" s="29"/>
      <c r="Q32" s="29"/>
      <c r="R32" s="29"/>
      <c r="S32" s="29"/>
    </row>
    <row r="33" spans="9:19" x14ac:dyDescent="0.25">
      <c r="I33" s="39">
        <v>4.5</v>
      </c>
      <c r="J33" s="29"/>
      <c r="K33" s="29"/>
      <c r="L33" s="29"/>
      <c r="M33" s="29"/>
      <c r="N33" s="39">
        <v>4.5</v>
      </c>
      <c r="O33" s="29"/>
      <c r="P33" s="29"/>
      <c r="Q33" s="29"/>
      <c r="R33" s="29"/>
      <c r="S33" s="29"/>
    </row>
    <row r="34" spans="9:19" x14ac:dyDescent="0.25">
      <c r="I34" s="39">
        <v>4.5999999999999996</v>
      </c>
      <c r="J34" s="29"/>
      <c r="K34" s="29"/>
      <c r="L34" s="29"/>
      <c r="M34" s="29"/>
      <c r="N34" s="39">
        <v>4.5999999999999996</v>
      </c>
      <c r="O34" s="29"/>
      <c r="P34" s="29"/>
      <c r="Q34" s="29"/>
      <c r="R34" s="29"/>
      <c r="S34" s="29"/>
    </row>
    <row r="35" spans="9:19" x14ac:dyDescent="0.25">
      <c r="I35" s="39">
        <v>4.7</v>
      </c>
      <c r="J35" s="29"/>
      <c r="K35" s="29"/>
      <c r="L35" s="29"/>
      <c r="M35" s="29"/>
      <c r="N35" s="39">
        <v>4.7</v>
      </c>
      <c r="O35" s="29"/>
      <c r="P35" s="29"/>
      <c r="Q35" s="29"/>
      <c r="R35" s="29"/>
      <c r="S35" s="29"/>
    </row>
    <row r="36" spans="9:19" x14ac:dyDescent="0.25">
      <c r="I36" s="39">
        <v>4.7</v>
      </c>
      <c r="J36" s="29"/>
      <c r="K36" s="29"/>
      <c r="L36" s="29"/>
      <c r="M36" s="29"/>
      <c r="N36" s="39">
        <v>4.7</v>
      </c>
      <c r="O36" s="29"/>
      <c r="P36" s="29"/>
      <c r="Q36" s="29"/>
      <c r="R36" s="29"/>
      <c r="S36" s="29"/>
    </row>
    <row r="37" spans="9:19" x14ac:dyDescent="0.25">
      <c r="I37" s="39">
        <v>4.8</v>
      </c>
      <c r="J37" s="29"/>
      <c r="K37" s="29"/>
      <c r="L37" s="29"/>
      <c r="M37" s="29"/>
      <c r="N37" s="39">
        <v>4.8</v>
      </c>
      <c r="O37" s="29"/>
      <c r="P37" s="29"/>
      <c r="Q37" s="29"/>
      <c r="R37" s="29"/>
      <c r="S37" s="29"/>
    </row>
    <row r="38" spans="9:19" x14ac:dyDescent="0.25">
      <c r="I38" s="39">
        <v>4.8</v>
      </c>
      <c r="J38" s="29"/>
      <c r="K38" s="29"/>
      <c r="L38" s="29"/>
      <c r="M38" s="29"/>
      <c r="N38" s="39">
        <v>4.8</v>
      </c>
      <c r="O38" s="29"/>
      <c r="P38" s="29"/>
      <c r="Q38" s="29"/>
      <c r="R38" s="29"/>
      <c r="S38" s="29"/>
    </row>
    <row r="39" spans="9:19" x14ac:dyDescent="0.25">
      <c r="I39" s="39">
        <v>4.8</v>
      </c>
      <c r="J39" s="29"/>
      <c r="K39" s="29"/>
      <c r="L39" s="29"/>
      <c r="M39" s="29"/>
      <c r="N39" s="39">
        <v>4.8</v>
      </c>
      <c r="O39" s="29"/>
      <c r="P39" s="29"/>
      <c r="Q39" s="29"/>
      <c r="R39" s="29"/>
      <c r="S39" s="29"/>
    </row>
    <row r="40" spans="9:19" x14ac:dyDescent="0.25">
      <c r="I40" s="39">
        <v>5</v>
      </c>
      <c r="J40" s="29"/>
      <c r="K40" s="29"/>
      <c r="L40" s="29"/>
      <c r="M40" s="29"/>
      <c r="N40" s="39">
        <v>5</v>
      </c>
      <c r="O40" s="29"/>
      <c r="P40" s="29"/>
      <c r="Q40" s="29"/>
      <c r="R40" s="29"/>
      <c r="S40" s="29"/>
    </row>
    <row r="41" spans="9:19" x14ac:dyDescent="0.25">
      <c r="I41" s="39">
        <v>5.2</v>
      </c>
      <c r="J41" s="29"/>
      <c r="K41" s="29"/>
      <c r="L41" s="29"/>
      <c r="M41" s="29"/>
      <c r="N41" s="29"/>
      <c r="O41" s="39">
        <v>5.2</v>
      </c>
      <c r="P41" s="29"/>
      <c r="Q41" s="29"/>
      <c r="R41" s="29"/>
      <c r="S41" s="29"/>
    </row>
    <row r="42" spans="9:19" x14ac:dyDescent="0.25">
      <c r="I42" s="39">
        <v>5.4</v>
      </c>
      <c r="J42" s="29"/>
      <c r="K42" s="29"/>
      <c r="L42" s="29"/>
      <c r="M42" s="29"/>
      <c r="N42" s="29"/>
      <c r="O42" s="39">
        <v>5.4</v>
      </c>
      <c r="P42" s="29"/>
      <c r="Q42" s="29"/>
      <c r="R42" s="29"/>
      <c r="S42" s="29"/>
    </row>
    <row r="43" spans="9:19" x14ac:dyDescent="0.25">
      <c r="I43" s="39">
        <v>5.4</v>
      </c>
      <c r="J43" s="29"/>
      <c r="K43" s="29"/>
      <c r="L43" s="29"/>
      <c r="M43" s="29"/>
      <c r="N43" s="29"/>
      <c r="O43" s="39">
        <v>5.4</v>
      </c>
      <c r="P43" s="29"/>
      <c r="Q43" s="29"/>
      <c r="R43" s="29"/>
      <c r="S43" s="29"/>
    </row>
    <row r="44" spans="9:19" x14ac:dyDescent="0.25">
      <c r="I44" s="39">
        <v>5.4</v>
      </c>
      <c r="J44" s="29"/>
      <c r="K44" s="29"/>
      <c r="L44" s="29"/>
      <c r="M44" s="29"/>
      <c r="N44" s="29"/>
      <c r="O44" s="39">
        <v>5.4</v>
      </c>
      <c r="P44" s="29"/>
      <c r="Q44" s="29"/>
      <c r="R44" s="29"/>
      <c r="S44" s="29"/>
    </row>
    <row r="45" spans="9:19" x14ac:dyDescent="0.25">
      <c r="I45" s="39">
        <v>5.5</v>
      </c>
      <c r="J45" s="29"/>
      <c r="K45" s="29"/>
      <c r="L45" s="29"/>
      <c r="M45" s="29"/>
      <c r="N45" s="29"/>
      <c r="O45" s="39">
        <v>5.5</v>
      </c>
      <c r="P45" s="29"/>
      <c r="Q45" s="29"/>
      <c r="R45" s="29"/>
      <c r="S45" s="29"/>
    </row>
    <row r="46" spans="9:19" x14ac:dyDescent="0.25">
      <c r="I46" s="39">
        <v>5.5</v>
      </c>
      <c r="J46" s="29"/>
      <c r="K46" s="29"/>
      <c r="L46" s="29"/>
      <c r="M46" s="29"/>
      <c r="N46" s="29"/>
      <c r="O46" s="39">
        <v>5.5</v>
      </c>
      <c r="P46" s="29"/>
      <c r="Q46" s="29"/>
      <c r="R46" s="29"/>
      <c r="S46" s="29"/>
    </row>
    <row r="47" spans="9:19" x14ac:dyDescent="0.25">
      <c r="I47" s="39">
        <v>5.5</v>
      </c>
      <c r="J47" s="29"/>
      <c r="K47" s="29"/>
      <c r="L47" s="29"/>
      <c r="M47" s="29"/>
      <c r="N47" s="29"/>
      <c r="O47" s="39">
        <v>5.5</v>
      </c>
      <c r="P47" s="29"/>
      <c r="Q47" s="29"/>
      <c r="R47" s="29"/>
      <c r="S47" s="29"/>
    </row>
    <row r="48" spans="9:19" x14ac:dyDescent="0.25">
      <c r="I48" s="39">
        <v>5.7</v>
      </c>
      <c r="J48" s="29"/>
      <c r="K48" s="29"/>
      <c r="L48" s="29"/>
      <c r="M48" s="29"/>
      <c r="N48" s="29"/>
      <c r="O48" s="39">
        <v>5.7</v>
      </c>
      <c r="P48" s="29"/>
      <c r="Q48" s="29"/>
      <c r="R48" s="29"/>
      <c r="S48" s="29"/>
    </row>
    <row r="49" spans="9:19" x14ac:dyDescent="0.25">
      <c r="I49" s="39">
        <v>5.7</v>
      </c>
      <c r="J49" s="29"/>
      <c r="K49" s="29"/>
      <c r="L49" s="29"/>
      <c r="M49" s="29"/>
      <c r="N49" s="29"/>
      <c r="O49" s="39">
        <v>5.7</v>
      </c>
      <c r="P49" s="29"/>
      <c r="Q49" s="29"/>
      <c r="R49" s="29"/>
      <c r="S49" s="29"/>
    </row>
    <row r="50" spans="9:19" x14ac:dyDescent="0.25">
      <c r="I50" s="39">
        <v>5.7</v>
      </c>
      <c r="J50" s="29"/>
      <c r="K50" s="29"/>
      <c r="L50" s="29"/>
      <c r="M50" s="29"/>
      <c r="N50" s="29"/>
      <c r="O50" s="39">
        <v>5.7</v>
      </c>
      <c r="P50" s="29"/>
      <c r="Q50" s="29"/>
      <c r="R50" s="29"/>
      <c r="S50" s="29"/>
    </row>
    <row r="51" spans="9:19" x14ac:dyDescent="0.25">
      <c r="I51" s="39">
        <v>5.7</v>
      </c>
      <c r="J51" s="29"/>
      <c r="K51" s="29"/>
      <c r="L51" s="29"/>
      <c r="M51" s="29"/>
      <c r="N51" s="29"/>
      <c r="O51" s="39">
        <v>5.7</v>
      </c>
      <c r="P51" s="29"/>
      <c r="Q51" s="29"/>
      <c r="R51" s="29"/>
      <c r="S51" s="29"/>
    </row>
    <row r="52" spans="9:19" x14ac:dyDescent="0.25">
      <c r="I52" s="39">
        <v>5.8</v>
      </c>
      <c r="J52" s="29"/>
      <c r="K52" s="29"/>
      <c r="L52" s="29"/>
      <c r="M52" s="29"/>
      <c r="N52" s="29"/>
      <c r="O52" s="39">
        <v>5.8</v>
      </c>
      <c r="P52" s="29"/>
      <c r="Q52" s="29"/>
      <c r="R52" s="29"/>
      <c r="S52" s="29"/>
    </row>
    <row r="53" spans="9:19" x14ac:dyDescent="0.25">
      <c r="I53" s="39">
        <v>5.8</v>
      </c>
      <c r="J53" s="29"/>
      <c r="K53" s="29"/>
      <c r="L53" s="29"/>
      <c r="M53" s="29"/>
      <c r="N53" s="29"/>
      <c r="O53" s="39">
        <v>5.8</v>
      </c>
      <c r="P53" s="29"/>
      <c r="Q53" s="29"/>
      <c r="R53" s="29"/>
      <c r="S53" s="29"/>
    </row>
    <row r="54" spans="9:19" x14ac:dyDescent="0.25">
      <c r="I54" s="39">
        <v>5.9</v>
      </c>
      <c r="J54" s="29"/>
      <c r="K54" s="29"/>
      <c r="L54" s="29"/>
      <c r="M54" s="29"/>
      <c r="N54" s="29"/>
      <c r="O54" s="39">
        <v>5.9</v>
      </c>
      <c r="P54" s="29"/>
      <c r="Q54" s="29"/>
      <c r="R54" s="29"/>
      <c r="S54" s="29"/>
    </row>
    <row r="55" spans="9:19" x14ac:dyDescent="0.25">
      <c r="I55" s="39">
        <v>5.9</v>
      </c>
      <c r="J55" s="29"/>
      <c r="K55" s="29"/>
      <c r="L55" s="29"/>
      <c r="M55" s="29"/>
      <c r="N55" s="29"/>
      <c r="O55" s="39">
        <v>5.9</v>
      </c>
      <c r="P55" s="29"/>
      <c r="Q55" s="29"/>
      <c r="R55" s="29"/>
      <c r="S55" s="29"/>
    </row>
    <row r="56" spans="9:19" x14ac:dyDescent="0.25">
      <c r="I56" s="39">
        <v>6</v>
      </c>
      <c r="J56" s="29"/>
      <c r="K56" s="29"/>
      <c r="L56" s="29"/>
      <c r="M56" s="29"/>
      <c r="N56" s="29"/>
      <c r="O56" s="39">
        <v>6</v>
      </c>
      <c r="P56" s="29"/>
      <c r="Q56" s="29"/>
      <c r="R56" s="29"/>
      <c r="S56" s="29"/>
    </row>
    <row r="57" spans="9:19" x14ac:dyDescent="0.25">
      <c r="I57" s="39">
        <v>6</v>
      </c>
      <c r="J57" s="29"/>
      <c r="K57" s="29"/>
      <c r="L57" s="29"/>
      <c r="M57" s="29"/>
      <c r="N57" s="29"/>
      <c r="O57" s="39">
        <v>6</v>
      </c>
      <c r="P57" s="29"/>
      <c r="Q57" s="29"/>
      <c r="R57" s="29"/>
      <c r="S57" s="29"/>
    </row>
    <row r="58" spans="9:19" x14ac:dyDescent="0.25">
      <c r="I58" s="39">
        <v>6</v>
      </c>
      <c r="J58" s="29"/>
      <c r="K58" s="29"/>
      <c r="L58" s="29"/>
      <c r="M58" s="29"/>
      <c r="N58" s="29"/>
      <c r="O58" s="39">
        <v>6</v>
      </c>
      <c r="P58" s="29"/>
      <c r="Q58" s="29"/>
      <c r="R58" s="29"/>
      <c r="S58" s="29"/>
    </row>
    <row r="59" spans="9:19" x14ac:dyDescent="0.25">
      <c r="I59" s="39">
        <v>6</v>
      </c>
      <c r="J59" s="29"/>
      <c r="K59" s="29"/>
      <c r="L59" s="29"/>
      <c r="M59" s="29"/>
      <c r="N59" s="29"/>
      <c r="O59" s="39">
        <v>6</v>
      </c>
      <c r="P59" s="29"/>
      <c r="Q59" s="29"/>
      <c r="R59" s="29"/>
      <c r="S59" s="29"/>
    </row>
    <row r="60" spans="9:19" x14ac:dyDescent="0.25">
      <c r="I60" s="39">
        <v>6.1</v>
      </c>
      <c r="J60" s="29"/>
      <c r="K60" s="29"/>
      <c r="L60" s="29"/>
      <c r="M60" s="29"/>
      <c r="N60" s="29"/>
      <c r="O60" s="29"/>
      <c r="P60" s="39">
        <v>6.1</v>
      </c>
      <c r="Q60" s="29"/>
      <c r="R60" s="29"/>
      <c r="S60" s="29"/>
    </row>
    <row r="61" spans="9:19" x14ac:dyDescent="0.25">
      <c r="I61" s="39">
        <v>6.1</v>
      </c>
      <c r="J61" s="29"/>
      <c r="K61" s="29"/>
      <c r="L61" s="29"/>
      <c r="M61" s="29"/>
      <c r="N61" s="29"/>
      <c r="O61" s="29"/>
      <c r="P61" s="39">
        <v>6.1</v>
      </c>
      <c r="Q61" s="29"/>
      <c r="R61" s="29"/>
      <c r="S61" s="29"/>
    </row>
    <row r="62" spans="9:19" x14ac:dyDescent="0.25">
      <c r="I62" s="39">
        <v>6.1</v>
      </c>
      <c r="J62" s="29"/>
      <c r="K62" s="29"/>
      <c r="L62" s="29"/>
      <c r="M62" s="29"/>
      <c r="N62" s="29"/>
      <c r="O62" s="29"/>
      <c r="P62" s="39">
        <v>6.1</v>
      </c>
      <c r="Q62" s="29"/>
      <c r="R62" s="29"/>
      <c r="S62" s="29"/>
    </row>
    <row r="63" spans="9:19" x14ac:dyDescent="0.25">
      <c r="I63" s="39">
        <v>6.1</v>
      </c>
      <c r="J63" s="29"/>
      <c r="K63" s="29"/>
      <c r="L63" s="29"/>
      <c r="M63" s="29"/>
      <c r="N63" s="29"/>
      <c r="O63" s="29"/>
      <c r="P63" s="39">
        <v>6.1</v>
      </c>
      <c r="Q63" s="29"/>
      <c r="R63" s="29"/>
      <c r="S63" s="29"/>
    </row>
    <row r="64" spans="9:19" x14ac:dyDescent="0.25">
      <c r="I64" s="39">
        <v>6.1</v>
      </c>
      <c r="J64" s="29"/>
      <c r="K64" s="29"/>
      <c r="L64" s="29"/>
      <c r="M64" s="29"/>
      <c r="N64" s="29"/>
      <c r="O64" s="29"/>
      <c r="P64" s="39">
        <v>6.1</v>
      </c>
      <c r="Q64" s="29"/>
      <c r="R64" s="29"/>
      <c r="S64" s="29"/>
    </row>
    <row r="65" spans="9:19" x14ac:dyDescent="0.25">
      <c r="I65" s="39">
        <v>6.1</v>
      </c>
      <c r="J65" s="29"/>
      <c r="K65" s="29"/>
      <c r="L65" s="29"/>
      <c r="M65" s="29"/>
      <c r="N65" s="29"/>
      <c r="O65" s="29"/>
      <c r="P65" s="39">
        <v>6.1</v>
      </c>
      <c r="Q65" s="29"/>
      <c r="R65" s="29"/>
      <c r="S65" s="29"/>
    </row>
    <row r="66" spans="9:19" x14ac:dyDescent="0.25">
      <c r="I66" s="39">
        <v>6.2</v>
      </c>
      <c r="J66" s="29"/>
      <c r="K66" s="29"/>
      <c r="L66" s="29"/>
      <c r="M66" s="29"/>
      <c r="N66" s="29"/>
      <c r="O66" s="29"/>
      <c r="P66" s="39">
        <v>6.2</v>
      </c>
      <c r="Q66" s="29"/>
      <c r="R66" s="29"/>
      <c r="S66" s="29"/>
    </row>
    <row r="67" spans="9:19" x14ac:dyDescent="0.25">
      <c r="I67" s="39">
        <v>6.2</v>
      </c>
      <c r="J67" s="29"/>
      <c r="K67" s="29"/>
      <c r="L67" s="29"/>
      <c r="M67" s="29"/>
      <c r="N67" s="29"/>
      <c r="O67" s="29"/>
      <c r="P67" s="39">
        <v>6.2</v>
      </c>
      <c r="Q67" s="29"/>
      <c r="R67" s="29"/>
      <c r="S67" s="29"/>
    </row>
    <row r="68" spans="9:19" x14ac:dyDescent="0.25">
      <c r="I68" s="39">
        <v>6.2</v>
      </c>
      <c r="J68" s="29"/>
      <c r="K68" s="29"/>
      <c r="L68" s="29"/>
      <c r="M68" s="29"/>
      <c r="N68" s="29"/>
      <c r="O68" s="29"/>
      <c r="P68" s="39">
        <v>6.2</v>
      </c>
      <c r="Q68" s="29"/>
      <c r="R68" s="29"/>
      <c r="S68" s="29"/>
    </row>
    <row r="69" spans="9:19" x14ac:dyDescent="0.25">
      <c r="I69" s="39">
        <v>6.2</v>
      </c>
      <c r="J69" s="29"/>
      <c r="K69" s="29"/>
      <c r="L69" s="29"/>
      <c r="M69" s="29"/>
      <c r="N69" s="29"/>
      <c r="O69" s="29"/>
      <c r="P69" s="39">
        <v>6.2</v>
      </c>
      <c r="Q69" s="29"/>
      <c r="R69" s="29"/>
      <c r="S69" s="29"/>
    </row>
    <row r="70" spans="9:19" x14ac:dyDescent="0.25">
      <c r="I70" s="39">
        <v>6.3</v>
      </c>
      <c r="J70" s="29"/>
      <c r="K70" s="29"/>
      <c r="L70" s="29"/>
      <c r="M70" s="29"/>
      <c r="N70" s="29"/>
      <c r="O70" s="29"/>
      <c r="P70" s="39">
        <v>6.3</v>
      </c>
      <c r="Q70" s="29"/>
      <c r="R70" s="29"/>
      <c r="S70" s="29"/>
    </row>
    <row r="71" spans="9:19" x14ac:dyDescent="0.25">
      <c r="I71" s="39">
        <v>6.3</v>
      </c>
      <c r="J71" s="29"/>
      <c r="K71" s="29"/>
      <c r="L71" s="29"/>
      <c r="M71" s="29"/>
      <c r="N71" s="29"/>
      <c r="O71" s="29"/>
      <c r="P71" s="39">
        <v>6.3</v>
      </c>
      <c r="Q71" s="29"/>
      <c r="R71" s="29"/>
      <c r="S71" s="29"/>
    </row>
    <row r="72" spans="9:19" x14ac:dyDescent="0.25">
      <c r="I72" s="39">
        <v>6.4</v>
      </c>
      <c r="J72" s="29"/>
      <c r="K72" s="29"/>
      <c r="L72" s="29"/>
      <c r="M72" s="29"/>
      <c r="N72" s="29"/>
      <c r="O72" s="29"/>
      <c r="P72" s="39">
        <v>6.4</v>
      </c>
      <c r="Q72" s="29"/>
      <c r="R72" s="29"/>
      <c r="S72" s="29"/>
    </row>
    <row r="73" spans="9:19" x14ac:dyDescent="0.25">
      <c r="I73" s="39">
        <v>6.4</v>
      </c>
      <c r="J73" s="29"/>
      <c r="K73" s="29"/>
      <c r="L73" s="29"/>
      <c r="M73" s="29"/>
      <c r="N73" s="29"/>
      <c r="O73" s="29"/>
      <c r="P73" s="39">
        <v>6.4</v>
      </c>
      <c r="Q73" s="29"/>
      <c r="R73" s="29"/>
      <c r="S73" s="29"/>
    </row>
    <row r="74" spans="9:19" x14ac:dyDescent="0.25">
      <c r="I74" s="39">
        <v>6.4</v>
      </c>
      <c r="J74" s="29"/>
      <c r="K74" s="29"/>
      <c r="L74" s="29"/>
      <c r="M74" s="29"/>
      <c r="N74" s="29"/>
      <c r="O74" s="29"/>
      <c r="P74" s="39">
        <v>6.4</v>
      </c>
      <c r="Q74" s="29"/>
      <c r="R74" s="29"/>
      <c r="S74" s="29"/>
    </row>
    <row r="75" spans="9:19" x14ac:dyDescent="0.25">
      <c r="I75" s="39">
        <v>6.4</v>
      </c>
      <c r="J75" s="29"/>
      <c r="K75" s="29"/>
      <c r="L75" s="29"/>
      <c r="M75" s="29"/>
      <c r="N75" s="29"/>
      <c r="O75" s="29"/>
      <c r="P75" s="39">
        <v>6.4</v>
      </c>
      <c r="Q75" s="29"/>
      <c r="R75" s="29"/>
      <c r="S75" s="29"/>
    </row>
    <row r="76" spans="9:19" x14ac:dyDescent="0.25">
      <c r="I76" s="39">
        <v>6.5</v>
      </c>
      <c r="J76" s="29"/>
      <c r="K76" s="29"/>
      <c r="L76" s="29"/>
      <c r="M76" s="29"/>
      <c r="N76" s="29"/>
      <c r="O76" s="29"/>
      <c r="P76" s="39">
        <v>6.5</v>
      </c>
      <c r="Q76" s="29"/>
      <c r="R76" s="29"/>
      <c r="S76" s="29"/>
    </row>
    <row r="77" spans="9:19" x14ac:dyDescent="0.25">
      <c r="I77" s="39">
        <v>6.5</v>
      </c>
      <c r="J77" s="29"/>
      <c r="K77" s="29"/>
      <c r="L77" s="29"/>
      <c r="M77" s="29"/>
      <c r="N77" s="29"/>
      <c r="O77" s="29"/>
      <c r="P77" s="39">
        <v>6.5</v>
      </c>
      <c r="Q77" s="29"/>
      <c r="R77" s="29"/>
      <c r="S77" s="29"/>
    </row>
    <row r="78" spans="9:19" x14ac:dyDescent="0.25">
      <c r="I78" s="39">
        <v>6.5</v>
      </c>
      <c r="J78" s="29"/>
      <c r="K78" s="29"/>
      <c r="L78" s="29"/>
      <c r="M78" s="29"/>
      <c r="N78" s="29"/>
      <c r="O78" s="29"/>
      <c r="P78" s="39">
        <v>6.5</v>
      </c>
      <c r="Q78" s="29"/>
      <c r="R78" s="29"/>
      <c r="S78" s="29"/>
    </row>
    <row r="79" spans="9:19" x14ac:dyDescent="0.25">
      <c r="I79" s="39">
        <v>6.5</v>
      </c>
      <c r="J79" s="29"/>
      <c r="K79" s="29"/>
      <c r="L79" s="29"/>
      <c r="M79" s="29"/>
      <c r="N79" s="29"/>
      <c r="O79" s="29"/>
      <c r="P79" s="39">
        <v>6.5</v>
      </c>
      <c r="Q79" s="29"/>
      <c r="R79" s="29"/>
      <c r="S79" s="29"/>
    </row>
    <row r="80" spans="9:19" x14ac:dyDescent="0.25">
      <c r="I80" s="39">
        <v>6.5</v>
      </c>
      <c r="J80" s="29"/>
      <c r="K80" s="29"/>
      <c r="L80" s="29"/>
      <c r="M80" s="29"/>
      <c r="N80" s="29"/>
      <c r="O80" s="29"/>
      <c r="P80" s="39">
        <v>6.5</v>
      </c>
      <c r="Q80" s="29"/>
      <c r="R80" s="29"/>
      <c r="S80" s="29"/>
    </row>
    <row r="81" spans="9:19" x14ac:dyDescent="0.25">
      <c r="I81" s="39">
        <v>6.5</v>
      </c>
      <c r="J81" s="29"/>
      <c r="K81" s="29"/>
      <c r="L81" s="29"/>
      <c r="M81" s="29"/>
      <c r="N81" s="29"/>
      <c r="O81" s="29"/>
      <c r="P81" s="39">
        <v>6.5</v>
      </c>
      <c r="Q81" s="29"/>
      <c r="R81" s="29"/>
      <c r="S81" s="29"/>
    </row>
    <row r="82" spans="9:19" x14ac:dyDescent="0.25">
      <c r="I82" s="39">
        <v>6.5</v>
      </c>
      <c r="J82" s="29"/>
      <c r="K82" s="29"/>
      <c r="L82" s="29"/>
      <c r="M82" s="29"/>
      <c r="N82" s="29"/>
      <c r="O82" s="29"/>
      <c r="P82" s="39">
        <v>6.5</v>
      </c>
      <c r="Q82" s="29"/>
      <c r="R82" s="29"/>
      <c r="S82" s="29"/>
    </row>
    <row r="83" spans="9:19" x14ac:dyDescent="0.25">
      <c r="I83" s="39">
        <v>6.5</v>
      </c>
      <c r="J83" s="29"/>
      <c r="K83" s="29"/>
      <c r="L83" s="29"/>
      <c r="M83" s="29"/>
      <c r="N83" s="29"/>
      <c r="O83" s="29"/>
      <c r="P83" s="39">
        <v>6.5</v>
      </c>
      <c r="Q83" s="29"/>
      <c r="R83" s="29"/>
      <c r="S83" s="29"/>
    </row>
    <row r="84" spans="9:19" x14ac:dyDescent="0.25">
      <c r="I84" s="39">
        <v>6.7</v>
      </c>
      <c r="J84" s="29"/>
      <c r="K84" s="29"/>
      <c r="L84" s="29"/>
      <c r="M84" s="29"/>
      <c r="N84" s="29"/>
      <c r="O84" s="29"/>
      <c r="P84" s="39">
        <v>6.7</v>
      </c>
      <c r="Q84" s="29"/>
      <c r="R84" s="29"/>
      <c r="S84" s="29"/>
    </row>
    <row r="85" spans="9:19" x14ac:dyDescent="0.25">
      <c r="I85" s="39">
        <v>6.7</v>
      </c>
      <c r="J85" s="29"/>
      <c r="K85" s="29"/>
      <c r="L85" s="29"/>
      <c r="M85" s="29"/>
      <c r="N85" s="29"/>
      <c r="O85" s="29"/>
      <c r="P85" s="39">
        <v>6.7</v>
      </c>
      <c r="Q85" s="29"/>
      <c r="R85" s="29"/>
      <c r="S85" s="29"/>
    </row>
    <row r="86" spans="9:19" x14ac:dyDescent="0.25">
      <c r="I86" s="39">
        <v>6.7</v>
      </c>
      <c r="J86" s="29"/>
      <c r="K86" s="29"/>
      <c r="L86" s="29"/>
      <c r="M86" s="29"/>
      <c r="N86" s="29"/>
      <c r="O86" s="29"/>
      <c r="P86" s="39">
        <v>6.7</v>
      </c>
      <c r="Q86" s="29"/>
      <c r="R86" s="29"/>
      <c r="S86" s="29"/>
    </row>
    <row r="87" spans="9:19" x14ac:dyDescent="0.25">
      <c r="I87" s="39">
        <v>6.7</v>
      </c>
      <c r="J87" s="29"/>
      <c r="K87" s="29"/>
      <c r="L87" s="29"/>
      <c r="M87" s="29"/>
      <c r="N87" s="29"/>
      <c r="O87" s="29"/>
      <c r="P87" s="39">
        <v>6.7</v>
      </c>
      <c r="Q87" s="29"/>
      <c r="R87" s="29"/>
      <c r="S87" s="29"/>
    </row>
    <row r="88" spans="9:19" x14ac:dyDescent="0.25">
      <c r="I88" s="39">
        <v>6.7</v>
      </c>
      <c r="J88" s="29"/>
      <c r="K88" s="29"/>
      <c r="L88" s="29"/>
      <c r="M88" s="29"/>
      <c r="N88" s="29"/>
      <c r="O88" s="29"/>
      <c r="P88" s="39">
        <v>6.7</v>
      </c>
      <c r="Q88" s="29"/>
      <c r="R88" s="29"/>
      <c r="S88" s="29"/>
    </row>
    <row r="89" spans="9:19" x14ac:dyDescent="0.25">
      <c r="I89" s="39">
        <v>6.7</v>
      </c>
      <c r="J89" s="29"/>
      <c r="K89" s="29"/>
      <c r="L89" s="29"/>
      <c r="M89" s="29"/>
      <c r="N89" s="29"/>
      <c r="O89" s="29"/>
      <c r="P89" s="39">
        <v>6.7</v>
      </c>
      <c r="Q89" s="29"/>
      <c r="R89" s="29"/>
      <c r="S89" s="29"/>
    </row>
    <row r="90" spans="9:19" x14ac:dyDescent="0.25">
      <c r="I90" s="39">
        <v>6.7</v>
      </c>
      <c r="J90" s="29"/>
      <c r="K90" s="29"/>
      <c r="L90" s="29"/>
      <c r="M90" s="29"/>
      <c r="N90" s="29"/>
      <c r="O90" s="29"/>
      <c r="P90" s="39">
        <v>6.7</v>
      </c>
      <c r="Q90" s="29"/>
      <c r="R90" s="29"/>
      <c r="S90" s="29"/>
    </row>
    <row r="91" spans="9:19" x14ac:dyDescent="0.25">
      <c r="I91" s="39">
        <v>6.8</v>
      </c>
      <c r="J91" s="29"/>
      <c r="K91" s="29"/>
      <c r="L91" s="29"/>
      <c r="M91" s="29"/>
      <c r="N91" s="29"/>
      <c r="O91" s="29"/>
      <c r="P91" s="39">
        <v>6.8</v>
      </c>
      <c r="Q91" s="29"/>
      <c r="R91" s="29"/>
      <c r="S91" s="29"/>
    </row>
    <row r="92" spans="9:19" x14ac:dyDescent="0.25">
      <c r="I92" s="39">
        <v>6.9</v>
      </c>
      <c r="J92" s="29"/>
      <c r="K92" s="29"/>
      <c r="L92" s="29"/>
      <c r="M92" s="29"/>
      <c r="N92" s="29"/>
      <c r="O92" s="29"/>
      <c r="P92" s="39">
        <v>6.9</v>
      </c>
      <c r="Q92" s="29"/>
      <c r="R92" s="29"/>
      <c r="S92" s="29"/>
    </row>
    <row r="93" spans="9:19" x14ac:dyDescent="0.25">
      <c r="I93" s="39">
        <v>7</v>
      </c>
      <c r="J93" s="29"/>
      <c r="K93" s="29"/>
      <c r="L93" s="29"/>
      <c r="M93" s="29"/>
      <c r="N93" s="29"/>
      <c r="O93" s="29"/>
      <c r="P93" s="29"/>
      <c r="Q93" s="39">
        <v>7</v>
      </c>
      <c r="R93" s="29"/>
      <c r="S93" s="29"/>
    </row>
    <row r="94" spans="9:19" x14ac:dyDescent="0.25">
      <c r="I94" s="39">
        <v>7</v>
      </c>
      <c r="J94" s="29"/>
      <c r="K94" s="29"/>
      <c r="L94" s="29"/>
      <c r="M94" s="29"/>
      <c r="N94" s="29"/>
      <c r="O94" s="29"/>
      <c r="P94" s="29"/>
      <c r="Q94" s="39">
        <v>7</v>
      </c>
      <c r="R94" s="29"/>
      <c r="S94" s="29"/>
    </row>
    <row r="95" spans="9:19" x14ac:dyDescent="0.25">
      <c r="I95" s="39">
        <v>7.1</v>
      </c>
      <c r="J95" s="29"/>
      <c r="K95" s="29"/>
      <c r="L95" s="29"/>
      <c r="M95" s="29"/>
      <c r="N95" s="29"/>
      <c r="O95" s="29"/>
      <c r="P95" s="29"/>
      <c r="Q95" s="39">
        <v>7.1</v>
      </c>
      <c r="R95" s="29"/>
      <c r="S95" s="29"/>
    </row>
    <row r="96" spans="9:19" x14ac:dyDescent="0.25">
      <c r="I96" s="39">
        <v>7.1</v>
      </c>
      <c r="J96" s="29"/>
      <c r="K96" s="29"/>
      <c r="L96" s="29"/>
      <c r="M96" s="29"/>
      <c r="N96" s="29"/>
      <c r="O96" s="29"/>
      <c r="P96" s="29"/>
      <c r="Q96" s="39">
        <v>7.1</v>
      </c>
      <c r="R96" s="29"/>
      <c r="S96" s="29"/>
    </row>
    <row r="97" spans="9:19" x14ac:dyDescent="0.25">
      <c r="I97" s="39">
        <v>7.2</v>
      </c>
      <c r="J97" s="29"/>
      <c r="K97" s="29"/>
      <c r="L97" s="29"/>
      <c r="M97" s="29"/>
      <c r="N97" s="29"/>
      <c r="O97" s="29"/>
      <c r="P97" s="29"/>
      <c r="Q97" s="39">
        <v>7.2</v>
      </c>
      <c r="R97" s="29"/>
      <c r="S97" s="29"/>
    </row>
    <row r="98" spans="9:19" x14ac:dyDescent="0.25">
      <c r="I98" s="39">
        <v>7.2</v>
      </c>
      <c r="J98" s="29"/>
      <c r="K98" s="29"/>
      <c r="L98" s="29"/>
      <c r="M98" s="29"/>
      <c r="N98" s="29"/>
      <c r="O98" s="29"/>
      <c r="P98" s="29"/>
      <c r="Q98" s="39">
        <v>7.2</v>
      </c>
      <c r="R98" s="29"/>
      <c r="S98" s="29"/>
    </row>
    <row r="99" spans="9:19" x14ac:dyDescent="0.25">
      <c r="I99" s="39">
        <v>7.2</v>
      </c>
      <c r="J99" s="29"/>
      <c r="K99" s="29"/>
      <c r="L99" s="29"/>
      <c r="M99" s="29"/>
      <c r="N99" s="29"/>
      <c r="O99" s="29"/>
      <c r="P99" s="29"/>
      <c r="Q99" s="39">
        <v>7.2</v>
      </c>
      <c r="R99" s="29"/>
      <c r="S99" s="29"/>
    </row>
    <row r="100" spans="9:19" x14ac:dyDescent="0.25">
      <c r="I100" s="39">
        <v>7.2</v>
      </c>
      <c r="J100" s="29"/>
      <c r="K100" s="29"/>
      <c r="L100" s="29"/>
      <c r="M100" s="29"/>
      <c r="N100" s="29"/>
      <c r="O100" s="29"/>
      <c r="P100" s="29"/>
      <c r="Q100" s="39">
        <v>7.2</v>
      </c>
      <c r="R100" s="29"/>
      <c r="S100" s="29"/>
    </row>
    <row r="101" spans="9:19" x14ac:dyDescent="0.25">
      <c r="I101" s="39">
        <v>7.2</v>
      </c>
      <c r="J101" s="29"/>
      <c r="K101" s="29"/>
      <c r="L101" s="29"/>
      <c r="M101" s="29"/>
      <c r="N101" s="29"/>
      <c r="O101" s="29"/>
      <c r="P101" s="29"/>
      <c r="Q101" s="39">
        <v>7.2</v>
      </c>
      <c r="R101" s="29"/>
      <c r="S101" s="29"/>
    </row>
    <row r="102" spans="9:19" x14ac:dyDescent="0.25">
      <c r="I102" s="39">
        <v>7.3</v>
      </c>
      <c r="J102" s="29"/>
      <c r="K102" s="29"/>
      <c r="L102" s="29"/>
      <c r="M102" s="29"/>
      <c r="N102" s="29"/>
      <c r="O102" s="29"/>
      <c r="P102" s="29"/>
      <c r="Q102" s="39">
        <v>7.3</v>
      </c>
      <c r="R102" s="29"/>
      <c r="S102" s="29"/>
    </row>
    <row r="103" spans="9:19" x14ac:dyDescent="0.25">
      <c r="I103" s="39">
        <v>7.3</v>
      </c>
      <c r="J103" s="29"/>
      <c r="K103" s="29"/>
      <c r="L103" s="29"/>
      <c r="M103" s="29"/>
      <c r="N103" s="29"/>
      <c r="O103" s="29"/>
      <c r="P103" s="29"/>
      <c r="Q103" s="39">
        <v>7.3</v>
      </c>
      <c r="R103" s="29"/>
      <c r="S103" s="29"/>
    </row>
    <row r="104" spans="9:19" x14ac:dyDescent="0.25">
      <c r="I104" s="39">
        <v>7.4</v>
      </c>
      <c r="J104" s="29"/>
      <c r="K104" s="29"/>
      <c r="L104" s="29"/>
      <c r="M104" s="29"/>
      <c r="N104" s="29"/>
      <c r="O104" s="29"/>
      <c r="P104" s="29"/>
      <c r="Q104" s="39">
        <v>7.4</v>
      </c>
      <c r="R104" s="29"/>
      <c r="S104" s="29"/>
    </row>
    <row r="105" spans="9:19" x14ac:dyDescent="0.25">
      <c r="I105" s="39">
        <v>7.5</v>
      </c>
      <c r="J105" s="29"/>
      <c r="K105" s="29"/>
      <c r="L105" s="29"/>
      <c r="M105" s="29"/>
      <c r="N105" s="29"/>
      <c r="O105" s="29"/>
      <c r="P105" s="29"/>
      <c r="Q105" s="39">
        <v>7.5</v>
      </c>
      <c r="R105" s="29"/>
      <c r="S105" s="29"/>
    </row>
    <row r="106" spans="9:19" x14ac:dyDescent="0.25">
      <c r="I106" s="39">
        <v>7.5</v>
      </c>
      <c r="J106" s="29"/>
      <c r="K106" s="29"/>
      <c r="L106" s="29"/>
      <c r="M106" s="29"/>
      <c r="N106" s="29"/>
      <c r="O106" s="29"/>
      <c r="P106" s="29"/>
      <c r="Q106" s="39">
        <v>7.5</v>
      </c>
      <c r="R106" s="29"/>
      <c r="S106" s="29"/>
    </row>
    <row r="107" spans="9:19" x14ac:dyDescent="0.25">
      <c r="I107" s="39">
        <v>7.5</v>
      </c>
      <c r="J107" s="29"/>
      <c r="K107" s="29"/>
      <c r="L107" s="29"/>
      <c r="M107" s="29"/>
      <c r="N107" s="29"/>
      <c r="O107" s="29"/>
      <c r="P107" s="29"/>
      <c r="Q107" s="39">
        <v>7.5</v>
      </c>
      <c r="R107" s="29"/>
      <c r="S107" s="29"/>
    </row>
    <row r="108" spans="9:19" x14ac:dyDescent="0.25">
      <c r="I108" s="39">
        <v>7.5</v>
      </c>
      <c r="J108" s="29"/>
      <c r="K108" s="29"/>
      <c r="L108" s="29"/>
      <c r="M108" s="29"/>
      <c r="N108" s="29"/>
      <c r="O108" s="29"/>
      <c r="P108" s="29"/>
      <c r="Q108" s="39">
        <v>7.5</v>
      </c>
      <c r="R108" s="29"/>
      <c r="S108" s="29"/>
    </row>
    <row r="109" spans="9:19" x14ac:dyDescent="0.25">
      <c r="I109" s="39">
        <v>7.5</v>
      </c>
      <c r="J109" s="29"/>
      <c r="K109" s="29"/>
      <c r="L109" s="29"/>
      <c r="M109" s="29"/>
      <c r="N109" s="29"/>
      <c r="O109" s="29"/>
      <c r="P109" s="29"/>
      <c r="Q109" s="39">
        <v>7.5</v>
      </c>
      <c r="R109" s="29"/>
      <c r="S109" s="29"/>
    </row>
    <row r="110" spans="9:19" x14ac:dyDescent="0.25">
      <c r="I110" s="39">
        <v>7.5</v>
      </c>
      <c r="J110" s="29"/>
      <c r="K110" s="29"/>
      <c r="L110" s="29"/>
      <c r="M110" s="29"/>
      <c r="N110" s="29"/>
      <c r="O110" s="29"/>
      <c r="P110" s="29"/>
      <c r="Q110" s="39">
        <v>7.5</v>
      </c>
      <c r="R110" s="29"/>
      <c r="S110" s="29"/>
    </row>
    <row r="111" spans="9:19" x14ac:dyDescent="0.25">
      <c r="I111" s="39">
        <v>7.5</v>
      </c>
      <c r="J111" s="29"/>
      <c r="K111" s="29"/>
      <c r="L111" s="29"/>
      <c r="M111" s="29"/>
      <c r="N111" s="29"/>
      <c r="O111" s="29"/>
      <c r="P111" s="29"/>
      <c r="Q111" s="39">
        <v>7.5</v>
      </c>
      <c r="R111" s="29"/>
      <c r="S111" s="29"/>
    </row>
    <row r="112" spans="9:19" x14ac:dyDescent="0.25">
      <c r="I112" s="39">
        <v>7.6</v>
      </c>
      <c r="J112" s="29"/>
      <c r="K112" s="29"/>
      <c r="L112" s="29"/>
      <c r="M112" s="29"/>
      <c r="N112" s="29"/>
      <c r="O112" s="29"/>
      <c r="P112" s="29"/>
      <c r="Q112" s="39">
        <v>7.6</v>
      </c>
      <c r="R112" s="29"/>
      <c r="S112" s="29"/>
    </row>
    <row r="113" spans="9:19" x14ac:dyDescent="0.25">
      <c r="I113" s="39">
        <v>7.6</v>
      </c>
      <c r="J113" s="29"/>
      <c r="K113" s="29"/>
      <c r="L113" s="29"/>
      <c r="M113" s="29"/>
      <c r="N113" s="29"/>
      <c r="O113" s="29"/>
      <c r="P113" s="29"/>
      <c r="Q113" s="39">
        <v>7.6</v>
      </c>
      <c r="R113" s="29"/>
      <c r="S113" s="29"/>
    </row>
    <row r="114" spans="9:19" x14ac:dyDescent="0.25">
      <c r="I114" s="39">
        <v>7.7</v>
      </c>
      <c r="J114" s="29"/>
      <c r="K114" s="29"/>
      <c r="L114" s="29"/>
      <c r="M114" s="29"/>
      <c r="N114" s="29"/>
      <c r="O114" s="29"/>
      <c r="P114" s="29"/>
      <c r="Q114" s="39">
        <v>7.7</v>
      </c>
      <c r="R114" s="29"/>
      <c r="S114" s="29"/>
    </row>
    <row r="115" spans="9:19" x14ac:dyDescent="0.25">
      <c r="I115" s="39">
        <v>7.7</v>
      </c>
      <c r="J115" s="29"/>
      <c r="K115" s="29"/>
      <c r="L115" s="29"/>
      <c r="M115" s="29"/>
      <c r="N115" s="29"/>
      <c r="O115" s="29"/>
      <c r="P115" s="29"/>
      <c r="Q115" s="39">
        <v>7.7</v>
      </c>
      <c r="R115" s="29"/>
      <c r="S115" s="29"/>
    </row>
    <row r="116" spans="9:19" x14ac:dyDescent="0.25">
      <c r="I116" s="39">
        <v>7.7</v>
      </c>
      <c r="J116" s="29"/>
      <c r="K116" s="29"/>
      <c r="L116" s="29"/>
      <c r="M116" s="29"/>
      <c r="N116" s="29"/>
      <c r="O116" s="29"/>
      <c r="P116" s="29"/>
      <c r="Q116" s="39">
        <v>7.7</v>
      </c>
      <c r="R116" s="29"/>
      <c r="S116" s="29"/>
    </row>
    <row r="117" spans="9:19" x14ac:dyDescent="0.25">
      <c r="I117" s="39">
        <v>7.7</v>
      </c>
      <c r="J117" s="29"/>
      <c r="K117" s="29"/>
      <c r="L117" s="29"/>
      <c r="M117" s="29"/>
      <c r="N117" s="29"/>
      <c r="O117" s="29"/>
      <c r="P117" s="29"/>
      <c r="Q117" s="39">
        <v>7.7</v>
      </c>
      <c r="R117" s="29"/>
      <c r="S117" s="29"/>
    </row>
    <row r="118" spans="9:19" x14ac:dyDescent="0.25">
      <c r="I118" s="39">
        <v>7.9</v>
      </c>
      <c r="J118" s="29"/>
      <c r="K118" s="29"/>
      <c r="L118" s="29"/>
      <c r="M118" s="29"/>
      <c r="N118" s="29"/>
      <c r="O118" s="29"/>
      <c r="P118" s="29"/>
      <c r="Q118" s="39">
        <v>7.9</v>
      </c>
      <c r="R118" s="29"/>
      <c r="S118" s="29"/>
    </row>
    <row r="119" spans="9:19" x14ac:dyDescent="0.25">
      <c r="I119" s="39">
        <v>7.9</v>
      </c>
      <c r="J119" s="29"/>
      <c r="K119" s="29"/>
      <c r="L119" s="29"/>
      <c r="M119" s="29"/>
      <c r="N119" s="29"/>
      <c r="O119" s="29"/>
      <c r="P119" s="29"/>
      <c r="Q119" s="39">
        <v>7.9</v>
      </c>
      <c r="R119" s="29"/>
      <c r="S119" s="29"/>
    </row>
    <row r="120" spans="9:19" x14ac:dyDescent="0.25">
      <c r="I120" s="39">
        <v>8</v>
      </c>
      <c r="J120" s="29"/>
      <c r="K120" s="29"/>
      <c r="L120" s="29"/>
      <c r="M120" s="29"/>
      <c r="N120" s="29"/>
      <c r="O120" s="29"/>
      <c r="P120" s="29"/>
      <c r="Q120" s="39">
        <v>8</v>
      </c>
      <c r="R120" s="29"/>
      <c r="S120" s="29"/>
    </row>
    <row r="121" spans="9:19" x14ac:dyDescent="0.25">
      <c r="I121" s="39">
        <v>8.1</v>
      </c>
      <c r="J121" s="29"/>
      <c r="K121" s="29"/>
      <c r="L121" s="29"/>
      <c r="M121" s="29"/>
      <c r="N121" s="29"/>
      <c r="O121" s="29"/>
      <c r="P121" s="29"/>
      <c r="Q121" s="29"/>
      <c r="R121" s="39">
        <v>8.1</v>
      </c>
      <c r="S121" s="29"/>
    </row>
    <row r="122" spans="9:19" x14ac:dyDescent="0.25">
      <c r="I122" s="39">
        <v>8.1</v>
      </c>
      <c r="J122" s="29"/>
      <c r="K122" s="29"/>
      <c r="L122" s="29"/>
      <c r="M122" s="29"/>
      <c r="N122" s="29"/>
      <c r="O122" s="29"/>
      <c r="P122" s="29"/>
      <c r="Q122" s="29"/>
      <c r="R122" s="39">
        <v>8.1</v>
      </c>
      <c r="S122" s="29"/>
    </row>
    <row r="123" spans="9:19" x14ac:dyDescent="0.25">
      <c r="I123" s="39">
        <v>8.1999999999999993</v>
      </c>
      <c r="J123" s="29"/>
      <c r="K123" s="29"/>
      <c r="L123" s="29"/>
      <c r="M123" s="29"/>
      <c r="N123" s="29"/>
      <c r="O123" s="29"/>
      <c r="P123" s="29"/>
      <c r="Q123" s="29"/>
      <c r="R123" s="39">
        <v>8.1999999999999993</v>
      </c>
      <c r="S123" s="29"/>
    </row>
    <row r="124" spans="9:19" x14ac:dyDescent="0.25">
      <c r="I124" s="39">
        <v>8.1999999999999993</v>
      </c>
      <c r="J124" s="29"/>
      <c r="K124" s="29"/>
      <c r="L124" s="29"/>
      <c r="M124" s="29"/>
      <c r="N124" s="29"/>
      <c r="O124" s="29"/>
      <c r="P124" s="29"/>
      <c r="Q124" s="29"/>
      <c r="R124" s="39">
        <v>8.1999999999999993</v>
      </c>
      <c r="S124" s="29"/>
    </row>
    <row r="125" spans="9:19" x14ac:dyDescent="0.25">
      <c r="I125" s="39">
        <v>8.1999999999999993</v>
      </c>
      <c r="J125" s="29"/>
      <c r="K125" s="29"/>
      <c r="L125" s="29"/>
      <c r="M125" s="29"/>
      <c r="N125" s="29"/>
      <c r="O125" s="29"/>
      <c r="P125" s="29"/>
      <c r="Q125" s="29"/>
      <c r="R125" s="39">
        <v>8.1999999999999993</v>
      </c>
      <c r="S125" s="29"/>
    </row>
    <row r="126" spans="9:19" x14ac:dyDescent="0.25">
      <c r="I126" s="39">
        <v>8.3000000000000007</v>
      </c>
      <c r="J126" s="29"/>
      <c r="K126" s="29"/>
      <c r="L126" s="29"/>
      <c r="M126" s="29"/>
      <c r="N126" s="29"/>
      <c r="O126" s="29"/>
      <c r="P126" s="29"/>
      <c r="Q126" s="29"/>
      <c r="R126" s="39">
        <v>8.3000000000000007</v>
      </c>
      <c r="S126" s="29"/>
    </row>
    <row r="127" spans="9:19" x14ac:dyDescent="0.25">
      <c r="I127" s="39">
        <v>8.4</v>
      </c>
      <c r="J127" s="29"/>
      <c r="K127" s="29"/>
      <c r="L127" s="29"/>
      <c r="M127" s="29"/>
      <c r="N127" s="29"/>
      <c r="O127" s="29"/>
      <c r="P127" s="29"/>
      <c r="Q127" s="29"/>
      <c r="R127" s="39">
        <v>8.4</v>
      </c>
      <c r="S127" s="29"/>
    </row>
    <row r="128" spans="9:19" x14ac:dyDescent="0.25">
      <c r="I128" s="39">
        <v>8.5</v>
      </c>
      <c r="J128" s="29"/>
      <c r="K128" s="29"/>
      <c r="L128" s="29"/>
      <c r="M128" s="29"/>
      <c r="N128" s="29"/>
      <c r="O128" s="29"/>
      <c r="P128" s="29"/>
      <c r="Q128" s="29"/>
      <c r="R128" s="39">
        <v>8.5</v>
      </c>
      <c r="S128" s="29"/>
    </row>
    <row r="129" spans="9:19" x14ac:dyDescent="0.25">
      <c r="I129" s="39">
        <v>8.6</v>
      </c>
      <c r="J129" s="29"/>
      <c r="K129" s="29"/>
      <c r="L129" s="29"/>
      <c r="M129" s="29"/>
      <c r="N129" s="29"/>
      <c r="O129" s="29"/>
      <c r="P129" s="29"/>
      <c r="Q129" s="29"/>
      <c r="R129" s="39">
        <v>8.6</v>
      </c>
      <c r="S129" s="29"/>
    </row>
    <row r="130" spans="9:19" x14ac:dyDescent="0.25">
      <c r="I130" s="39">
        <v>8.6999999999999993</v>
      </c>
      <c r="J130" s="29"/>
      <c r="K130" s="29"/>
      <c r="L130" s="29"/>
      <c r="M130" s="29"/>
      <c r="N130" s="29"/>
      <c r="O130" s="29"/>
      <c r="P130" s="29"/>
      <c r="Q130" s="29"/>
      <c r="R130" s="39">
        <v>8.6999999999999993</v>
      </c>
      <c r="S130" s="29"/>
    </row>
    <row r="131" spans="9:19" x14ac:dyDescent="0.25">
      <c r="I131" s="39">
        <v>8.6999999999999993</v>
      </c>
      <c r="J131" s="29"/>
      <c r="K131" s="29"/>
      <c r="L131" s="29"/>
      <c r="M131" s="29"/>
      <c r="N131" s="29"/>
      <c r="O131" s="29"/>
      <c r="P131" s="29"/>
      <c r="Q131" s="29"/>
      <c r="R131" s="39">
        <v>8.6999999999999993</v>
      </c>
      <c r="S131" s="29"/>
    </row>
    <row r="132" spans="9:19" x14ac:dyDescent="0.25">
      <c r="I132" s="39">
        <v>8.9</v>
      </c>
      <c r="J132" s="29"/>
      <c r="K132" s="29"/>
      <c r="L132" s="29"/>
      <c r="M132" s="29"/>
      <c r="N132" s="29"/>
      <c r="O132" s="29"/>
      <c r="P132" s="29"/>
      <c r="Q132" s="29"/>
      <c r="R132" s="39">
        <v>8.9</v>
      </c>
      <c r="S132" s="29"/>
    </row>
    <row r="133" spans="9:19" x14ac:dyDescent="0.25">
      <c r="I133" s="39">
        <v>9</v>
      </c>
      <c r="J133" s="29"/>
      <c r="K133" s="29"/>
      <c r="L133" s="29"/>
      <c r="M133" s="29"/>
      <c r="N133" s="29"/>
      <c r="O133" s="29"/>
      <c r="P133" s="29"/>
      <c r="Q133" s="29"/>
      <c r="R133" s="39">
        <v>9</v>
      </c>
      <c r="S133" s="29"/>
    </row>
    <row r="134" spans="9:19" x14ac:dyDescent="0.25">
      <c r="I134" s="39">
        <v>9.1</v>
      </c>
      <c r="J134" s="29"/>
      <c r="K134" s="29"/>
      <c r="L134" s="29"/>
      <c r="M134" s="29"/>
      <c r="N134" s="29"/>
      <c r="O134" s="29"/>
      <c r="P134" s="29"/>
      <c r="Q134" s="29"/>
      <c r="R134" s="29"/>
      <c r="S134" s="39">
        <v>9.1</v>
      </c>
    </row>
    <row r="135" spans="9:19" x14ac:dyDescent="0.25">
      <c r="I135" s="39">
        <v>9.1999999999999993</v>
      </c>
      <c r="J135" s="29"/>
      <c r="K135" s="29"/>
      <c r="L135" s="29"/>
      <c r="M135" s="29"/>
      <c r="N135" s="29"/>
      <c r="O135" s="29"/>
      <c r="P135" s="29"/>
      <c r="Q135" s="29"/>
      <c r="R135" s="29"/>
      <c r="S135" s="39">
        <v>9.1999999999999993</v>
      </c>
    </row>
    <row r="136" spans="9:19" x14ac:dyDescent="0.25">
      <c r="I136" s="39">
        <v>9.5</v>
      </c>
      <c r="J136" s="29"/>
      <c r="K136" s="29"/>
      <c r="L136" s="29"/>
      <c r="M136" s="29"/>
      <c r="N136" s="29"/>
      <c r="O136" s="29"/>
      <c r="P136" s="29"/>
      <c r="Q136" s="29"/>
      <c r="R136" s="29"/>
      <c r="S136" s="39">
        <v>9.5</v>
      </c>
    </row>
    <row r="137" spans="9:19" x14ac:dyDescent="0.25">
      <c r="I137" s="39">
        <v>9.6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39">
        <v>9.6</v>
      </c>
    </row>
    <row r="138" spans="9:19" x14ac:dyDescent="0.25">
      <c r="I138" s="39">
        <v>9.6999999999999993</v>
      </c>
      <c r="J138" s="29"/>
      <c r="K138" s="29"/>
      <c r="L138" s="29"/>
      <c r="M138" s="29"/>
      <c r="N138" s="29"/>
      <c r="O138" s="29"/>
      <c r="P138" s="29"/>
      <c r="Q138" s="29"/>
      <c r="R138" s="29"/>
      <c r="S138" s="39">
        <v>9.6999999999999993</v>
      </c>
    </row>
    <row r="139" spans="9:19" x14ac:dyDescent="0.25">
      <c r="I139" s="47">
        <f>SUM(I11:I138)/128</f>
        <v>6.2726562500000016</v>
      </c>
      <c r="J139" s="29" t="s">
        <v>38</v>
      </c>
      <c r="K139" s="29"/>
      <c r="L139" s="29"/>
      <c r="M139" s="29"/>
      <c r="N139" s="29"/>
      <c r="O139" s="29"/>
      <c r="P139" s="29"/>
      <c r="Q139" s="29"/>
      <c r="R139" s="29"/>
      <c r="S139" s="2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4BF7-AC75-4F25-8D26-B05B8924CCE4}">
  <sheetPr transitionEvaluation="1" transitionEntry="1"/>
  <dimension ref="B2:T139"/>
  <sheetViews>
    <sheetView showGridLines="0" workbookViewId="0"/>
  </sheetViews>
  <sheetFormatPr defaultRowHeight="15" x14ac:dyDescent="0.25"/>
  <cols>
    <col min="4" max="4" width="9.140625" customWidth="1"/>
    <col min="5" max="5" width="15" customWidth="1"/>
    <col min="9" max="9" width="18.28515625" customWidth="1"/>
    <col min="11" max="18" width="10.7109375" customWidth="1"/>
  </cols>
  <sheetData>
    <row r="2" spans="2:20" x14ac:dyDescent="0.25">
      <c r="J2" t="s">
        <v>0</v>
      </c>
    </row>
    <row r="3" spans="2:20" x14ac:dyDescent="0.25">
      <c r="B3" t="s">
        <v>1</v>
      </c>
    </row>
    <row r="4" spans="2:20" x14ac:dyDescent="0.25">
      <c r="B4" t="s">
        <v>2</v>
      </c>
    </row>
    <row r="5" spans="2:20" x14ac:dyDescent="0.25">
      <c r="B5" t="s">
        <v>3</v>
      </c>
    </row>
    <row r="8" spans="2:20" x14ac:dyDescent="0.25">
      <c r="I8" s="2"/>
      <c r="K8" s="2"/>
      <c r="L8" s="2"/>
      <c r="M8" s="2"/>
      <c r="N8" s="2"/>
      <c r="O8" s="2"/>
      <c r="P8" s="2"/>
      <c r="Q8" s="2"/>
      <c r="R8" s="2"/>
      <c r="S8" s="2"/>
    </row>
    <row r="9" spans="2:20" x14ac:dyDescent="0.25">
      <c r="I9" s="10" t="s">
        <v>10</v>
      </c>
      <c r="K9" s="10" t="s">
        <v>39</v>
      </c>
      <c r="L9" s="8" t="s">
        <v>41</v>
      </c>
      <c r="M9" s="8" t="s">
        <v>42</v>
      </c>
      <c r="N9" s="8" t="s">
        <v>43</v>
      </c>
      <c r="O9" s="8" t="s">
        <v>44</v>
      </c>
      <c r="P9" s="8" t="s">
        <v>45</v>
      </c>
      <c r="Q9" s="8" t="s">
        <v>40</v>
      </c>
      <c r="R9" s="8" t="s">
        <v>46</v>
      </c>
      <c r="S9" s="8" t="s">
        <v>47</v>
      </c>
    </row>
    <row r="10" spans="2:20" x14ac:dyDescent="0.25">
      <c r="C10" s="6" t="s">
        <v>50</v>
      </c>
      <c r="I10" s="10"/>
      <c r="K10" s="11">
        <v>2</v>
      </c>
      <c r="L10" s="12">
        <v>3</v>
      </c>
      <c r="M10" s="12">
        <v>8</v>
      </c>
      <c r="N10" s="12">
        <v>17</v>
      </c>
      <c r="O10" s="12">
        <v>19</v>
      </c>
      <c r="P10" s="12">
        <v>33</v>
      </c>
      <c r="Q10" s="12">
        <v>28</v>
      </c>
      <c r="R10" s="12">
        <v>13</v>
      </c>
      <c r="S10" s="12">
        <v>5</v>
      </c>
      <c r="T10">
        <f>SUM(K10:S10)</f>
        <v>128</v>
      </c>
    </row>
    <row r="11" spans="2:20" x14ac:dyDescent="0.25">
      <c r="C11" s="7">
        <f>138-11+1</f>
        <v>128</v>
      </c>
      <c r="I11" s="9">
        <v>1.8</v>
      </c>
      <c r="K11" s="9">
        <v>1.8</v>
      </c>
    </row>
    <row r="12" spans="2:20" x14ac:dyDescent="0.25">
      <c r="I12" s="9">
        <v>1.9</v>
      </c>
      <c r="K12" s="9">
        <v>1.9</v>
      </c>
    </row>
    <row r="13" spans="2:20" x14ac:dyDescent="0.25">
      <c r="C13" s="6" t="s">
        <v>49</v>
      </c>
      <c r="I13" s="9">
        <v>2.1</v>
      </c>
      <c r="L13" s="9">
        <v>2.1</v>
      </c>
    </row>
    <row r="14" spans="2:20" x14ac:dyDescent="0.25">
      <c r="C14" s="7">
        <v>6.3</v>
      </c>
      <c r="D14" t="s">
        <v>48</v>
      </c>
      <c r="I14" s="9">
        <v>2.2000000000000002</v>
      </c>
      <c r="L14" s="9">
        <v>2.2000000000000002</v>
      </c>
    </row>
    <row r="15" spans="2:20" x14ac:dyDescent="0.25">
      <c r="I15" s="9">
        <v>2.8</v>
      </c>
      <c r="L15" s="9">
        <v>2.8</v>
      </c>
    </row>
    <row r="16" spans="2:20" x14ac:dyDescent="0.25">
      <c r="C16" t="s">
        <v>51</v>
      </c>
      <c r="I16" s="9">
        <v>3.1</v>
      </c>
      <c r="M16" s="9">
        <v>3.1</v>
      </c>
    </row>
    <row r="17" spans="4:14" x14ac:dyDescent="0.25">
      <c r="D17" s="14" t="s">
        <v>53</v>
      </c>
      <c r="E17" s="15" t="s">
        <v>52</v>
      </c>
      <c r="I17" s="9">
        <v>3.2</v>
      </c>
      <c r="M17" s="9">
        <v>3.2</v>
      </c>
    </row>
    <row r="18" spans="4:14" x14ac:dyDescent="0.25">
      <c r="D18" s="13">
        <v>2</v>
      </c>
      <c r="E18" t="s">
        <v>39</v>
      </c>
      <c r="I18" s="9">
        <v>3.5</v>
      </c>
      <c r="M18" s="9">
        <v>3.5</v>
      </c>
    </row>
    <row r="19" spans="4:14" x14ac:dyDescent="0.25">
      <c r="D19" s="13">
        <v>3</v>
      </c>
      <c r="E19" t="s">
        <v>41</v>
      </c>
      <c r="I19" s="9">
        <v>3.8</v>
      </c>
      <c r="M19" s="9">
        <v>3.8</v>
      </c>
    </row>
    <row r="20" spans="4:14" x14ac:dyDescent="0.25">
      <c r="D20" s="13">
        <v>8</v>
      </c>
      <c r="E20" t="s">
        <v>42</v>
      </c>
      <c r="I20" s="9">
        <v>3.9</v>
      </c>
      <c r="M20" s="9">
        <v>3.9</v>
      </c>
    </row>
    <row r="21" spans="4:14" x14ac:dyDescent="0.25">
      <c r="D21" s="13">
        <v>17</v>
      </c>
      <c r="E21" t="s">
        <v>43</v>
      </c>
      <c r="I21" s="9">
        <v>3.9</v>
      </c>
      <c r="M21" s="9">
        <v>3.9</v>
      </c>
    </row>
    <row r="22" spans="4:14" x14ac:dyDescent="0.25">
      <c r="D22" s="13">
        <v>19</v>
      </c>
      <c r="E22" t="s">
        <v>44</v>
      </c>
      <c r="I22" s="9">
        <v>3.9</v>
      </c>
      <c r="M22" s="9">
        <v>3.9</v>
      </c>
    </row>
    <row r="23" spans="4:14" x14ac:dyDescent="0.25">
      <c r="D23" s="13">
        <v>33</v>
      </c>
      <c r="E23" t="s">
        <v>45</v>
      </c>
      <c r="I23" s="9">
        <v>4</v>
      </c>
      <c r="M23" s="9">
        <v>4</v>
      </c>
    </row>
    <row r="24" spans="4:14" x14ac:dyDescent="0.25">
      <c r="D24" s="13">
        <v>28</v>
      </c>
      <c r="E24" t="s">
        <v>40</v>
      </c>
      <c r="I24" s="9">
        <v>4.0999999999999996</v>
      </c>
      <c r="N24" s="9">
        <v>4.0999999999999996</v>
      </c>
    </row>
    <row r="25" spans="4:14" x14ac:dyDescent="0.25">
      <c r="D25" s="13">
        <v>13</v>
      </c>
      <c r="E25" t="s">
        <v>46</v>
      </c>
      <c r="I25" s="9">
        <v>4.3</v>
      </c>
      <c r="N25" s="9">
        <v>4.3</v>
      </c>
    </row>
    <row r="26" spans="4:14" x14ac:dyDescent="0.25">
      <c r="D26" s="13">
        <v>5</v>
      </c>
      <c r="E26" t="s">
        <v>47</v>
      </c>
      <c r="I26" s="9">
        <v>4.3</v>
      </c>
      <c r="N26" s="9">
        <v>4.3</v>
      </c>
    </row>
    <row r="27" spans="4:14" x14ac:dyDescent="0.25">
      <c r="I27" s="9">
        <v>4.3</v>
      </c>
      <c r="N27" s="9">
        <v>4.3</v>
      </c>
    </row>
    <row r="28" spans="4:14" x14ac:dyDescent="0.25">
      <c r="I28" s="9">
        <v>4.4000000000000004</v>
      </c>
      <c r="N28" s="9">
        <v>4.4000000000000004</v>
      </c>
    </row>
    <row r="29" spans="4:14" x14ac:dyDescent="0.25">
      <c r="I29" s="9">
        <v>4.4000000000000004</v>
      </c>
      <c r="N29" s="9">
        <v>4.4000000000000004</v>
      </c>
    </row>
    <row r="30" spans="4:14" x14ac:dyDescent="0.25">
      <c r="I30" s="9">
        <v>4.4000000000000004</v>
      </c>
      <c r="N30" s="9">
        <v>4.4000000000000004</v>
      </c>
    </row>
    <row r="31" spans="4:14" x14ac:dyDescent="0.25">
      <c r="I31" s="9">
        <v>4.4000000000000004</v>
      </c>
      <c r="N31" s="9">
        <v>4.4000000000000004</v>
      </c>
    </row>
    <row r="32" spans="4:14" x14ac:dyDescent="0.25">
      <c r="I32" s="9">
        <v>4.5</v>
      </c>
      <c r="N32" s="9">
        <v>4.5</v>
      </c>
    </row>
    <row r="33" spans="9:15" x14ac:dyDescent="0.25">
      <c r="I33" s="9">
        <v>4.5</v>
      </c>
      <c r="N33" s="9">
        <v>4.5</v>
      </c>
    </row>
    <row r="34" spans="9:15" x14ac:dyDescent="0.25">
      <c r="I34" s="9">
        <v>4.5999999999999996</v>
      </c>
      <c r="N34" s="9">
        <v>4.5999999999999996</v>
      </c>
    </row>
    <row r="35" spans="9:15" x14ac:dyDescent="0.25">
      <c r="I35" s="9">
        <v>4.7</v>
      </c>
      <c r="N35" s="9">
        <v>4.7</v>
      </c>
    </row>
    <row r="36" spans="9:15" x14ac:dyDescent="0.25">
      <c r="I36" s="9">
        <v>4.7</v>
      </c>
      <c r="N36" s="9">
        <v>4.7</v>
      </c>
    </row>
    <row r="37" spans="9:15" x14ac:dyDescent="0.25">
      <c r="I37" s="9">
        <v>4.8</v>
      </c>
      <c r="N37" s="9">
        <v>4.8</v>
      </c>
    </row>
    <row r="38" spans="9:15" x14ac:dyDescent="0.25">
      <c r="I38" s="9">
        <v>4.8</v>
      </c>
      <c r="N38" s="9">
        <v>4.8</v>
      </c>
    </row>
    <row r="39" spans="9:15" x14ac:dyDescent="0.25">
      <c r="I39" s="9">
        <v>4.8</v>
      </c>
      <c r="N39" s="9">
        <v>4.8</v>
      </c>
    </row>
    <row r="40" spans="9:15" x14ac:dyDescent="0.25">
      <c r="I40" s="9">
        <v>5</v>
      </c>
      <c r="N40" s="9">
        <v>5</v>
      </c>
    </row>
    <row r="41" spans="9:15" x14ac:dyDescent="0.25">
      <c r="I41" s="9">
        <v>5.2</v>
      </c>
      <c r="O41" s="9">
        <v>5.2</v>
      </c>
    </row>
    <row r="42" spans="9:15" x14ac:dyDescent="0.25">
      <c r="I42" s="9">
        <v>5.4</v>
      </c>
      <c r="O42" s="9">
        <v>5.4</v>
      </c>
    </row>
    <row r="43" spans="9:15" x14ac:dyDescent="0.25">
      <c r="I43" s="9">
        <v>5.4</v>
      </c>
      <c r="O43" s="9">
        <v>5.4</v>
      </c>
    </row>
    <row r="44" spans="9:15" x14ac:dyDescent="0.25">
      <c r="I44" s="9">
        <v>5.4</v>
      </c>
      <c r="O44" s="9">
        <v>5.4</v>
      </c>
    </row>
    <row r="45" spans="9:15" x14ac:dyDescent="0.25">
      <c r="I45" s="9">
        <v>5.5</v>
      </c>
      <c r="O45" s="9">
        <v>5.5</v>
      </c>
    </row>
    <row r="46" spans="9:15" x14ac:dyDescent="0.25">
      <c r="I46" s="9">
        <v>5.5</v>
      </c>
      <c r="O46" s="9">
        <v>5.5</v>
      </c>
    </row>
    <row r="47" spans="9:15" x14ac:dyDescent="0.25">
      <c r="I47" s="9">
        <v>5.5</v>
      </c>
      <c r="O47" s="9">
        <v>5.5</v>
      </c>
    </row>
    <row r="48" spans="9:15" x14ac:dyDescent="0.25">
      <c r="I48" s="9">
        <v>5.7</v>
      </c>
      <c r="O48" s="9">
        <v>5.7</v>
      </c>
    </row>
    <row r="49" spans="9:16" x14ac:dyDescent="0.25">
      <c r="I49" s="9">
        <v>5.7</v>
      </c>
      <c r="O49" s="9">
        <v>5.7</v>
      </c>
    </row>
    <row r="50" spans="9:16" x14ac:dyDescent="0.25">
      <c r="I50" s="9">
        <v>5.7</v>
      </c>
      <c r="O50" s="9">
        <v>5.7</v>
      </c>
    </row>
    <row r="51" spans="9:16" x14ac:dyDescent="0.25">
      <c r="I51" s="9">
        <v>5.7</v>
      </c>
      <c r="O51" s="9">
        <v>5.7</v>
      </c>
    </row>
    <row r="52" spans="9:16" x14ac:dyDescent="0.25">
      <c r="I52" s="9">
        <v>5.8</v>
      </c>
      <c r="O52" s="9">
        <v>5.8</v>
      </c>
    </row>
    <row r="53" spans="9:16" x14ac:dyDescent="0.25">
      <c r="I53" s="9">
        <v>5.8</v>
      </c>
      <c r="O53" s="9">
        <v>5.8</v>
      </c>
    </row>
    <row r="54" spans="9:16" x14ac:dyDescent="0.25">
      <c r="I54" s="9">
        <v>5.9</v>
      </c>
      <c r="O54" s="9">
        <v>5.9</v>
      </c>
    </row>
    <row r="55" spans="9:16" x14ac:dyDescent="0.25">
      <c r="I55" s="9">
        <v>5.9</v>
      </c>
      <c r="O55" s="9">
        <v>5.9</v>
      </c>
    </row>
    <row r="56" spans="9:16" x14ac:dyDescent="0.25">
      <c r="I56" s="9">
        <v>6</v>
      </c>
      <c r="O56" s="9">
        <v>6</v>
      </c>
    </row>
    <row r="57" spans="9:16" x14ac:dyDescent="0.25">
      <c r="I57" s="9">
        <v>6</v>
      </c>
      <c r="O57" s="9">
        <v>6</v>
      </c>
    </row>
    <row r="58" spans="9:16" x14ac:dyDescent="0.25">
      <c r="I58" s="9">
        <v>6</v>
      </c>
      <c r="O58" s="9">
        <v>6</v>
      </c>
    </row>
    <row r="59" spans="9:16" x14ac:dyDescent="0.25">
      <c r="I59" s="9">
        <v>6</v>
      </c>
      <c r="O59" s="9">
        <v>6</v>
      </c>
    </row>
    <row r="60" spans="9:16" x14ac:dyDescent="0.25">
      <c r="I60" s="9">
        <v>6.1</v>
      </c>
      <c r="P60" s="9">
        <v>6.1</v>
      </c>
    </row>
    <row r="61" spans="9:16" x14ac:dyDescent="0.25">
      <c r="I61" s="9">
        <v>6.1</v>
      </c>
      <c r="P61" s="9">
        <v>6.1</v>
      </c>
    </row>
    <row r="62" spans="9:16" x14ac:dyDescent="0.25">
      <c r="I62" s="9">
        <v>6.1</v>
      </c>
      <c r="P62" s="9">
        <v>6.1</v>
      </c>
    </row>
    <row r="63" spans="9:16" x14ac:dyDescent="0.25">
      <c r="I63" s="9">
        <v>6.1</v>
      </c>
      <c r="P63" s="9">
        <v>6.1</v>
      </c>
    </row>
    <row r="64" spans="9:16" x14ac:dyDescent="0.25">
      <c r="I64" s="9">
        <v>6.1</v>
      </c>
      <c r="P64" s="9">
        <v>6.1</v>
      </c>
    </row>
    <row r="65" spans="9:16" x14ac:dyDescent="0.25">
      <c r="I65" s="9">
        <v>6.1</v>
      </c>
      <c r="P65" s="9">
        <v>6.1</v>
      </c>
    </row>
    <row r="66" spans="9:16" x14ac:dyDescent="0.25">
      <c r="I66" s="9">
        <v>6.2</v>
      </c>
      <c r="P66" s="9">
        <v>6.2</v>
      </c>
    </row>
    <row r="67" spans="9:16" x14ac:dyDescent="0.25">
      <c r="I67" s="9">
        <v>6.2</v>
      </c>
      <c r="P67" s="9">
        <v>6.2</v>
      </c>
    </row>
    <row r="68" spans="9:16" x14ac:dyDescent="0.25">
      <c r="I68" s="9">
        <v>6.2</v>
      </c>
      <c r="P68" s="9">
        <v>6.2</v>
      </c>
    </row>
    <row r="69" spans="9:16" x14ac:dyDescent="0.25">
      <c r="I69" s="9">
        <v>6.2</v>
      </c>
      <c r="P69" s="9">
        <v>6.2</v>
      </c>
    </row>
    <row r="70" spans="9:16" x14ac:dyDescent="0.25">
      <c r="I70" s="9">
        <v>6.3</v>
      </c>
      <c r="P70" s="9">
        <v>6.3</v>
      </c>
    </row>
    <row r="71" spans="9:16" x14ac:dyDescent="0.25">
      <c r="I71" s="9">
        <v>6.3</v>
      </c>
      <c r="P71" s="9">
        <v>6.3</v>
      </c>
    </row>
    <row r="72" spans="9:16" x14ac:dyDescent="0.25">
      <c r="I72" s="9">
        <v>6.4</v>
      </c>
      <c r="P72" s="9">
        <v>6.4</v>
      </c>
    </row>
    <row r="73" spans="9:16" x14ac:dyDescent="0.25">
      <c r="I73" s="9">
        <v>6.4</v>
      </c>
      <c r="P73" s="9">
        <v>6.4</v>
      </c>
    </row>
    <row r="74" spans="9:16" x14ac:dyDescent="0.25">
      <c r="I74" s="9">
        <v>6.4</v>
      </c>
      <c r="P74" s="9">
        <v>6.4</v>
      </c>
    </row>
    <row r="75" spans="9:16" x14ac:dyDescent="0.25">
      <c r="I75" s="9">
        <v>6.4</v>
      </c>
      <c r="P75" s="9">
        <v>6.4</v>
      </c>
    </row>
    <row r="76" spans="9:16" x14ac:dyDescent="0.25">
      <c r="I76" s="9">
        <v>6.5</v>
      </c>
      <c r="P76" s="9">
        <v>6.5</v>
      </c>
    </row>
    <row r="77" spans="9:16" x14ac:dyDescent="0.25">
      <c r="I77" s="9">
        <v>6.5</v>
      </c>
      <c r="P77" s="9">
        <v>6.5</v>
      </c>
    </row>
    <row r="78" spans="9:16" x14ac:dyDescent="0.25">
      <c r="I78" s="9">
        <v>6.5</v>
      </c>
      <c r="P78" s="9">
        <v>6.5</v>
      </c>
    </row>
    <row r="79" spans="9:16" x14ac:dyDescent="0.25">
      <c r="I79" s="9">
        <v>6.5</v>
      </c>
      <c r="P79" s="9">
        <v>6.5</v>
      </c>
    </row>
    <row r="80" spans="9:16" x14ac:dyDescent="0.25">
      <c r="I80" s="9">
        <v>6.5</v>
      </c>
      <c r="P80" s="9">
        <v>6.5</v>
      </c>
    </row>
    <row r="81" spans="9:17" x14ac:dyDescent="0.25">
      <c r="I81" s="9">
        <v>6.5</v>
      </c>
      <c r="P81" s="9">
        <v>6.5</v>
      </c>
    </row>
    <row r="82" spans="9:17" x14ac:dyDescent="0.25">
      <c r="I82" s="9">
        <v>6.5</v>
      </c>
      <c r="P82" s="9">
        <v>6.5</v>
      </c>
    </row>
    <row r="83" spans="9:17" x14ac:dyDescent="0.25">
      <c r="I83" s="9">
        <v>6.5</v>
      </c>
      <c r="P83" s="9">
        <v>6.5</v>
      </c>
    </row>
    <row r="84" spans="9:17" x14ac:dyDescent="0.25">
      <c r="I84" s="9">
        <v>6.7</v>
      </c>
      <c r="P84" s="9">
        <v>6.7</v>
      </c>
    </row>
    <row r="85" spans="9:17" x14ac:dyDescent="0.25">
      <c r="I85" s="9">
        <v>6.7</v>
      </c>
      <c r="P85" s="9">
        <v>6.7</v>
      </c>
    </row>
    <row r="86" spans="9:17" x14ac:dyDescent="0.25">
      <c r="I86" s="9">
        <v>6.7</v>
      </c>
      <c r="P86" s="9">
        <v>6.7</v>
      </c>
    </row>
    <row r="87" spans="9:17" x14ac:dyDescent="0.25">
      <c r="I87" s="9">
        <v>6.7</v>
      </c>
      <c r="P87" s="9">
        <v>6.7</v>
      </c>
    </row>
    <row r="88" spans="9:17" x14ac:dyDescent="0.25">
      <c r="I88" s="9">
        <v>6.7</v>
      </c>
      <c r="P88" s="9">
        <v>6.7</v>
      </c>
    </row>
    <row r="89" spans="9:17" x14ac:dyDescent="0.25">
      <c r="I89" s="9">
        <v>6.7</v>
      </c>
      <c r="P89" s="9">
        <v>6.7</v>
      </c>
    </row>
    <row r="90" spans="9:17" x14ac:dyDescent="0.25">
      <c r="I90" s="9">
        <v>6.7</v>
      </c>
      <c r="P90" s="9">
        <v>6.7</v>
      </c>
    </row>
    <row r="91" spans="9:17" x14ac:dyDescent="0.25">
      <c r="I91" s="9">
        <v>6.8</v>
      </c>
      <c r="P91" s="9">
        <v>6.8</v>
      </c>
    </row>
    <row r="92" spans="9:17" x14ac:dyDescent="0.25">
      <c r="I92" s="9">
        <v>6.9</v>
      </c>
      <c r="P92" s="9">
        <v>6.9</v>
      </c>
    </row>
    <row r="93" spans="9:17" x14ac:dyDescent="0.25">
      <c r="I93" s="9">
        <v>7</v>
      </c>
      <c r="Q93" s="9">
        <v>7</v>
      </c>
    </row>
    <row r="94" spans="9:17" x14ac:dyDescent="0.25">
      <c r="I94" s="9">
        <v>7</v>
      </c>
      <c r="Q94" s="9">
        <v>7</v>
      </c>
    </row>
    <row r="95" spans="9:17" x14ac:dyDescent="0.25">
      <c r="I95" s="9">
        <v>7.1</v>
      </c>
      <c r="Q95" s="9">
        <v>7.1</v>
      </c>
    </row>
    <row r="96" spans="9:17" x14ac:dyDescent="0.25">
      <c r="I96" s="9">
        <v>7.1</v>
      </c>
      <c r="Q96" s="9">
        <v>7.1</v>
      </c>
    </row>
    <row r="97" spans="9:17" x14ac:dyDescent="0.25">
      <c r="I97" s="9">
        <v>7.2</v>
      </c>
      <c r="Q97" s="9">
        <v>7.2</v>
      </c>
    </row>
    <row r="98" spans="9:17" x14ac:dyDescent="0.25">
      <c r="I98" s="9">
        <v>7.2</v>
      </c>
      <c r="Q98" s="9">
        <v>7.2</v>
      </c>
    </row>
    <row r="99" spans="9:17" x14ac:dyDescent="0.25">
      <c r="I99" s="9">
        <v>7.2</v>
      </c>
      <c r="Q99" s="9">
        <v>7.2</v>
      </c>
    </row>
    <row r="100" spans="9:17" x14ac:dyDescent="0.25">
      <c r="I100" s="9">
        <v>7.2</v>
      </c>
      <c r="Q100" s="9">
        <v>7.2</v>
      </c>
    </row>
    <row r="101" spans="9:17" x14ac:dyDescent="0.25">
      <c r="I101" s="9">
        <v>7.2</v>
      </c>
      <c r="Q101" s="9">
        <v>7.2</v>
      </c>
    </row>
    <row r="102" spans="9:17" x14ac:dyDescent="0.25">
      <c r="I102" s="9">
        <v>7.3</v>
      </c>
      <c r="Q102" s="9">
        <v>7.3</v>
      </c>
    </row>
    <row r="103" spans="9:17" x14ac:dyDescent="0.25">
      <c r="I103" s="9">
        <v>7.3</v>
      </c>
      <c r="Q103" s="9">
        <v>7.3</v>
      </c>
    </row>
    <row r="104" spans="9:17" x14ac:dyDescent="0.25">
      <c r="I104" s="9">
        <v>7.4</v>
      </c>
      <c r="Q104" s="9">
        <v>7.4</v>
      </c>
    </row>
    <row r="105" spans="9:17" x14ac:dyDescent="0.25">
      <c r="I105" s="9">
        <v>7.5</v>
      </c>
      <c r="Q105" s="9">
        <v>7.5</v>
      </c>
    </row>
    <row r="106" spans="9:17" x14ac:dyDescent="0.25">
      <c r="I106" s="9">
        <v>7.5</v>
      </c>
      <c r="Q106" s="9">
        <v>7.5</v>
      </c>
    </row>
    <row r="107" spans="9:17" x14ac:dyDescent="0.25">
      <c r="I107" s="9">
        <v>7.5</v>
      </c>
      <c r="Q107" s="9">
        <v>7.5</v>
      </c>
    </row>
    <row r="108" spans="9:17" x14ac:dyDescent="0.25">
      <c r="I108" s="9">
        <v>7.5</v>
      </c>
      <c r="Q108" s="9">
        <v>7.5</v>
      </c>
    </row>
    <row r="109" spans="9:17" x14ac:dyDescent="0.25">
      <c r="I109" s="9">
        <v>7.5</v>
      </c>
      <c r="Q109" s="9">
        <v>7.5</v>
      </c>
    </row>
    <row r="110" spans="9:17" x14ac:dyDescent="0.25">
      <c r="I110" s="9">
        <v>7.5</v>
      </c>
      <c r="Q110" s="9">
        <v>7.5</v>
      </c>
    </row>
    <row r="111" spans="9:17" x14ac:dyDescent="0.25">
      <c r="I111" s="9">
        <v>7.5</v>
      </c>
      <c r="Q111" s="9">
        <v>7.5</v>
      </c>
    </row>
    <row r="112" spans="9:17" x14ac:dyDescent="0.25">
      <c r="I112" s="9">
        <v>7.6</v>
      </c>
      <c r="Q112" s="9">
        <v>7.6</v>
      </c>
    </row>
    <row r="113" spans="9:18" x14ac:dyDescent="0.25">
      <c r="I113" s="9">
        <v>7.6</v>
      </c>
      <c r="Q113" s="9">
        <v>7.6</v>
      </c>
    </row>
    <row r="114" spans="9:18" x14ac:dyDescent="0.25">
      <c r="I114" s="9">
        <v>7.7</v>
      </c>
      <c r="Q114" s="9">
        <v>7.7</v>
      </c>
    </row>
    <row r="115" spans="9:18" x14ac:dyDescent="0.25">
      <c r="I115" s="9">
        <v>7.7</v>
      </c>
      <c r="Q115" s="9">
        <v>7.7</v>
      </c>
    </row>
    <row r="116" spans="9:18" x14ac:dyDescent="0.25">
      <c r="I116" s="9">
        <v>7.7</v>
      </c>
      <c r="Q116" s="9">
        <v>7.7</v>
      </c>
    </row>
    <row r="117" spans="9:18" x14ac:dyDescent="0.25">
      <c r="I117" s="9">
        <v>7.7</v>
      </c>
      <c r="Q117" s="9">
        <v>7.7</v>
      </c>
    </row>
    <row r="118" spans="9:18" x14ac:dyDescent="0.25">
      <c r="I118" s="9">
        <v>7.9</v>
      </c>
      <c r="Q118" s="9">
        <v>7.9</v>
      </c>
    </row>
    <row r="119" spans="9:18" x14ac:dyDescent="0.25">
      <c r="I119" s="9">
        <v>7.9</v>
      </c>
      <c r="Q119" s="9">
        <v>7.9</v>
      </c>
    </row>
    <row r="120" spans="9:18" x14ac:dyDescent="0.25">
      <c r="I120" s="9">
        <v>8</v>
      </c>
      <c r="Q120" s="9">
        <v>8</v>
      </c>
    </row>
    <row r="121" spans="9:18" x14ac:dyDescent="0.25">
      <c r="I121" s="9">
        <v>8.1</v>
      </c>
      <c r="R121" s="9">
        <v>8.1</v>
      </c>
    </row>
    <row r="122" spans="9:18" x14ac:dyDescent="0.25">
      <c r="I122" s="9">
        <v>8.1</v>
      </c>
      <c r="R122" s="9">
        <v>8.1</v>
      </c>
    </row>
    <row r="123" spans="9:18" x14ac:dyDescent="0.25">
      <c r="I123" s="9">
        <v>8.1999999999999993</v>
      </c>
      <c r="R123" s="9">
        <v>8.1999999999999993</v>
      </c>
    </row>
    <row r="124" spans="9:18" x14ac:dyDescent="0.25">
      <c r="I124" s="9">
        <v>8.1999999999999993</v>
      </c>
      <c r="R124" s="9">
        <v>8.1999999999999993</v>
      </c>
    </row>
    <row r="125" spans="9:18" x14ac:dyDescent="0.25">
      <c r="I125" s="9">
        <v>8.1999999999999993</v>
      </c>
      <c r="R125" s="9">
        <v>8.1999999999999993</v>
      </c>
    </row>
    <row r="126" spans="9:18" x14ac:dyDescent="0.25">
      <c r="I126" s="9">
        <v>8.3000000000000007</v>
      </c>
      <c r="R126" s="9">
        <v>8.3000000000000007</v>
      </c>
    </row>
    <row r="127" spans="9:18" x14ac:dyDescent="0.25">
      <c r="I127" s="9">
        <v>8.4</v>
      </c>
      <c r="R127" s="9">
        <v>8.4</v>
      </c>
    </row>
    <row r="128" spans="9:18" x14ac:dyDescent="0.25">
      <c r="I128" s="9">
        <v>8.5</v>
      </c>
      <c r="R128" s="9">
        <v>8.5</v>
      </c>
    </row>
    <row r="129" spans="9:19" x14ac:dyDescent="0.25">
      <c r="I129" s="9">
        <v>8.6</v>
      </c>
      <c r="R129" s="9">
        <v>8.6</v>
      </c>
    </row>
    <row r="130" spans="9:19" x14ac:dyDescent="0.25">
      <c r="I130" s="9">
        <v>8.6999999999999993</v>
      </c>
      <c r="R130" s="9">
        <v>8.6999999999999993</v>
      </c>
    </row>
    <row r="131" spans="9:19" x14ac:dyDescent="0.25">
      <c r="I131" s="9">
        <v>8.6999999999999993</v>
      </c>
      <c r="R131" s="9">
        <v>8.6999999999999993</v>
      </c>
    </row>
    <row r="132" spans="9:19" x14ac:dyDescent="0.25">
      <c r="I132" s="9">
        <v>8.9</v>
      </c>
      <c r="R132" s="9">
        <v>8.9</v>
      </c>
    </row>
    <row r="133" spans="9:19" x14ac:dyDescent="0.25">
      <c r="I133" s="9">
        <v>9</v>
      </c>
      <c r="R133" s="9">
        <v>9</v>
      </c>
    </row>
    <row r="134" spans="9:19" x14ac:dyDescent="0.25">
      <c r="I134" s="9">
        <v>9.1</v>
      </c>
      <c r="S134" s="9">
        <v>9.1</v>
      </c>
    </row>
    <row r="135" spans="9:19" x14ac:dyDescent="0.25">
      <c r="I135" s="9">
        <v>9.1999999999999993</v>
      </c>
      <c r="S135" s="9">
        <v>9.1999999999999993</v>
      </c>
    </row>
    <row r="136" spans="9:19" x14ac:dyDescent="0.25">
      <c r="I136" s="9">
        <v>9.5</v>
      </c>
      <c r="S136" s="9">
        <v>9.5</v>
      </c>
    </row>
    <row r="137" spans="9:19" x14ac:dyDescent="0.25">
      <c r="I137" s="9">
        <v>9.6</v>
      </c>
      <c r="S137" s="9">
        <v>9.6</v>
      </c>
    </row>
    <row r="138" spans="9:19" x14ac:dyDescent="0.25">
      <c r="I138" s="9">
        <v>9.6999999999999993</v>
      </c>
      <c r="S138" s="9">
        <v>9.6999999999999993</v>
      </c>
    </row>
    <row r="139" spans="9:19" ht="15.75" x14ac:dyDescent="0.25">
      <c r="I139" s="5">
        <f>SUM(I11:I138)/128</f>
        <v>6.2726562500000016</v>
      </c>
      <c r="J139" t="s">
        <v>38</v>
      </c>
    </row>
  </sheetData>
  <sortState xmlns:xlrd2="http://schemas.microsoft.com/office/spreadsheetml/2017/richdata2" ref="I11:I138">
    <sortCondition ref="I11:I138"/>
  </sortState>
  <phoneticPr fontId="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FFE9-35B8-4ACA-824D-FBB2277EAD1A}">
  <sheetPr transitionEvaluation="1" transitionEntry="1"/>
  <dimension ref="A2:O146"/>
  <sheetViews>
    <sheetView showGridLines="0" workbookViewId="0"/>
  </sheetViews>
  <sheetFormatPr defaultRowHeight="15" x14ac:dyDescent="0.25"/>
  <cols>
    <col min="10" max="10" width="9.85546875" customWidth="1"/>
    <col min="11" max="11" width="14.7109375" customWidth="1"/>
    <col min="12" max="12" width="15.28515625" customWidth="1"/>
    <col min="13" max="13" width="20.42578125" customWidth="1"/>
    <col min="14" max="14" width="18.28515625" customWidth="1"/>
  </cols>
  <sheetData>
    <row r="2" spans="1:15" x14ac:dyDescent="0.25">
      <c r="A2" t="s">
        <v>1</v>
      </c>
      <c r="O2" s="28" t="s">
        <v>0</v>
      </c>
    </row>
    <row r="3" spans="1:15" x14ac:dyDescent="0.25">
      <c r="A3" t="s">
        <v>2</v>
      </c>
    </row>
    <row r="4" spans="1:15" x14ac:dyDescent="0.25">
      <c r="A4" t="s">
        <v>3</v>
      </c>
    </row>
    <row r="10" spans="1:15" x14ac:dyDescent="0.25">
      <c r="M10" s="28" t="s">
        <v>0</v>
      </c>
    </row>
    <row r="11" spans="1:15" x14ac:dyDescent="0.25">
      <c r="G11" s="1"/>
      <c r="H11" s="1"/>
      <c r="I11" s="1"/>
      <c r="J11" s="2"/>
      <c r="K11" s="2"/>
      <c r="L11" s="2"/>
      <c r="M11" s="2"/>
      <c r="N11" s="2"/>
    </row>
    <row r="12" spans="1:15" ht="30" x14ac:dyDescent="0.25">
      <c r="G12" s="1" t="s">
        <v>4</v>
      </c>
      <c r="H12" s="1" t="s">
        <v>5</v>
      </c>
      <c r="I12" s="1" t="s">
        <v>6</v>
      </c>
      <c r="J12" s="2" t="s">
        <v>7</v>
      </c>
      <c r="K12" s="2" t="s">
        <v>8</v>
      </c>
      <c r="L12" s="2" t="s">
        <v>9</v>
      </c>
      <c r="M12" s="2" t="s">
        <v>10</v>
      </c>
      <c r="N12" s="2" t="s">
        <v>11</v>
      </c>
    </row>
    <row r="13" spans="1:15" ht="30" x14ac:dyDescent="0.25">
      <c r="G13" s="3">
        <f>5-24-19</f>
        <v>-38</v>
      </c>
      <c r="H13" s="3">
        <v>1005</v>
      </c>
      <c r="I13" s="3">
        <v>3416</v>
      </c>
      <c r="J13" s="3" t="s">
        <v>12</v>
      </c>
      <c r="K13" s="3" t="s">
        <v>13</v>
      </c>
      <c r="L13" s="3" t="s">
        <v>14</v>
      </c>
      <c r="M13" s="3">
        <v>4</v>
      </c>
      <c r="N13" s="4">
        <v>1</v>
      </c>
    </row>
    <row r="14" spans="1:15" ht="30" x14ac:dyDescent="0.25">
      <c r="G14" s="3">
        <f>5-27-19</f>
        <v>-41</v>
      </c>
      <c r="H14" s="3">
        <v>1006</v>
      </c>
      <c r="I14" s="3">
        <v>3417</v>
      </c>
      <c r="J14" s="3" t="s">
        <v>12</v>
      </c>
      <c r="K14" s="3" t="s">
        <v>15</v>
      </c>
      <c r="L14" s="3" t="s">
        <v>16</v>
      </c>
      <c r="M14" s="3">
        <v>5.7</v>
      </c>
      <c r="N14" s="4">
        <v>1</v>
      </c>
    </row>
    <row r="15" spans="1:15" x14ac:dyDescent="0.25">
      <c r="G15" s="3">
        <f>5-28-19</f>
        <v>-42</v>
      </c>
      <c r="H15" s="3">
        <v>1007</v>
      </c>
      <c r="I15" s="3">
        <v>3418</v>
      </c>
      <c r="J15" s="3" t="s">
        <v>12</v>
      </c>
      <c r="K15" s="3" t="s">
        <v>15</v>
      </c>
      <c r="L15" s="3" t="s">
        <v>16</v>
      </c>
      <c r="M15" s="3">
        <v>6.5</v>
      </c>
      <c r="N15" s="4">
        <v>1</v>
      </c>
    </row>
    <row r="16" spans="1:15" x14ac:dyDescent="0.25">
      <c r="G16" s="3">
        <f>5-28-19</f>
        <v>-42</v>
      </c>
      <c r="H16" s="3">
        <v>1008</v>
      </c>
      <c r="I16" s="3">
        <v>3419</v>
      </c>
      <c r="J16" s="3" t="s">
        <v>12</v>
      </c>
      <c r="K16" s="3" t="s">
        <v>15</v>
      </c>
      <c r="L16" s="3" t="s">
        <v>16</v>
      </c>
      <c r="M16" s="3">
        <v>5.5</v>
      </c>
      <c r="N16" s="4">
        <v>1</v>
      </c>
    </row>
    <row r="17" spans="7:14" x14ac:dyDescent="0.25">
      <c r="G17" s="3">
        <f>5-28-19</f>
        <v>-42</v>
      </c>
      <c r="H17" s="3">
        <v>1009</v>
      </c>
      <c r="I17" s="3">
        <v>3420</v>
      </c>
      <c r="J17" s="3" t="s">
        <v>12</v>
      </c>
      <c r="K17" s="3" t="s">
        <v>15</v>
      </c>
      <c r="L17" s="3" t="s">
        <v>16</v>
      </c>
      <c r="M17" s="3">
        <v>7.2</v>
      </c>
      <c r="N17" s="4">
        <v>1</v>
      </c>
    </row>
    <row r="18" spans="7:14" x14ac:dyDescent="0.25">
      <c r="G18" s="3">
        <f>5-29-19</f>
        <v>-43</v>
      </c>
      <c r="H18" s="3">
        <v>1010</v>
      </c>
      <c r="I18" s="3">
        <v>3421</v>
      </c>
      <c r="J18" s="3" t="s">
        <v>12</v>
      </c>
      <c r="K18" s="3" t="s">
        <v>15</v>
      </c>
      <c r="L18" s="3" t="s">
        <v>16</v>
      </c>
      <c r="M18" s="3">
        <v>6.3</v>
      </c>
      <c r="N18" s="4">
        <v>1</v>
      </c>
    </row>
    <row r="19" spans="7:14" x14ac:dyDescent="0.25">
      <c r="G19" s="3">
        <f>5-30-19</f>
        <v>-44</v>
      </c>
      <c r="H19" s="3">
        <v>1011</v>
      </c>
      <c r="I19" s="3">
        <v>3422</v>
      </c>
      <c r="J19" s="3" t="s">
        <v>12</v>
      </c>
      <c r="K19" s="3" t="s">
        <v>13</v>
      </c>
      <c r="L19" s="3" t="s">
        <v>16</v>
      </c>
      <c r="M19" s="3">
        <v>4.7</v>
      </c>
      <c r="N19" s="4">
        <v>1</v>
      </c>
    </row>
    <row r="20" spans="7:14" x14ac:dyDescent="0.25">
      <c r="G20" s="3">
        <f>6-1-19</f>
        <v>-14</v>
      </c>
      <c r="H20" s="3">
        <v>1012</v>
      </c>
      <c r="I20" s="3">
        <v>3423</v>
      </c>
      <c r="J20" s="3" t="s">
        <v>12</v>
      </c>
      <c r="K20" s="3" t="s">
        <v>13</v>
      </c>
      <c r="L20" s="3" t="s">
        <v>14</v>
      </c>
      <c r="M20" s="3">
        <v>7.5</v>
      </c>
      <c r="N20" s="4">
        <v>1</v>
      </c>
    </row>
    <row r="21" spans="7:14" x14ac:dyDescent="0.25">
      <c r="G21" s="3">
        <f>3-30-19</f>
        <v>-46</v>
      </c>
      <c r="H21" s="3">
        <v>982</v>
      </c>
      <c r="I21" s="3">
        <v>3444</v>
      </c>
      <c r="J21" s="3" t="s">
        <v>12</v>
      </c>
      <c r="K21" s="3" t="s">
        <v>17</v>
      </c>
      <c r="L21" s="3" t="s">
        <v>14</v>
      </c>
      <c r="M21" s="3">
        <v>4.5</v>
      </c>
      <c r="N21" s="4">
        <v>1</v>
      </c>
    </row>
    <row r="22" spans="7:14" x14ac:dyDescent="0.25">
      <c r="G22" s="3">
        <f>6-19-19</f>
        <v>-32</v>
      </c>
      <c r="H22" s="3">
        <v>1013</v>
      </c>
      <c r="I22" s="3">
        <v>3464</v>
      </c>
      <c r="J22" s="3" t="s">
        <v>12</v>
      </c>
      <c r="K22" s="3" t="s">
        <v>18</v>
      </c>
      <c r="L22" s="3" t="s">
        <v>14</v>
      </c>
      <c r="M22" s="3">
        <v>8.6999999999999993</v>
      </c>
      <c r="N22" s="4">
        <v>1</v>
      </c>
    </row>
    <row r="23" spans="7:14" x14ac:dyDescent="0.25">
      <c r="G23" s="3">
        <f>6-24-19</f>
        <v>-37</v>
      </c>
      <c r="H23" s="3">
        <v>1014</v>
      </c>
      <c r="I23" s="3">
        <v>3465</v>
      </c>
      <c r="J23" s="3" t="s">
        <v>12</v>
      </c>
      <c r="K23" s="3" t="s">
        <v>13</v>
      </c>
      <c r="L23" s="3" t="s">
        <v>16</v>
      </c>
      <c r="M23" s="3">
        <v>7.1</v>
      </c>
      <c r="N23" s="4">
        <v>1</v>
      </c>
    </row>
    <row r="24" spans="7:14" x14ac:dyDescent="0.25">
      <c r="G24" s="3">
        <f>6-24-19</f>
        <v>-37</v>
      </c>
      <c r="H24" s="3">
        <v>1015</v>
      </c>
      <c r="I24" s="3">
        <v>3466</v>
      </c>
      <c r="J24" s="3" t="s">
        <v>12</v>
      </c>
      <c r="K24" s="3" t="s">
        <v>13</v>
      </c>
      <c r="L24" s="3" t="s">
        <v>16</v>
      </c>
      <c r="M24" s="3">
        <v>1.9</v>
      </c>
      <c r="N24" s="4">
        <v>1</v>
      </c>
    </row>
    <row r="25" spans="7:14" x14ac:dyDescent="0.25">
      <c r="G25" s="3">
        <f>6-24-19</f>
        <v>-37</v>
      </c>
      <c r="H25" s="3">
        <v>1016</v>
      </c>
      <c r="I25" s="3">
        <v>3467</v>
      </c>
      <c r="J25" s="3" t="s">
        <v>12</v>
      </c>
      <c r="K25" s="3" t="s">
        <v>13</v>
      </c>
      <c r="L25" s="3" t="s">
        <v>14</v>
      </c>
      <c r="M25" s="3">
        <v>8</v>
      </c>
      <c r="N25" s="4">
        <v>1</v>
      </c>
    </row>
    <row r="26" spans="7:14" ht="30" x14ac:dyDescent="0.25">
      <c r="G26" s="3">
        <f>6-3-18</f>
        <v>-15</v>
      </c>
      <c r="H26" s="3">
        <v>1180</v>
      </c>
      <c r="I26" s="3">
        <v>3477</v>
      </c>
      <c r="J26" s="3" t="s">
        <v>12</v>
      </c>
      <c r="K26" s="3" t="s">
        <v>19</v>
      </c>
      <c r="L26" s="3" t="s">
        <v>20</v>
      </c>
      <c r="M26" s="3">
        <v>5.2</v>
      </c>
      <c r="N26" s="4">
        <v>1</v>
      </c>
    </row>
    <row r="27" spans="7:14" ht="30" x14ac:dyDescent="0.25">
      <c r="G27" s="3">
        <f>6-3-18</f>
        <v>-15</v>
      </c>
      <c r="H27" s="3">
        <v>1181</v>
      </c>
      <c r="I27" s="3">
        <v>3478</v>
      </c>
      <c r="J27" s="3" t="s">
        <v>12</v>
      </c>
      <c r="K27" s="3" t="s">
        <v>19</v>
      </c>
      <c r="L27" s="3" t="s">
        <v>20</v>
      </c>
      <c r="M27" s="3">
        <v>4.7</v>
      </c>
      <c r="N27" s="4">
        <v>1</v>
      </c>
    </row>
    <row r="28" spans="7:14" ht="30" x14ac:dyDescent="0.25">
      <c r="G28" s="3">
        <f>6-3-18</f>
        <v>-15</v>
      </c>
      <c r="H28" s="3">
        <v>1182</v>
      </c>
      <c r="I28" s="3">
        <v>3479</v>
      </c>
      <c r="J28" s="3" t="s">
        <v>12</v>
      </c>
      <c r="K28" s="3" t="s">
        <v>19</v>
      </c>
      <c r="L28" s="3" t="s">
        <v>20</v>
      </c>
      <c r="M28" s="3">
        <v>3.1</v>
      </c>
      <c r="N28" s="4">
        <v>1</v>
      </c>
    </row>
    <row r="29" spans="7:14" ht="30" x14ac:dyDescent="0.25">
      <c r="G29" s="3">
        <f>6-3-18</f>
        <v>-15</v>
      </c>
      <c r="H29" s="3">
        <v>1183</v>
      </c>
      <c r="I29" s="3">
        <v>3480</v>
      </c>
      <c r="J29" s="3" t="s">
        <v>12</v>
      </c>
      <c r="K29" s="3" t="s">
        <v>19</v>
      </c>
      <c r="L29" s="3" t="s">
        <v>20</v>
      </c>
      <c r="M29" s="3">
        <v>4.5999999999999996</v>
      </c>
      <c r="N29" s="4">
        <v>1</v>
      </c>
    </row>
    <row r="30" spans="7:14" ht="30" x14ac:dyDescent="0.25">
      <c r="G30" s="3">
        <f>6-3-18</f>
        <v>-15</v>
      </c>
      <c r="H30" s="3">
        <v>1184</v>
      </c>
      <c r="I30" s="3">
        <v>3481</v>
      </c>
      <c r="J30" s="3" t="s">
        <v>12</v>
      </c>
      <c r="K30" s="3" t="s">
        <v>19</v>
      </c>
      <c r="L30" s="3" t="s">
        <v>20</v>
      </c>
      <c r="M30" s="3">
        <v>4.4000000000000004</v>
      </c>
      <c r="N30" s="4">
        <v>1</v>
      </c>
    </row>
    <row r="31" spans="7:14" x14ac:dyDescent="0.25">
      <c r="G31" s="3">
        <f>9-6-19</f>
        <v>-16</v>
      </c>
      <c r="H31" s="3">
        <v>1018</v>
      </c>
      <c r="I31" s="3">
        <v>3496</v>
      </c>
      <c r="J31" s="3" t="s">
        <v>12</v>
      </c>
      <c r="K31" s="3" t="s">
        <v>21</v>
      </c>
      <c r="L31" s="3" t="s">
        <v>16</v>
      </c>
      <c r="M31" s="3">
        <v>7.1</v>
      </c>
      <c r="N31" s="4">
        <v>1</v>
      </c>
    </row>
    <row r="32" spans="7:14" x14ac:dyDescent="0.25">
      <c r="G32" s="3">
        <f>9-10-19</f>
        <v>-20</v>
      </c>
      <c r="H32" s="3">
        <v>1019</v>
      </c>
      <c r="I32" s="3">
        <v>3497</v>
      </c>
      <c r="J32" s="3" t="s">
        <v>12</v>
      </c>
      <c r="K32" s="3" t="s">
        <v>13</v>
      </c>
      <c r="L32" s="3" t="s">
        <v>16</v>
      </c>
      <c r="M32" s="3">
        <v>9.6</v>
      </c>
      <c r="N32" s="4">
        <v>1</v>
      </c>
    </row>
    <row r="33" spans="7:14" x14ac:dyDescent="0.25">
      <c r="G33" s="3">
        <f>9-17-19</f>
        <v>-27</v>
      </c>
      <c r="H33" s="3">
        <v>1020</v>
      </c>
      <c r="I33" s="3">
        <v>3498</v>
      </c>
      <c r="J33" s="3" t="s">
        <v>12</v>
      </c>
      <c r="K33" s="3" t="s">
        <v>21</v>
      </c>
      <c r="L33" s="3" t="s">
        <v>16</v>
      </c>
      <c r="M33" s="3">
        <v>7.3</v>
      </c>
      <c r="N33" s="4">
        <v>1</v>
      </c>
    </row>
    <row r="34" spans="7:14" x14ac:dyDescent="0.25">
      <c r="G34" s="3">
        <f>9-18-19</f>
        <v>-28</v>
      </c>
      <c r="H34" s="3">
        <v>1021</v>
      </c>
      <c r="I34" s="3">
        <v>3499</v>
      </c>
      <c r="J34" s="3" t="s">
        <v>12</v>
      </c>
      <c r="K34" s="3" t="s">
        <v>21</v>
      </c>
      <c r="L34" s="3" t="s">
        <v>16</v>
      </c>
      <c r="M34" s="3">
        <v>5.7</v>
      </c>
      <c r="N34" s="4">
        <v>1</v>
      </c>
    </row>
    <row r="35" spans="7:14" x14ac:dyDescent="0.25">
      <c r="G35" s="3">
        <f>9-18-19</f>
        <v>-28</v>
      </c>
      <c r="H35" s="3">
        <v>1022</v>
      </c>
      <c r="I35" s="3">
        <v>3500</v>
      </c>
      <c r="J35" s="3" t="s">
        <v>12</v>
      </c>
      <c r="K35" s="3" t="s">
        <v>21</v>
      </c>
      <c r="L35" s="3" t="s">
        <v>14</v>
      </c>
      <c r="M35" s="3">
        <v>7</v>
      </c>
      <c r="N35" s="4">
        <v>1</v>
      </c>
    </row>
    <row r="36" spans="7:14" x14ac:dyDescent="0.25">
      <c r="G36" s="3">
        <f>9-23-19</f>
        <v>-33</v>
      </c>
      <c r="H36" s="3">
        <v>1023</v>
      </c>
      <c r="I36" s="3">
        <v>3501</v>
      </c>
      <c r="J36" s="3" t="s">
        <v>12</v>
      </c>
      <c r="K36" s="3" t="s">
        <v>13</v>
      </c>
      <c r="L36" s="3" t="s">
        <v>16</v>
      </c>
      <c r="M36" s="3">
        <v>6.9</v>
      </c>
      <c r="N36" s="4">
        <v>1</v>
      </c>
    </row>
    <row r="37" spans="7:14" x14ac:dyDescent="0.25">
      <c r="G37" s="3">
        <f>9-24-19</f>
        <v>-34</v>
      </c>
      <c r="H37" s="3">
        <v>1024</v>
      </c>
      <c r="I37" s="3">
        <v>3502</v>
      </c>
      <c r="J37" s="3" t="s">
        <v>12</v>
      </c>
      <c r="K37" s="3" t="s">
        <v>13</v>
      </c>
      <c r="L37" s="3" t="s">
        <v>16</v>
      </c>
      <c r="M37" s="3">
        <v>7.7</v>
      </c>
      <c r="N37" s="4">
        <v>1</v>
      </c>
    </row>
    <row r="38" spans="7:14" x14ac:dyDescent="0.25">
      <c r="G38" s="3">
        <f>9-26-19</f>
        <v>-36</v>
      </c>
      <c r="H38" s="3">
        <v>1025</v>
      </c>
      <c r="I38" s="3">
        <v>3503</v>
      </c>
      <c r="J38" s="3" t="s">
        <v>12</v>
      </c>
      <c r="K38" s="3" t="s">
        <v>13</v>
      </c>
      <c r="L38" s="3" t="s">
        <v>16</v>
      </c>
      <c r="M38" s="3">
        <v>8.1</v>
      </c>
      <c r="N38" s="4">
        <v>1</v>
      </c>
    </row>
    <row r="39" spans="7:14" x14ac:dyDescent="0.25">
      <c r="G39" s="3">
        <f>9-25-19</f>
        <v>-35</v>
      </c>
      <c r="H39" s="3">
        <v>1026</v>
      </c>
      <c r="I39" s="3">
        <v>3504</v>
      </c>
      <c r="J39" s="3" t="s">
        <v>12</v>
      </c>
      <c r="K39" s="3" t="s">
        <v>13</v>
      </c>
      <c r="L39" s="3" t="s">
        <v>16</v>
      </c>
      <c r="M39" s="3">
        <v>7.9</v>
      </c>
      <c r="N39" s="4">
        <v>1</v>
      </c>
    </row>
    <row r="40" spans="7:14" x14ac:dyDescent="0.25">
      <c r="G40" s="3">
        <f>9-26-19</f>
        <v>-36</v>
      </c>
      <c r="H40" s="3">
        <v>1027</v>
      </c>
      <c r="I40" s="3">
        <v>3505</v>
      </c>
      <c r="J40" s="3" t="s">
        <v>12</v>
      </c>
      <c r="K40" s="3" t="s">
        <v>13</v>
      </c>
      <c r="L40" s="3" t="s">
        <v>16</v>
      </c>
      <c r="M40" s="3">
        <v>6</v>
      </c>
      <c r="N40" s="4">
        <v>1</v>
      </c>
    </row>
    <row r="41" spans="7:14" x14ac:dyDescent="0.25">
      <c r="G41" s="3">
        <f>10-9-19</f>
        <v>-18</v>
      </c>
      <c r="H41" s="3">
        <v>1028</v>
      </c>
      <c r="I41" s="3">
        <v>3512</v>
      </c>
      <c r="J41" s="3" t="s">
        <v>12</v>
      </c>
      <c r="K41" s="3" t="s">
        <v>22</v>
      </c>
      <c r="L41" s="3" t="s">
        <v>16</v>
      </c>
      <c r="M41" s="3">
        <v>3.8</v>
      </c>
      <c r="N41" s="4">
        <v>1</v>
      </c>
    </row>
    <row r="42" spans="7:14" x14ac:dyDescent="0.25">
      <c r="G42" s="3"/>
      <c r="H42" s="3">
        <v>1030</v>
      </c>
      <c r="I42" s="3">
        <v>3514</v>
      </c>
      <c r="J42" s="3" t="s">
        <v>12</v>
      </c>
      <c r="K42" s="3" t="s">
        <v>13</v>
      </c>
      <c r="L42" s="3" t="s">
        <v>23</v>
      </c>
      <c r="M42" s="3">
        <v>9.5</v>
      </c>
      <c r="N42" s="4">
        <v>1</v>
      </c>
    </row>
    <row r="43" spans="7:14" x14ac:dyDescent="0.25">
      <c r="G43" s="3">
        <f>10-17-19</f>
        <v>-26</v>
      </c>
      <c r="H43" s="3">
        <v>1031</v>
      </c>
      <c r="I43" s="3">
        <v>3515</v>
      </c>
      <c r="J43" s="3" t="s">
        <v>12</v>
      </c>
      <c r="K43" s="3" t="s">
        <v>13</v>
      </c>
      <c r="L43" s="3" t="s">
        <v>16</v>
      </c>
      <c r="M43" s="3">
        <v>9.6999999999999993</v>
      </c>
      <c r="N43" s="4">
        <v>1</v>
      </c>
    </row>
    <row r="44" spans="7:14" x14ac:dyDescent="0.25">
      <c r="G44" s="3">
        <f>10-21-19</f>
        <v>-30</v>
      </c>
      <c r="H44" s="3">
        <v>1032</v>
      </c>
      <c r="I44" s="3">
        <v>3516</v>
      </c>
      <c r="J44" s="3" t="s">
        <v>12</v>
      </c>
      <c r="K44" s="3" t="s">
        <v>13</v>
      </c>
      <c r="L44" s="3" t="s">
        <v>16</v>
      </c>
      <c r="M44" s="3"/>
      <c r="N44" s="4"/>
    </row>
    <row r="45" spans="7:14" x14ac:dyDescent="0.25">
      <c r="G45" s="3">
        <f>10-24-19</f>
        <v>-33</v>
      </c>
      <c r="H45" s="3">
        <v>1033</v>
      </c>
      <c r="I45" s="3">
        <v>3517</v>
      </c>
      <c r="J45" s="3" t="s">
        <v>12</v>
      </c>
      <c r="K45" s="3" t="s">
        <v>13</v>
      </c>
      <c r="L45" s="3" t="s">
        <v>14</v>
      </c>
      <c r="M45" s="3"/>
      <c r="N45" s="4"/>
    </row>
    <row r="46" spans="7:14" x14ac:dyDescent="0.25">
      <c r="G46" s="3">
        <f>10-29-19</f>
        <v>-38</v>
      </c>
      <c r="H46" s="3">
        <v>1034</v>
      </c>
      <c r="I46" s="3">
        <v>3518</v>
      </c>
      <c r="J46" s="3" t="s">
        <v>12</v>
      </c>
      <c r="K46" s="3" t="s">
        <v>22</v>
      </c>
      <c r="L46" s="3" t="s">
        <v>16</v>
      </c>
      <c r="M46" s="3">
        <v>8.6</v>
      </c>
      <c r="N46" s="4">
        <v>1</v>
      </c>
    </row>
    <row r="47" spans="7:14" x14ac:dyDescent="0.25">
      <c r="G47" s="3">
        <f>10-29-19</f>
        <v>-38</v>
      </c>
      <c r="H47" s="3">
        <v>1035</v>
      </c>
      <c r="I47" s="3">
        <v>3519</v>
      </c>
      <c r="J47" s="3" t="s">
        <v>12</v>
      </c>
      <c r="K47" s="3" t="s">
        <v>22</v>
      </c>
      <c r="L47" s="3" t="s">
        <v>16</v>
      </c>
      <c r="M47" s="3">
        <v>9</v>
      </c>
      <c r="N47" s="4">
        <v>1</v>
      </c>
    </row>
    <row r="48" spans="7:14" x14ac:dyDescent="0.25">
      <c r="G48" s="3">
        <f>10-31-19</f>
        <v>-40</v>
      </c>
      <c r="H48" s="3">
        <v>1037</v>
      </c>
      <c r="I48" s="3">
        <v>3521</v>
      </c>
      <c r="J48" s="3" t="s">
        <v>12</v>
      </c>
      <c r="K48" s="3" t="s">
        <v>22</v>
      </c>
      <c r="L48" s="3" t="s">
        <v>16</v>
      </c>
      <c r="M48" s="3">
        <v>7.6</v>
      </c>
      <c r="N48" s="4">
        <v>1</v>
      </c>
    </row>
    <row r="49" spans="7:14" x14ac:dyDescent="0.25">
      <c r="G49" s="3">
        <f>11-3-19</f>
        <v>-11</v>
      </c>
      <c r="H49" s="3">
        <v>1038</v>
      </c>
      <c r="I49" s="3">
        <v>3522</v>
      </c>
      <c r="J49" s="3" t="s">
        <v>12</v>
      </c>
      <c r="K49" s="3" t="s">
        <v>22</v>
      </c>
      <c r="L49" s="3" t="s">
        <v>16</v>
      </c>
      <c r="M49" s="3">
        <v>7.3</v>
      </c>
      <c r="N49" s="4">
        <v>1</v>
      </c>
    </row>
    <row r="50" spans="7:14" x14ac:dyDescent="0.25">
      <c r="G50" s="3">
        <f>11-1-19</f>
        <v>-9</v>
      </c>
      <c r="H50" s="3">
        <v>1039</v>
      </c>
      <c r="I50" s="3">
        <v>3523</v>
      </c>
      <c r="J50" s="3" t="s">
        <v>12</v>
      </c>
      <c r="K50" s="3" t="s">
        <v>13</v>
      </c>
      <c r="L50" s="3" t="s">
        <v>16</v>
      </c>
      <c r="M50" s="3">
        <v>7.2</v>
      </c>
      <c r="N50" s="4">
        <v>1</v>
      </c>
    </row>
    <row r="51" spans="7:14" x14ac:dyDescent="0.25">
      <c r="G51" s="3">
        <f>11-3-19</f>
        <v>-11</v>
      </c>
      <c r="H51" s="3">
        <v>1040</v>
      </c>
      <c r="I51" s="3">
        <v>3524</v>
      </c>
      <c r="J51" s="3" t="s">
        <v>12</v>
      </c>
      <c r="K51" s="3" t="s">
        <v>22</v>
      </c>
      <c r="L51" s="3" t="s">
        <v>16</v>
      </c>
      <c r="M51" s="3">
        <v>7.9</v>
      </c>
      <c r="N51" s="4">
        <v>1</v>
      </c>
    </row>
    <row r="52" spans="7:14" x14ac:dyDescent="0.25">
      <c r="G52" s="3">
        <f>11-3-19</f>
        <v>-11</v>
      </c>
      <c r="H52" s="3">
        <v>1041</v>
      </c>
      <c r="I52" s="3">
        <v>3525</v>
      </c>
      <c r="J52" s="3" t="s">
        <v>12</v>
      </c>
      <c r="K52" s="3" t="s">
        <v>22</v>
      </c>
      <c r="L52" s="3" t="s">
        <v>16</v>
      </c>
      <c r="M52" s="3">
        <v>4.4000000000000004</v>
      </c>
      <c r="N52" s="4">
        <v>1</v>
      </c>
    </row>
    <row r="53" spans="7:14" x14ac:dyDescent="0.25">
      <c r="G53" s="3">
        <f>11-4-19</f>
        <v>-12</v>
      </c>
      <c r="H53" s="3">
        <v>1042</v>
      </c>
      <c r="I53" s="3">
        <v>3526</v>
      </c>
      <c r="J53" s="3" t="s">
        <v>12</v>
      </c>
      <c r="K53" s="3" t="s">
        <v>22</v>
      </c>
      <c r="L53" s="3" t="s">
        <v>16</v>
      </c>
      <c r="M53" s="3">
        <v>8.1999999999999993</v>
      </c>
      <c r="N53" s="4">
        <v>1</v>
      </c>
    </row>
    <row r="54" spans="7:14" x14ac:dyDescent="0.25">
      <c r="G54" s="3">
        <f>11-5-19</f>
        <v>-13</v>
      </c>
      <c r="H54" s="3">
        <v>1043</v>
      </c>
      <c r="I54" s="3">
        <v>3527</v>
      </c>
      <c r="J54" s="3" t="s">
        <v>12</v>
      </c>
      <c r="K54" s="3" t="s">
        <v>22</v>
      </c>
      <c r="L54" s="3" t="s">
        <v>16</v>
      </c>
      <c r="M54" s="3">
        <v>7.5</v>
      </c>
      <c r="N54" s="4">
        <v>1</v>
      </c>
    </row>
    <row r="55" spans="7:14" x14ac:dyDescent="0.25">
      <c r="G55" s="3">
        <f>11-7-19</f>
        <v>-15</v>
      </c>
      <c r="H55" s="3">
        <v>1044</v>
      </c>
      <c r="I55" s="3">
        <v>3528</v>
      </c>
      <c r="J55" s="3" t="s">
        <v>12</v>
      </c>
      <c r="K55" s="3" t="s">
        <v>24</v>
      </c>
      <c r="L55" s="3" t="s">
        <v>16</v>
      </c>
      <c r="M55" s="3">
        <v>3.9</v>
      </c>
      <c r="N55" s="4">
        <v>1</v>
      </c>
    </row>
    <row r="56" spans="7:14" x14ac:dyDescent="0.25">
      <c r="G56" s="3">
        <f>11-7-19</f>
        <v>-15</v>
      </c>
      <c r="H56" s="3">
        <v>1045</v>
      </c>
      <c r="I56" s="3">
        <v>3529</v>
      </c>
      <c r="J56" s="3" t="s">
        <v>12</v>
      </c>
      <c r="K56" s="3" t="s">
        <v>13</v>
      </c>
      <c r="L56" s="3" t="s">
        <v>16</v>
      </c>
      <c r="M56" s="3">
        <v>5.7</v>
      </c>
      <c r="N56" s="4">
        <v>1</v>
      </c>
    </row>
    <row r="57" spans="7:14" x14ac:dyDescent="0.25">
      <c r="G57" s="3">
        <f>1-24-20</f>
        <v>-43</v>
      </c>
      <c r="H57" s="3">
        <v>1047</v>
      </c>
      <c r="I57" s="3">
        <v>3556</v>
      </c>
      <c r="J57" s="3" t="s">
        <v>12</v>
      </c>
      <c r="K57" s="3" t="s">
        <v>13</v>
      </c>
      <c r="L57" s="3" t="s">
        <v>16</v>
      </c>
      <c r="M57" s="3">
        <v>7.7</v>
      </c>
      <c r="N57" s="4">
        <v>1</v>
      </c>
    </row>
    <row r="58" spans="7:14" x14ac:dyDescent="0.25">
      <c r="G58" s="3">
        <f>1-24-20</f>
        <v>-43</v>
      </c>
      <c r="H58" s="3">
        <v>1048</v>
      </c>
      <c r="I58" s="3">
        <v>3557</v>
      </c>
      <c r="J58" s="3" t="s">
        <v>12</v>
      </c>
      <c r="K58" s="3" t="s">
        <v>13</v>
      </c>
      <c r="L58" s="3" t="s">
        <v>14</v>
      </c>
      <c r="M58" s="3">
        <v>7.2</v>
      </c>
      <c r="N58" s="4">
        <v>1</v>
      </c>
    </row>
    <row r="59" spans="7:14" x14ac:dyDescent="0.25">
      <c r="G59" s="3">
        <f>2-21-20</f>
        <v>-39</v>
      </c>
      <c r="H59" s="3">
        <v>1049</v>
      </c>
      <c r="I59" s="3">
        <v>3572</v>
      </c>
      <c r="J59" s="3" t="s">
        <v>12</v>
      </c>
      <c r="K59" s="3" t="s">
        <v>25</v>
      </c>
      <c r="L59" s="3" t="s">
        <v>16</v>
      </c>
      <c r="M59" s="3">
        <v>7.2</v>
      </c>
      <c r="N59" s="4">
        <v>1</v>
      </c>
    </row>
    <row r="60" spans="7:14" x14ac:dyDescent="0.25">
      <c r="G60" s="3">
        <f>2-22-20</f>
        <v>-40</v>
      </c>
      <c r="H60" s="3">
        <v>1050</v>
      </c>
      <c r="I60" s="3">
        <v>3573</v>
      </c>
      <c r="J60" s="3" t="s">
        <v>12</v>
      </c>
      <c r="K60" s="3" t="s">
        <v>25</v>
      </c>
      <c r="L60" s="3" t="s">
        <v>14</v>
      </c>
      <c r="M60" s="3">
        <v>6.2</v>
      </c>
      <c r="N60" s="4">
        <v>1</v>
      </c>
    </row>
    <row r="61" spans="7:14" x14ac:dyDescent="0.25">
      <c r="G61" s="3">
        <f>2-24-20</f>
        <v>-42</v>
      </c>
      <c r="H61" s="3">
        <v>1051</v>
      </c>
      <c r="I61" s="3">
        <v>3575</v>
      </c>
      <c r="J61" s="3" t="s">
        <v>12</v>
      </c>
      <c r="K61" s="3" t="s">
        <v>13</v>
      </c>
      <c r="L61" s="3" t="s">
        <v>16</v>
      </c>
      <c r="M61" s="3">
        <v>6.5</v>
      </c>
      <c r="N61" s="4">
        <v>1</v>
      </c>
    </row>
    <row r="62" spans="7:14" x14ac:dyDescent="0.25">
      <c r="G62" s="3">
        <f>2-24-20</f>
        <v>-42</v>
      </c>
      <c r="H62" s="3">
        <v>1052</v>
      </c>
      <c r="I62" s="3">
        <v>3576</v>
      </c>
      <c r="J62" s="3" t="s">
        <v>12</v>
      </c>
      <c r="K62" s="3" t="s">
        <v>13</v>
      </c>
      <c r="L62" s="3" t="s">
        <v>14</v>
      </c>
      <c r="M62" s="3">
        <v>6.1</v>
      </c>
      <c r="N62" s="4">
        <v>1</v>
      </c>
    </row>
    <row r="63" spans="7:14" x14ac:dyDescent="0.25">
      <c r="G63" s="3">
        <f>2-26-20</f>
        <v>-44</v>
      </c>
      <c r="H63" s="3">
        <v>1053</v>
      </c>
      <c r="I63" s="3">
        <v>3577</v>
      </c>
      <c r="J63" s="3" t="s">
        <v>12</v>
      </c>
      <c r="K63" s="3" t="s">
        <v>18</v>
      </c>
      <c r="L63" s="3" t="s">
        <v>14</v>
      </c>
      <c r="M63" s="3">
        <v>4.8</v>
      </c>
      <c r="N63" s="4">
        <v>1</v>
      </c>
    </row>
    <row r="64" spans="7:14" x14ac:dyDescent="0.25">
      <c r="G64" s="3">
        <f>5-9-20</f>
        <v>-24</v>
      </c>
      <c r="H64" s="3">
        <v>1057</v>
      </c>
      <c r="I64" s="3">
        <v>3589</v>
      </c>
      <c r="J64" s="3" t="s">
        <v>12</v>
      </c>
      <c r="K64" s="3" t="s">
        <v>13</v>
      </c>
      <c r="L64" s="3" t="s">
        <v>16</v>
      </c>
      <c r="M64" s="3">
        <v>8.1999999999999993</v>
      </c>
      <c r="N64" s="4">
        <v>1</v>
      </c>
    </row>
    <row r="65" spans="7:14" x14ac:dyDescent="0.25">
      <c r="G65" s="3">
        <f>5-9-20</f>
        <v>-24</v>
      </c>
      <c r="H65" s="3">
        <v>1058</v>
      </c>
      <c r="I65" s="3">
        <v>3590</v>
      </c>
      <c r="J65" s="3" t="s">
        <v>12</v>
      </c>
      <c r="K65" s="3" t="s">
        <v>13</v>
      </c>
      <c r="L65" s="3" t="s">
        <v>14</v>
      </c>
      <c r="M65" s="3">
        <v>6.5</v>
      </c>
      <c r="N65" s="4">
        <v>1</v>
      </c>
    </row>
    <row r="66" spans="7:14" x14ac:dyDescent="0.25">
      <c r="G66" s="3">
        <f>5-13-20</f>
        <v>-28</v>
      </c>
      <c r="H66" s="3">
        <v>1059</v>
      </c>
      <c r="I66" s="3">
        <v>3593</v>
      </c>
      <c r="J66" s="3" t="s">
        <v>12</v>
      </c>
      <c r="K66" s="3" t="s">
        <v>24</v>
      </c>
      <c r="L66" s="3" t="s">
        <v>16</v>
      </c>
      <c r="M66" s="3">
        <v>7.2</v>
      </c>
      <c r="N66" s="4">
        <v>1</v>
      </c>
    </row>
    <row r="67" spans="7:14" x14ac:dyDescent="0.25">
      <c r="G67" s="3">
        <f>5-14-20</f>
        <v>-29</v>
      </c>
      <c r="H67" s="3">
        <v>1060</v>
      </c>
      <c r="I67" s="3">
        <v>3594</v>
      </c>
      <c r="J67" s="3" t="s">
        <v>12</v>
      </c>
      <c r="K67" s="3" t="s">
        <v>24</v>
      </c>
      <c r="L67" s="3" t="s">
        <v>14</v>
      </c>
      <c r="M67" s="3">
        <v>7.7</v>
      </c>
      <c r="N67" s="4">
        <v>1</v>
      </c>
    </row>
    <row r="68" spans="7:14" x14ac:dyDescent="0.25">
      <c r="G68" s="3">
        <f>5-13-20</f>
        <v>-28</v>
      </c>
      <c r="H68" s="3">
        <v>1064</v>
      </c>
      <c r="I68" s="3">
        <v>3595</v>
      </c>
      <c r="J68" s="3" t="s">
        <v>12</v>
      </c>
      <c r="K68" s="3" t="s">
        <v>24</v>
      </c>
      <c r="L68" s="3" t="s">
        <v>16</v>
      </c>
      <c r="M68" s="3">
        <v>6.7</v>
      </c>
      <c r="N68" s="4">
        <v>1</v>
      </c>
    </row>
    <row r="69" spans="7:14" x14ac:dyDescent="0.25">
      <c r="G69" s="3">
        <f>5-28-20</f>
        <v>-43</v>
      </c>
      <c r="H69" s="3">
        <v>1061</v>
      </c>
      <c r="I69" s="3">
        <v>3599</v>
      </c>
      <c r="J69" s="3" t="s">
        <v>12</v>
      </c>
      <c r="K69" s="3" t="s">
        <v>19</v>
      </c>
      <c r="L69" s="3" t="s">
        <v>16</v>
      </c>
      <c r="M69" s="3">
        <v>8.9</v>
      </c>
      <c r="N69" s="4">
        <v>1</v>
      </c>
    </row>
    <row r="70" spans="7:14" x14ac:dyDescent="0.25">
      <c r="G70" s="3">
        <f>5-25-20</f>
        <v>-40</v>
      </c>
      <c r="H70" s="3">
        <v>1062</v>
      </c>
      <c r="I70" s="3">
        <v>3600</v>
      </c>
      <c r="J70" s="3" t="s">
        <v>12</v>
      </c>
      <c r="K70" s="3" t="s">
        <v>19</v>
      </c>
      <c r="L70" s="3" t="s">
        <v>14</v>
      </c>
      <c r="M70" s="3">
        <v>8.6999999999999993</v>
      </c>
      <c r="N70" s="4">
        <v>1</v>
      </c>
    </row>
    <row r="71" spans="7:14" x14ac:dyDescent="0.25">
      <c r="G71" s="3">
        <f>5-25-20</f>
        <v>-40</v>
      </c>
      <c r="H71" s="3">
        <v>1063</v>
      </c>
      <c r="I71" s="3">
        <v>3601</v>
      </c>
      <c r="J71" s="3" t="s">
        <v>12</v>
      </c>
      <c r="K71" s="3" t="s">
        <v>19</v>
      </c>
      <c r="L71" s="3" t="s">
        <v>16</v>
      </c>
      <c r="M71" s="3">
        <v>7.5</v>
      </c>
      <c r="N71" s="4">
        <v>1</v>
      </c>
    </row>
    <row r="72" spans="7:14" x14ac:dyDescent="0.25">
      <c r="G72" s="3">
        <f>7-26-20</f>
        <v>-39</v>
      </c>
      <c r="H72" s="3">
        <v>1065</v>
      </c>
      <c r="I72" s="3">
        <v>3622</v>
      </c>
      <c r="J72" s="3" t="s">
        <v>12</v>
      </c>
      <c r="K72" s="3" t="s">
        <v>25</v>
      </c>
      <c r="L72" s="3" t="s">
        <v>16</v>
      </c>
      <c r="M72" s="3">
        <v>6.7</v>
      </c>
      <c r="N72" s="4">
        <v>1</v>
      </c>
    </row>
    <row r="73" spans="7:14" x14ac:dyDescent="0.25">
      <c r="G73" s="3">
        <f>7-26-20</f>
        <v>-39</v>
      </c>
      <c r="H73" s="3">
        <v>1066</v>
      </c>
      <c r="I73" s="3">
        <v>3623</v>
      </c>
      <c r="J73" s="3" t="s">
        <v>12</v>
      </c>
      <c r="K73" s="3" t="s">
        <v>25</v>
      </c>
      <c r="L73" s="3" t="s">
        <v>16</v>
      </c>
      <c r="M73" s="3">
        <v>6.3</v>
      </c>
      <c r="N73" s="4">
        <v>1</v>
      </c>
    </row>
    <row r="74" spans="7:14" x14ac:dyDescent="0.25">
      <c r="G74" s="3">
        <f>7-26-20</f>
        <v>-39</v>
      </c>
      <c r="H74" s="3">
        <v>1067</v>
      </c>
      <c r="I74" s="3">
        <v>3624</v>
      </c>
      <c r="J74" s="3" t="s">
        <v>12</v>
      </c>
      <c r="K74" s="3" t="s">
        <v>25</v>
      </c>
      <c r="L74" s="3" t="s">
        <v>16</v>
      </c>
      <c r="M74" s="3"/>
      <c r="N74" s="4"/>
    </row>
    <row r="75" spans="7:14" x14ac:dyDescent="0.25">
      <c r="G75" s="3">
        <f>7-26-20</f>
        <v>-39</v>
      </c>
      <c r="H75" s="3">
        <v>1068</v>
      </c>
      <c r="I75" s="3">
        <v>3625</v>
      </c>
      <c r="J75" s="3" t="s">
        <v>12</v>
      </c>
      <c r="K75" s="3" t="s">
        <v>25</v>
      </c>
      <c r="L75" s="3" t="s">
        <v>16</v>
      </c>
      <c r="M75" s="3">
        <v>9.1999999999999993</v>
      </c>
      <c r="N75" s="4">
        <v>1</v>
      </c>
    </row>
    <row r="76" spans="7:14" x14ac:dyDescent="0.25">
      <c r="G76" s="3">
        <f>7-27-20</f>
        <v>-40</v>
      </c>
      <c r="H76" s="3">
        <v>1069</v>
      </c>
      <c r="I76" s="3">
        <v>3626</v>
      </c>
      <c r="J76" s="3" t="s">
        <v>12</v>
      </c>
      <c r="K76" s="3" t="s">
        <v>25</v>
      </c>
      <c r="L76" s="3" t="s">
        <v>16</v>
      </c>
      <c r="M76" s="3">
        <v>5.8</v>
      </c>
      <c r="N76" s="4">
        <v>1</v>
      </c>
    </row>
    <row r="77" spans="7:14" x14ac:dyDescent="0.25">
      <c r="G77" s="3">
        <f>7-27-20</f>
        <v>-40</v>
      </c>
      <c r="H77" s="3">
        <v>1070</v>
      </c>
      <c r="I77" s="3">
        <v>3627</v>
      </c>
      <c r="J77" s="3" t="s">
        <v>12</v>
      </c>
      <c r="K77" s="3" t="s">
        <v>25</v>
      </c>
      <c r="L77" s="3" t="s">
        <v>16</v>
      </c>
      <c r="M77" s="3">
        <v>5.7</v>
      </c>
      <c r="N77" s="4">
        <v>1</v>
      </c>
    </row>
    <row r="78" spans="7:14" x14ac:dyDescent="0.25">
      <c r="G78" s="3">
        <f>7-27-20</f>
        <v>-40</v>
      </c>
      <c r="H78" s="3">
        <v>1076</v>
      </c>
      <c r="I78" s="3">
        <v>3628</v>
      </c>
      <c r="J78" s="3" t="s">
        <v>12</v>
      </c>
      <c r="K78" s="3" t="s">
        <v>25</v>
      </c>
      <c r="L78" s="3" t="s">
        <v>16</v>
      </c>
      <c r="M78" s="3">
        <v>8.5</v>
      </c>
      <c r="N78" s="4">
        <v>1</v>
      </c>
    </row>
    <row r="79" spans="7:14" x14ac:dyDescent="0.25">
      <c r="G79" s="3">
        <f>7-27-20</f>
        <v>-40</v>
      </c>
      <c r="H79" s="3">
        <v>1077</v>
      </c>
      <c r="I79" s="3">
        <v>3629</v>
      </c>
      <c r="J79" s="3" t="s">
        <v>12</v>
      </c>
      <c r="K79" s="3" t="s">
        <v>25</v>
      </c>
      <c r="L79" s="3" t="s">
        <v>16</v>
      </c>
      <c r="M79" s="3">
        <v>8.3000000000000007</v>
      </c>
      <c r="N79" s="4">
        <v>1</v>
      </c>
    </row>
    <row r="80" spans="7:14" x14ac:dyDescent="0.25">
      <c r="G80" s="3">
        <f>7-27-20</f>
        <v>-40</v>
      </c>
      <c r="H80" s="3">
        <v>1078</v>
      </c>
      <c r="I80" s="3">
        <v>3630</v>
      </c>
      <c r="J80" s="3" t="s">
        <v>12</v>
      </c>
      <c r="K80" s="3" t="s">
        <v>25</v>
      </c>
      <c r="L80" s="3" t="s">
        <v>16</v>
      </c>
      <c r="M80" s="3">
        <v>8.4</v>
      </c>
      <c r="N80" s="4">
        <v>1</v>
      </c>
    </row>
    <row r="81" spans="7:14" x14ac:dyDescent="0.25">
      <c r="G81" s="3">
        <f>7-29-20</f>
        <v>-42</v>
      </c>
      <c r="H81" s="3">
        <v>1079</v>
      </c>
      <c r="I81" s="3">
        <v>3631</v>
      </c>
      <c r="J81" s="3" t="s">
        <v>12</v>
      </c>
      <c r="K81" s="3" t="s">
        <v>25</v>
      </c>
      <c r="L81" s="3" t="s">
        <v>16</v>
      </c>
      <c r="M81" s="3">
        <v>8.1</v>
      </c>
      <c r="N81" s="4">
        <v>1</v>
      </c>
    </row>
    <row r="82" spans="7:14" x14ac:dyDescent="0.25">
      <c r="G82" s="3">
        <f>7-29-20</f>
        <v>-42</v>
      </c>
      <c r="H82" s="3">
        <v>1080</v>
      </c>
      <c r="I82" s="3">
        <v>3632</v>
      </c>
      <c r="J82" s="3" t="s">
        <v>12</v>
      </c>
      <c r="K82" s="3" t="s">
        <v>25</v>
      </c>
      <c r="L82" s="3" t="s">
        <v>16</v>
      </c>
      <c r="M82" s="3">
        <v>6.5</v>
      </c>
      <c r="N82" s="4">
        <v>1</v>
      </c>
    </row>
    <row r="83" spans="7:14" x14ac:dyDescent="0.25">
      <c r="G83" s="3">
        <f>7-27-20</f>
        <v>-40</v>
      </c>
      <c r="H83" s="3">
        <v>1081</v>
      </c>
      <c r="I83" s="3">
        <v>3633</v>
      </c>
      <c r="J83" s="3" t="s">
        <v>12</v>
      </c>
      <c r="K83" s="3" t="s">
        <v>25</v>
      </c>
      <c r="L83" s="3" t="s">
        <v>14</v>
      </c>
      <c r="M83" s="3">
        <v>6.4</v>
      </c>
      <c r="N83" s="4">
        <v>1</v>
      </c>
    </row>
    <row r="84" spans="7:14" ht="30" x14ac:dyDescent="0.25">
      <c r="G84" s="3">
        <f>9-10-20</f>
        <v>-21</v>
      </c>
      <c r="H84" s="3">
        <v>1074</v>
      </c>
      <c r="I84" s="3">
        <v>3652</v>
      </c>
      <c r="J84" s="3" t="s">
        <v>12</v>
      </c>
      <c r="K84" s="3" t="s">
        <v>26</v>
      </c>
      <c r="L84" s="3" t="s">
        <v>16</v>
      </c>
      <c r="M84" s="3">
        <v>7.5</v>
      </c>
      <c r="N84" s="4">
        <v>1</v>
      </c>
    </row>
    <row r="85" spans="7:14" ht="30" x14ac:dyDescent="0.25">
      <c r="G85" s="3">
        <f>9-10-20</f>
        <v>-21</v>
      </c>
      <c r="H85" s="3">
        <v>1075</v>
      </c>
      <c r="I85" s="3">
        <v>3653</v>
      </c>
      <c r="J85" s="3" t="s">
        <v>12</v>
      </c>
      <c r="K85" s="3" t="s">
        <v>26</v>
      </c>
      <c r="L85" s="3" t="s">
        <v>14</v>
      </c>
      <c r="M85" s="3">
        <v>6.7</v>
      </c>
      <c r="N85" s="4">
        <v>1</v>
      </c>
    </row>
    <row r="86" spans="7:14" ht="30" x14ac:dyDescent="0.25">
      <c r="G86" s="3">
        <f>9-10-20</f>
        <v>-21</v>
      </c>
      <c r="H86" s="3">
        <v>1082</v>
      </c>
      <c r="I86" s="3">
        <v>3654</v>
      </c>
      <c r="J86" s="3" t="s">
        <v>12</v>
      </c>
      <c r="K86" s="3" t="s">
        <v>26</v>
      </c>
      <c r="L86" s="3" t="s">
        <v>14</v>
      </c>
      <c r="M86" s="3">
        <v>6.2</v>
      </c>
      <c r="N86" s="4">
        <v>1</v>
      </c>
    </row>
    <row r="87" spans="7:14" x14ac:dyDescent="0.25">
      <c r="G87" s="3">
        <f>10-1-20</f>
        <v>-11</v>
      </c>
      <c r="H87" s="3">
        <v>1083</v>
      </c>
      <c r="I87" s="3">
        <v>3655</v>
      </c>
      <c r="J87" s="3" t="s">
        <v>12</v>
      </c>
      <c r="K87" s="3" t="s">
        <v>21</v>
      </c>
      <c r="L87" s="3" t="s">
        <v>16</v>
      </c>
      <c r="M87" s="3">
        <v>5.5</v>
      </c>
      <c r="N87" s="4">
        <v>1</v>
      </c>
    </row>
    <row r="88" spans="7:14" x14ac:dyDescent="0.25">
      <c r="G88" s="3">
        <f>10-1-20</f>
        <v>-11</v>
      </c>
      <c r="H88" s="3">
        <v>1084</v>
      </c>
      <c r="I88" s="3">
        <v>3656</v>
      </c>
      <c r="J88" s="3" t="s">
        <v>12</v>
      </c>
      <c r="K88" s="3" t="s">
        <v>21</v>
      </c>
      <c r="L88" s="3" t="s">
        <v>16</v>
      </c>
      <c r="M88" s="3">
        <v>4.8</v>
      </c>
      <c r="N88" s="4">
        <v>1</v>
      </c>
    </row>
    <row r="89" spans="7:14" x14ac:dyDescent="0.25">
      <c r="G89" s="3">
        <f>10-2-20</f>
        <v>-12</v>
      </c>
      <c r="H89" s="3">
        <v>1085</v>
      </c>
      <c r="I89" s="3">
        <v>3657</v>
      </c>
      <c r="J89" s="3" t="s">
        <v>12</v>
      </c>
      <c r="K89" s="3" t="s">
        <v>21</v>
      </c>
      <c r="L89" s="3" t="s">
        <v>16</v>
      </c>
      <c r="M89" s="3">
        <v>4.3</v>
      </c>
      <c r="N89" s="4">
        <v>1</v>
      </c>
    </row>
    <row r="90" spans="7:14" x14ac:dyDescent="0.25">
      <c r="G90" s="3">
        <f>10-2-20</f>
        <v>-12</v>
      </c>
      <c r="H90" s="3">
        <v>1086</v>
      </c>
      <c r="I90" s="3">
        <v>3658</v>
      </c>
      <c r="J90" s="3" t="s">
        <v>12</v>
      </c>
      <c r="K90" s="3" t="s">
        <v>21</v>
      </c>
      <c r="L90" s="3" t="s">
        <v>14</v>
      </c>
      <c r="M90" s="3">
        <v>4.3</v>
      </c>
      <c r="N90" s="4">
        <v>1</v>
      </c>
    </row>
    <row r="91" spans="7:14" x14ac:dyDescent="0.25">
      <c r="G91" s="3">
        <f>11-6-20</f>
        <v>-15</v>
      </c>
      <c r="H91" s="3">
        <v>1090</v>
      </c>
      <c r="I91" s="3">
        <v>3683</v>
      </c>
      <c r="J91" s="3" t="s">
        <v>12</v>
      </c>
      <c r="K91" s="3" t="s">
        <v>27</v>
      </c>
      <c r="L91" s="3" t="s">
        <v>16</v>
      </c>
      <c r="M91" s="3">
        <v>9.1</v>
      </c>
      <c r="N91" s="4">
        <v>1</v>
      </c>
    </row>
    <row r="92" spans="7:14" x14ac:dyDescent="0.25">
      <c r="G92" s="3">
        <f>11-12-20</f>
        <v>-21</v>
      </c>
      <c r="H92" s="3">
        <v>1092</v>
      </c>
      <c r="I92" s="3">
        <v>3689</v>
      </c>
      <c r="J92" s="3" t="s">
        <v>12</v>
      </c>
      <c r="K92" s="3" t="s">
        <v>28</v>
      </c>
      <c r="L92" s="3" t="s">
        <v>14</v>
      </c>
      <c r="M92" s="3">
        <v>6.7</v>
      </c>
      <c r="N92" s="4">
        <v>1</v>
      </c>
    </row>
    <row r="93" spans="7:14" x14ac:dyDescent="0.25">
      <c r="G93" s="3">
        <f>11-12-20</f>
        <v>-21</v>
      </c>
      <c r="H93" s="3">
        <v>1093</v>
      </c>
      <c r="I93" s="3">
        <v>3691</v>
      </c>
      <c r="J93" s="3" t="s">
        <v>12</v>
      </c>
      <c r="K93" s="3" t="s">
        <v>28</v>
      </c>
      <c r="L93" s="3" t="s">
        <v>16</v>
      </c>
      <c r="M93" s="3">
        <v>7.5</v>
      </c>
      <c r="N93" s="4">
        <v>1</v>
      </c>
    </row>
    <row r="94" spans="7:14" x14ac:dyDescent="0.25">
      <c r="G94" s="3">
        <f>11-20-20</f>
        <v>-29</v>
      </c>
      <c r="H94" s="3">
        <v>1095</v>
      </c>
      <c r="I94" s="3">
        <v>3695</v>
      </c>
      <c r="J94" s="3" t="s">
        <v>12</v>
      </c>
      <c r="K94" s="3" t="s">
        <v>29</v>
      </c>
      <c r="L94" s="3" t="s">
        <v>16</v>
      </c>
      <c r="M94" s="3">
        <v>6.1</v>
      </c>
      <c r="N94" s="4">
        <v>1</v>
      </c>
    </row>
    <row r="95" spans="7:14" x14ac:dyDescent="0.25">
      <c r="G95" s="3">
        <f>12-21-20</f>
        <v>-29</v>
      </c>
      <c r="H95" s="3">
        <v>1099</v>
      </c>
      <c r="I95" s="3">
        <v>3707</v>
      </c>
      <c r="J95" s="3" t="s">
        <v>12</v>
      </c>
      <c r="K95" s="3" t="s">
        <v>30</v>
      </c>
      <c r="L95" s="3" t="s">
        <v>14</v>
      </c>
      <c r="M95" s="3">
        <v>6</v>
      </c>
      <c r="N95" s="4">
        <v>1</v>
      </c>
    </row>
    <row r="96" spans="7:14" x14ac:dyDescent="0.25">
      <c r="G96" s="3">
        <f>12-31-20</f>
        <v>-39</v>
      </c>
      <c r="H96" s="3">
        <v>1100</v>
      </c>
      <c r="I96" s="3">
        <v>3713</v>
      </c>
      <c r="J96" s="3" t="s">
        <v>12</v>
      </c>
      <c r="K96" s="3" t="s">
        <v>31</v>
      </c>
      <c r="L96" s="3" t="s">
        <v>16</v>
      </c>
      <c r="M96" s="3">
        <v>4.3</v>
      </c>
      <c r="N96" s="4">
        <v>1</v>
      </c>
    </row>
    <row r="97" spans="7:14" x14ac:dyDescent="0.25">
      <c r="G97" s="3">
        <f>12-31-20</f>
        <v>-39</v>
      </c>
      <c r="H97" s="3">
        <v>1101</v>
      </c>
      <c r="I97" s="3">
        <v>3714</v>
      </c>
      <c r="J97" s="3" t="s">
        <v>12</v>
      </c>
      <c r="K97" s="3" t="s">
        <v>31</v>
      </c>
      <c r="L97" s="3" t="s">
        <v>16</v>
      </c>
      <c r="M97" s="3">
        <v>5.4</v>
      </c>
      <c r="N97" s="4">
        <v>1</v>
      </c>
    </row>
    <row r="98" spans="7:14" x14ac:dyDescent="0.25">
      <c r="G98" s="3">
        <f>1-1-21</f>
        <v>-21</v>
      </c>
      <c r="H98" s="3">
        <v>1102</v>
      </c>
      <c r="I98" s="3">
        <v>3715</v>
      </c>
      <c r="J98" s="3" t="s">
        <v>12</v>
      </c>
      <c r="K98" s="3" t="s">
        <v>31</v>
      </c>
      <c r="L98" s="3" t="s">
        <v>14</v>
      </c>
      <c r="M98" s="3">
        <v>6.5</v>
      </c>
      <c r="N98" s="4">
        <v>1</v>
      </c>
    </row>
    <row r="99" spans="7:14" x14ac:dyDescent="0.25">
      <c r="G99" s="3">
        <f>1-1-21</f>
        <v>-21</v>
      </c>
      <c r="H99" s="3">
        <v>1103</v>
      </c>
      <c r="I99" s="3">
        <v>3716</v>
      </c>
      <c r="J99" s="3" t="s">
        <v>12</v>
      </c>
      <c r="K99" s="3" t="s">
        <v>31</v>
      </c>
      <c r="L99" s="3" t="s">
        <v>16</v>
      </c>
      <c r="M99" s="3">
        <v>6.5</v>
      </c>
      <c r="N99" s="4">
        <v>1</v>
      </c>
    </row>
    <row r="100" spans="7:14" x14ac:dyDescent="0.25">
      <c r="G100" s="3">
        <f>1-1-21</f>
        <v>-21</v>
      </c>
      <c r="H100" s="3">
        <v>1104</v>
      </c>
      <c r="I100" s="3">
        <v>3717</v>
      </c>
      <c r="J100" s="3" t="s">
        <v>12</v>
      </c>
      <c r="K100" s="3" t="s">
        <v>31</v>
      </c>
      <c r="L100" s="3" t="s">
        <v>16</v>
      </c>
      <c r="M100" s="3">
        <v>7.7</v>
      </c>
      <c r="N100" s="4">
        <v>1</v>
      </c>
    </row>
    <row r="101" spans="7:14" x14ac:dyDescent="0.25">
      <c r="G101" s="3">
        <f>1-1-21</f>
        <v>-21</v>
      </c>
      <c r="H101" s="3">
        <v>1105</v>
      </c>
      <c r="I101" s="3">
        <v>3718</v>
      </c>
      <c r="J101" s="3" t="s">
        <v>12</v>
      </c>
      <c r="K101" s="3" t="s">
        <v>31</v>
      </c>
      <c r="L101" s="3" t="s">
        <v>14</v>
      </c>
      <c r="M101" s="3">
        <v>7.6</v>
      </c>
      <c r="N101" s="4">
        <v>1</v>
      </c>
    </row>
    <row r="102" spans="7:14" x14ac:dyDescent="0.25">
      <c r="G102" s="3">
        <f>1-1-21</f>
        <v>-21</v>
      </c>
      <c r="H102" s="3">
        <v>1106</v>
      </c>
      <c r="I102" s="3">
        <v>3719</v>
      </c>
      <c r="J102" s="3" t="s">
        <v>12</v>
      </c>
      <c r="K102" s="3" t="s">
        <v>31</v>
      </c>
      <c r="L102" s="3" t="s">
        <v>16</v>
      </c>
      <c r="M102" s="3">
        <v>6.1</v>
      </c>
      <c r="N102" s="4">
        <v>1</v>
      </c>
    </row>
    <row r="103" spans="7:14" x14ac:dyDescent="0.25">
      <c r="G103" s="3">
        <f>1-2-21</f>
        <v>-22</v>
      </c>
      <c r="H103" s="3">
        <v>1107</v>
      </c>
      <c r="I103" s="3">
        <v>3720</v>
      </c>
      <c r="J103" s="3" t="s">
        <v>12</v>
      </c>
      <c r="K103" s="3" t="s">
        <v>32</v>
      </c>
      <c r="L103" s="3" t="s">
        <v>16</v>
      </c>
      <c r="M103" s="3">
        <v>6.8</v>
      </c>
      <c r="N103" s="4">
        <v>1</v>
      </c>
    </row>
    <row r="104" spans="7:14" x14ac:dyDescent="0.25">
      <c r="G104" s="3">
        <f>1-2-21</f>
        <v>-22</v>
      </c>
      <c r="H104" s="3">
        <v>1108</v>
      </c>
      <c r="I104" s="3">
        <v>3721</v>
      </c>
      <c r="J104" s="3" t="s">
        <v>12</v>
      </c>
      <c r="K104" s="3" t="s">
        <v>32</v>
      </c>
      <c r="L104" s="3" t="s">
        <v>16</v>
      </c>
      <c r="M104" s="3">
        <v>6.7</v>
      </c>
      <c r="N104" s="4">
        <v>1</v>
      </c>
    </row>
    <row r="105" spans="7:14" x14ac:dyDescent="0.25">
      <c r="G105" s="3">
        <f>1-2-21</f>
        <v>-22</v>
      </c>
      <c r="H105" s="3">
        <v>1109</v>
      </c>
      <c r="I105" s="3">
        <v>3722</v>
      </c>
      <c r="J105" s="3" t="s">
        <v>12</v>
      </c>
      <c r="K105" s="3" t="s">
        <v>32</v>
      </c>
      <c r="L105" s="3" t="s">
        <v>16</v>
      </c>
      <c r="M105" s="3">
        <v>6.1</v>
      </c>
      <c r="N105" s="4">
        <v>1</v>
      </c>
    </row>
    <row r="106" spans="7:14" x14ac:dyDescent="0.25">
      <c r="G106" s="3">
        <f>1-2-21</f>
        <v>-22</v>
      </c>
      <c r="H106" s="3">
        <v>1110</v>
      </c>
      <c r="I106" s="3">
        <v>3723</v>
      </c>
      <c r="J106" s="3" t="s">
        <v>12</v>
      </c>
      <c r="K106" s="3" t="s">
        <v>32</v>
      </c>
      <c r="L106" s="3" t="s">
        <v>14</v>
      </c>
      <c r="M106" s="3">
        <v>6.2</v>
      </c>
      <c r="N106" s="4">
        <v>1</v>
      </c>
    </row>
    <row r="107" spans="7:14" x14ac:dyDescent="0.25">
      <c r="G107" s="3">
        <f>1-3-21</f>
        <v>-23</v>
      </c>
      <c r="H107" s="3">
        <v>1111</v>
      </c>
      <c r="I107" s="3">
        <v>3724</v>
      </c>
      <c r="J107" s="3" t="s">
        <v>12</v>
      </c>
      <c r="K107" s="3" t="s">
        <v>31</v>
      </c>
      <c r="L107" s="3" t="s">
        <v>16</v>
      </c>
      <c r="M107" s="3">
        <v>4.5</v>
      </c>
      <c r="N107" s="4">
        <v>1</v>
      </c>
    </row>
    <row r="108" spans="7:14" x14ac:dyDescent="0.25">
      <c r="G108" s="3">
        <f>1-4-21</f>
        <v>-24</v>
      </c>
      <c r="H108" s="3">
        <v>1112</v>
      </c>
      <c r="I108" s="3">
        <v>3725</v>
      </c>
      <c r="J108" s="3" t="s">
        <v>12</v>
      </c>
      <c r="K108" s="3" t="s">
        <v>31</v>
      </c>
      <c r="L108" s="3" t="s">
        <v>16</v>
      </c>
      <c r="M108" s="3">
        <v>6.5</v>
      </c>
      <c r="N108" s="4">
        <v>1</v>
      </c>
    </row>
    <row r="109" spans="7:14" x14ac:dyDescent="0.25">
      <c r="G109" s="3">
        <f>1-4-21</f>
        <v>-24</v>
      </c>
      <c r="H109" s="3">
        <v>1113</v>
      </c>
      <c r="I109" s="3">
        <v>3726</v>
      </c>
      <c r="J109" s="3" t="s">
        <v>12</v>
      </c>
      <c r="K109" s="3" t="s">
        <v>31</v>
      </c>
      <c r="L109" s="3" t="s">
        <v>16</v>
      </c>
      <c r="M109" s="3">
        <v>3.9</v>
      </c>
      <c r="N109" s="4">
        <v>1</v>
      </c>
    </row>
    <row r="110" spans="7:14" x14ac:dyDescent="0.25">
      <c r="G110" s="3">
        <f>1-5-20</f>
        <v>-24</v>
      </c>
      <c r="H110" s="3">
        <v>1114</v>
      </c>
      <c r="I110" s="3">
        <v>3727</v>
      </c>
      <c r="J110" s="3" t="s">
        <v>12</v>
      </c>
      <c r="K110" s="3" t="s">
        <v>31</v>
      </c>
      <c r="L110" s="3" t="s">
        <v>16</v>
      </c>
      <c r="M110" s="3">
        <v>4.8</v>
      </c>
      <c r="N110" s="4">
        <v>1</v>
      </c>
    </row>
    <row r="111" spans="7:14" x14ac:dyDescent="0.25">
      <c r="G111" s="3">
        <f>1-5-21</f>
        <v>-25</v>
      </c>
      <c r="H111" s="3">
        <v>1115</v>
      </c>
      <c r="I111" s="3">
        <v>3728</v>
      </c>
      <c r="J111" s="3" t="s">
        <v>12</v>
      </c>
      <c r="K111" s="3" t="s">
        <v>31</v>
      </c>
      <c r="L111" s="3" t="s">
        <v>16</v>
      </c>
      <c r="M111" s="3">
        <v>5.9</v>
      </c>
      <c r="N111" s="4">
        <v>1</v>
      </c>
    </row>
    <row r="112" spans="7:14" x14ac:dyDescent="0.25">
      <c r="G112" s="3">
        <f>1-5-21</f>
        <v>-25</v>
      </c>
      <c r="H112" s="3">
        <v>1116</v>
      </c>
      <c r="I112" s="3">
        <v>3729</v>
      </c>
      <c r="J112" s="3" t="s">
        <v>12</v>
      </c>
      <c r="K112" s="3" t="s">
        <v>31</v>
      </c>
      <c r="L112" s="3" t="s">
        <v>16</v>
      </c>
      <c r="M112" s="3">
        <v>6.2</v>
      </c>
      <c r="N112" s="4">
        <v>1</v>
      </c>
    </row>
    <row r="113" spans="7:14" x14ac:dyDescent="0.25">
      <c r="G113" s="3">
        <f>1-5-21</f>
        <v>-25</v>
      </c>
      <c r="H113" s="3">
        <v>1117</v>
      </c>
      <c r="I113" s="3">
        <v>3730</v>
      </c>
      <c r="J113" s="3" t="s">
        <v>12</v>
      </c>
      <c r="K113" s="3" t="s">
        <v>31</v>
      </c>
      <c r="L113" s="3" t="s">
        <v>16</v>
      </c>
      <c r="M113" s="3">
        <v>6.4</v>
      </c>
      <c r="N113" s="4">
        <v>1</v>
      </c>
    </row>
    <row r="114" spans="7:14" x14ac:dyDescent="0.25">
      <c r="G114" s="3">
        <f>1-5-21</f>
        <v>-25</v>
      </c>
      <c r="H114" s="3">
        <v>1118</v>
      </c>
      <c r="I114" s="3">
        <v>3731</v>
      </c>
      <c r="J114" s="3" t="s">
        <v>12</v>
      </c>
      <c r="K114" s="3" t="s">
        <v>31</v>
      </c>
      <c r="L114" s="3" t="s">
        <v>16</v>
      </c>
      <c r="M114" s="3">
        <v>5.4</v>
      </c>
      <c r="N114" s="4">
        <v>1</v>
      </c>
    </row>
    <row r="115" spans="7:14" x14ac:dyDescent="0.25">
      <c r="G115" s="3">
        <f>1-5-21</f>
        <v>-25</v>
      </c>
      <c r="H115" s="3">
        <v>1119</v>
      </c>
      <c r="I115" s="3">
        <v>3732</v>
      </c>
      <c r="J115" s="3" t="s">
        <v>12</v>
      </c>
      <c r="K115" s="3" t="s">
        <v>31</v>
      </c>
      <c r="L115" s="3" t="s">
        <v>16</v>
      </c>
      <c r="M115" s="3">
        <v>5.8</v>
      </c>
      <c r="N115" s="4">
        <v>1</v>
      </c>
    </row>
    <row r="116" spans="7:14" x14ac:dyDescent="0.25">
      <c r="G116" s="3">
        <f>1-6-21</f>
        <v>-26</v>
      </c>
      <c r="H116" s="3">
        <v>1120</v>
      </c>
      <c r="I116" s="3">
        <v>3733</v>
      </c>
      <c r="J116" s="3" t="s">
        <v>12</v>
      </c>
      <c r="K116" s="3" t="s">
        <v>31</v>
      </c>
      <c r="L116" s="3" t="s">
        <v>16</v>
      </c>
      <c r="M116" s="3">
        <v>6</v>
      </c>
      <c r="N116" s="4">
        <v>1</v>
      </c>
    </row>
    <row r="117" spans="7:14" x14ac:dyDescent="0.25">
      <c r="G117" s="3">
        <f>1-6-21</f>
        <v>-26</v>
      </c>
      <c r="H117" s="3">
        <v>1121</v>
      </c>
      <c r="I117" s="3">
        <v>3734</v>
      </c>
      <c r="J117" s="3" t="s">
        <v>12</v>
      </c>
      <c r="K117" s="3" t="s">
        <v>31</v>
      </c>
      <c r="L117" s="3" t="s">
        <v>14</v>
      </c>
      <c r="M117" s="3">
        <v>6</v>
      </c>
      <c r="N117" s="4">
        <v>1</v>
      </c>
    </row>
    <row r="118" spans="7:14" x14ac:dyDescent="0.25">
      <c r="G118" s="3">
        <f>1-20-21</f>
        <v>-40</v>
      </c>
      <c r="H118" s="3">
        <v>1122</v>
      </c>
      <c r="I118" s="3">
        <v>3749</v>
      </c>
      <c r="J118" s="3" t="s">
        <v>12</v>
      </c>
      <c r="K118" s="3" t="s">
        <v>33</v>
      </c>
      <c r="L118" s="3" t="s">
        <v>16</v>
      </c>
      <c r="M118" s="3">
        <v>6.5</v>
      </c>
      <c r="N118" s="4">
        <v>1</v>
      </c>
    </row>
    <row r="119" spans="7:14" x14ac:dyDescent="0.25">
      <c r="G119" s="3">
        <f>1-22-21</f>
        <v>-42</v>
      </c>
      <c r="H119" s="3">
        <v>1123</v>
      </c>
      <c r="I119" s="3">
        <v>3750</v>
      </c>
      <c r="J119" s="3" t="s">
        <v>12</v>
      </c>
      <c r="K119" s="3" t="s">
        <v>33</v>
      </c>
      <c r="L119" s="3" t="s">
        <v>16</v>
      </c>
      <c r="M119" s="3">
        <v>7.4</v>
      </c>
      <c r="N119" s="4">
        <v>1</v>
      </c>
    </row>
    <row r="120" spans="7:14" x14ac:dyDescent="0.25">
      <c r="G120" s="3">
        <f>1-22-21</f>
        <v>-42</v>
      </c>
      <c r="H120" s="3">
        <v>1124</v>
      </c>
      <c r="I120" s="3">
        <v>3751</v>
      </c>
      <c r="J120" s="3" t="s">
        <v>12</v>
      </c>
      <c r="K120" s="3" t="s">
        <v>33</v>
      </c>
      <c r="L120" s="3" t="s">
        <v>14</v>
      </c>
      <c r="M120" s="3">
        <v>7.5</v>
      </c>
      <c r="N120" s="4">
        <v>1</v>
      </c>
    </row>
    <row r="121" spans="7:14" x14ac:dyDescent="0.25">
      <c r="G121" s="3">
        <f>3-19-21</f>
        <v>-37</v>
      </c>
      <c r="H121" s="3">
        <v>1126</v>
      </c>
      <c r="I121" s="3">
        <v>3759</v>
      </c>
      <c r="J121" s="3" t="s">
        <v>12</v>
      </c>
      <c r="K121" s="3" t="s">
        <v>34</v>
      </c>
      <c r="L121" s="3" t="s">
        <v>16</v>
      </c>
      <c r="M121" s="3">
        <v>3.5</v>
      </c>
      <c r="N121" s="4">
        <v>1</v>
      </c>
    </row>
    <row r="122" spans="7:14" x14ac:dyDescent="0.25">
      <c r="G122" s="3">
        <f>3-19-21</f>
        <v>-37</v>
      </c>
      <c r="H122" s="3">
        <v>1127</v>
      </c>
      <c r="I122" s="3">
        <v>3760</v>
      </c>
      <c r="J122" s="3" t="s">
        <v>12</v>
      </c>
      <c r="K122" s="3" t="s">
        <v>34</v>
      </c>
      <c r="L122" s="3" t="s">
        <v>16</v>
      </c>
      <c r="M122" s="3">
        <v>5.9</v>
      </c>
      <c r="N122" s="4">
        <v>1</v>
      </c>
    </row>
    <row r="123" spans="7:14" x14ac:dyDescent="0.25">
      <c r="G123" s="3">
        <f>3-19-21</f>
        <v>-37</v>
      </c>
      <c r="H123" s="3">
        <v>1128</v>
      </c>
      <c r="I123" s="3">
        <v>3761</v>
      </c>
      <c r="J123" s="3" t="s">
        <v>12</v>
      </c>
      <c r="K123" s="3" t="s">
        <v>34</v>
      </c>
      <c r="L123" s="3" t="s">
        <v>14</v>
      </c>
      <c r="M123" s="3">
        <v>5.4</v>
      </c>
      <c r="N123" s="4">
        <v>1</v>
      </c>
    </row>
    <row r="124" spans="7:14" x14ac:dyDescent="0.25">
      <c r="G124" s="3">
        <f>3-19-21</f>
        <v>-37</v>
      </c>
      <c r="H124" s="3">
        <v>1129</v>
      </c>
      <c r="I124" s="3">
        <v>3762</v>
      </c>
      <c r="J124" s="3" t="s">
        <v>12</v>
      </c>
      <c r="K124" s="3" t="s">
        <v>34</v>
      </c>
      <c r="L124" s="3" t="s">
        <v>16</v>
      </c>
      <c r="M124" s="3">
        <v>4.4000000000000004</v>
      </c>
      <c r="N124" s="4">
        <v>1</v>
      </c>
    </row>
    <row r="125" spans="7:14" x14ac:dyDescent="0.25">
      <c r="G125" s="3">
        <f>3-26-21</f>
        <v>-44</v>
      </c>
      <c r="H125" s="3">
        <v>1130</v>
      </c>
      <c r="I125" s="3">
        <v>3763</v>
      </c>
      <c r="J125" s="3" t="s">
        <v>12</v>
      </c>
      <c r="K125" s="3" t="s">
        <v>29</v>
      </c>
      <c r="L125" s="3" t="s">
        <v>16</v>
      </c>
      <c r="M125" s="3">
        <v>7.5</v>
      </c>
      <c r="N125" s="4">
        <v>1</v>
      </c>
    </row>
    <row r="126" spans="7:14" x14ac:dyDescent="0.25">
      <c r="G126" s="3">
        <f>4-12-21</f>
        <v>-29</v>
      </c>
      <c r="H126" s="3">
        <v>1132</v>
      </c>
      <c r="I126" s="3">
        <v>3772</v>
      </c>
      <c r="J126" s="3" t="s">
        <v>12</v>
      </c>
      <c r="K126" s="3" t="s">
        <v>35</v>
      </c>
      <c r="L126" s="3" t="s">
        <v>16</v>
      </c>
      <c r="M126" s="3">
        <v>3.2</v>
      </c>
      <c r="N126" s="4">
        <v>1</v>
      </c>
    </row>
    <row r="127" spans="7:14" x14ac:dyDescent="0.25">
      <c r="G127" s="3">
        <f>4-13-21</f>
        <v>-30</v>
      </c>
      <c r="H127" s="3">
        <v>1133</v>
      </c>
      <c r="I127" s="3">
        <v>3773</v>
      </c>
      <c r="J127" s="3" t="s">
        <v>12</v>
      </c>
      <c r="K127" s="3" t="s">
        <v>35</v>
      </c>
      <c r="L127" s="3" t="s">
        <v>16</v>
      </c>
      <c r="M127" s="3">
        <v>6.4</v>
      </c>
      <c r="N127" s="4">
        <v>1</v>
      </c>
    </row>
    <row r="128" spans="7:14" x14ac:dyDescent="0.25">
      <c r="G128" s="3">
        <f>4-13-21</f>
        <v>-30</v>
      </c>
      <c r="H128" s="3">
        <v>1134</v>
      </c>
      <c r="I128" s="3">
        <v>3774</v>
      </c>
      <c r="J128" s="3" t="s">
        <v>12</v>
      </c>
      <c r="K128" s="3" t="s">
        <v>35</v>
      </c>
      <c r="L128" s="3" t="s">
        <v>14</v>
      </c>
      <c r="M128" s="3">
        <v>4.0999999999999996</v>
      </c>
      <c r="N128" s="4">
        <v>1</v>
      </c>
    </row>
    <row r="129" spans="7:14" x14ac:dyDescent="0.25">
      <c r="G129" s="3">
        <f>4-20-21</f>
        <v>-37</v>
      </c>
      <c r="H129" s="3">
        <v>1135</v>
      </c>
      <c r="I129" s="3">
        <v>3781</v>
      </c>
      <c r="J129" s="3" t="s">
        <v>12</v>
      </c>
      <c r="K129" s="3" t="s">
        <v>13</v>
      </c>
      <c r="L129" s="3" t="s">
        <v>16</v>
      </c>
      <c r="M129" s="3"/>
      <c r="N129" s="4"/>
    </row>
    <row r="130" spans="7:14" x14ac:dyDescent="0.25">
      <c r="G130" s="3">
        <f>4-21-21</f>
        <v>-38</v>
      </c>
      <c r="H130" s="3">
        <v>1136</v>
      </c>
      <c r="I130" s="3">
        <v>3782</v>
      </c>
      <c r="J130" s="3" t="s">
        <v>12</v>
      </c>
      <c r="K130" s="3" t="s">
        <v>13</v>
      </c>
      <c r="L130" s="3" t="s">
        <v>16</v>
      </c>
      <c r="M130" s="3">
        <v>7</v>
      </c>
      <c r="N130" s="4">
        <v>1</v>
      </c>
    </row>
    <row r="131" spans="7:14" x14ac:dyDescent="0.25">
      <c r="G131" s="3">
        <f>4-21-21</f>
        <v>-38</v>
      </c>
      <c r="H131" s="3">
        <v>1137</v>
      </c>
      <c r="I131" s="3">
        <v>3783</v>
      </c>
      <c r="J131" s="3" t="s">
        <v>12</v>
      </c>
      <c r="K131" s="3" t="s">
        <v>13</v>
      </c>
      <c r="L131" s="3" t="s">
        <v>14</v>
      </c>
      <c r="M131" s="3">
        <v>6.7</v>
      </c>
      <c r="N131" s="4">
        <v>1</v>
      </c>
    </row>
    <row r="132" spans="7:14" x14ac:dyDescent="0.25">
      <c r="G132" s="3">
        <f>12-7-21</f>
        <v>-16</v>
      </c>
      <c r="H132" s="3">
        <v>1186</v>
      </c>
      <c r="I132" s="3">
        <v>4001</v>
      </c>
      <c r="J132" s="3" t="s">
        <v>12</v>
      </c>
      <c r="K132" s="3" t="s">
        <v>36</v>
      </c>
      <c r="L132" s="3" t="s">
        <v>16</v>
      </c>
      <c r="M132" s="3">
        <v>8.1999999999999993</v>
      </c>
      <c r="N132" s="4">
        <v>1</v>
      </c>
    </row>
    <row r="133" spans="7:14" x14ac:dyDescent="0.25">
      <c r="G133" s="3">
        <f>12-8-21</f>
        <v>-17</v>
      </c>
      <c r="H133" s="3">
        <v>1187</v>
      </c>
      <c r="I133" s="3">
        <v>4002</v>
      </c>
      <c r="J133" s="3" t="s">
        <v>12</v>
      </c>
      <c r="K133" s="3" t="s">
        <v>36</v>
      </c>
      <c r="L133" s="3" t="s">
        <v>16</v>
      </c>
      <c r="M133" s="3">
        <v>6.1</v>
      </c>
      <c r="N133" s="4">
        <v>1</v>
      </c>
    </row>
    <row r="134" spans="7:14" x14ac:dyDescent="0.25">
      <c r="G134" s="3">
        <f>12-8-21</f>
        <v>-17</v>
      </c>
      <c r="H134" s="3">
        <v>1188</v>
      </c>
      <c r="I134" s="3">
        <v>4003</v>
      </c>
      <c r="J134" s="3" t="s">
        <v>12</v>
      </c>
      <c r="K134" s="3" t="s">
        <v>36</v>
      </c>
      <c r="L134" s="3" t="s">
        <v>14</v>
      </c>
      <c r="M134" s="3">
        <v>4.4000000000000004</v>
      </c>
      <c r="N134" s="4">
        <v>1</v>
      </c>
    </row>
    <row r="135" spans="7:14" x14ac:dyDescent="0.25">
      <c r="G135" s="3">
        <f>12-16-21</f>
        <v>-25</v>
      </c>
      <c r="H135" s="3">
        <v>1190</v>
      </c>
      <c r="I135" s="3">
        <v>4016</v>
      </c>
      <c r="J135" s="3" t="s">
        <v>12</v>
      </c>
      <c r="K135" s="3" t="s">
        <v>37</v>
      </c>
      <c r="L135" s="3" t="s">
        <v>16</v>
      </c>
      <c r="M135" s="3">
        <v>5</v>
      </c>
      <c r="N135" s="4">
        <v>1</v>
      </c>
    </row>
    <row r="136" spans="7:14" x14ac:dyDescent="0.25">
      <c r="G136" s="3">
        <f>12-16-21</f>
        <v>-25</v>
      </c>
      <c r="H136" s="3">
        <v>1191</v>
      </c>
      <c r="I136" s="3">
        <v>4017</v>
      </c>
      <c r="J136" s="3" t="s">
        <v>12</v>
      </c>
      <c r="K136" s="3" t="s">
        <v>37</v>
      </c>
      <c r="L136" s="3" t="s">
        <v>14</v>
      </c>
      <c r="M136" s="3">
        <v>6.7</v>
      </c>
      <c r="N136" s="4">
        <v>1</v>
      </c>
    </row>
    <row r="137" spans="7:14" x14ac:dyDescent="0.25">
      <c r="G137" s="3">
        <f>4-11-22</f>
        <v>-29</v>
      </c>
      <c r="H137" s="3">
        <v>1235</v>
      </c>
      <c r="I137" s="3">
        <v>4075</v>
      </c>
      <c r="J137" s="3" t="s">
        <v>12</v>
      </c>
      <c r="K137" s="3" t="s">
        <v>19</v>
      </c>
      <c r="L137" s="3" t="s">
        <v>16</v>
      </c>
      <c r="M137" s="3"/>
      <c r="N137" s="4"/>
    </row>
    <row r="138" spans="7:14" x14ac:dyDescent="0.25">
      <c r="G138" s="3">
        <f>4-11-22</f>
        <v>-29</v>
      </c>
      <c r="H138" s="3">
        <v>1236</v>
      </c>
      <c r="I138" s="3">
        <v>4076</v>
      </c>
      <c r="J138" s="3" t="s">
        <v>12</v>
      </c>
      <c r="K138" s="3" t="s">
        <v>19</v>
      </c>
      <c r="L138" s="3" t="s">
        <v>14</v>
      </c>
      <c r="M138" s="3">
        <v>2.8</v>
      </c>
      <c r="N138" s="4">
        <v>1</v>
      </c>
    </row>
    <row r="139" spans="7:14" x14ac:dyDescent="0.25">
      <c r="G139" s="3">
        <f>5-29-22</f>
        <v>-46</v>
      </c>
      <c r="H139" s="3">
        <v>1237</v>
      </c>
      <c r="I139" s="3">
        <v>4082</v>
      </c>
      <c r="J139" s="3" t="s">
        <v>12</v>
      </c>
      <c r="K139" s="3" t="s">
        <v>30</v>
      </c>
      <c r="L139" s="3" t="s">
        <v>16</v>
      </c>
      <c r="M139" s="3">
        <v>2.1</v>
      </c>
      <c r="N139" s="4">
        <v>1</v>
      </c>
    </row>
    <row r="140" spans="7:14" x14ac:dyDescent="0.25">
      <c r="G140" s="3">
        <f>5-29-22</f>
        <v>-46</v>
      </c>
      <c r="H140" s="3">
        <v>1238</v>
      </c>
      <c r="I140" s="3">
        <v>4083</v>
      </c>
      <c r="J140" s="3" t="s">
        <v>12</v>
      </c>
      <c r="K140" s="3" t="s">
        <v>30</v>
      </c>
      <c r="L140" s="3" t="s">
        <v>16</v>
      </c>
      <c r="M140" s="3">
        <v>2.2000000000000002</v>
      </c>
      <c r="N140" s="4">
        <v>1</v>
      </c>
    </row>
    <row r="141" spans="7:14" x14ac:dyDescent="0.25">
      <c r="G141" s="3">
        <f>5-29-22</f>
        <v>-46</v>
      </c>
      <c r="H141" s="3">
        <v>1239</v>
      </c>
      <c r="I141" s="3">
        <v>4084</v>
      </c>
      <c r="J141" s="3" t="s">
        <v>12</v>
      </c>
      <c r="K141" s="3" t="s">
        <v>30</v>
      </c>
      <c r="L141" s="3" t="s">
        <v>16</v>
      </c>
      <c r="M141" s="3">
        <v>1.8</v>
      </c>
      <c r="N141" s="4">
        <v>1</v>
      </c>
    </row>
    <row r="142" spans="7:14" x14ac:dyDescent="0.25">
      <c r="G142" s="3">
        <f>5-30-22</f>
        <v>-47</v>
      </c>
      <c r="H142" s="3">
        <v>1240</v>
      </c>
      <c r="I142" s="3">
        <v>4085</v>
      </c>
      <c r="J142" s="3" t="s">
        <v>12</v>
      </c>
      <c r="K142" s="3" t="s">
        <v>30</v>
      </c>
      <c r="L142" s="3" t="s">
        <v>16</v>
      </c>
      <c r="M142" s="3">
        <v>6.1</v>
      </c>
      <c r="N142" s="4">
        <v>1</v>
      </c>
    </row>
    <row r="143" spans="7:14" x14ac:dyDescent="0.25">
      <c r="G143" s="3">
        <f>5-30-22</f>
        <v>-47</v>
      </c>
      <c r="H143" s="3">
        <v>1241</v>
      </c>
      <c r="I143" s="3">
        <v>4086</v>
      </c>
      <c r="J143" s="3" t="s">
        <v>12</v>
      </c>
      <c r="K143" s="3" t="s">
        <v>30</v>
      </c>
      <c r="L143" s="3" t="s">
        <v>16</v>
      </c>
      <c r="M143" s="3">
        <v>6.4</v>
      </c>
      <c r="N143" s="4">
        <v>1</v>
      </c>
    </row>
    <row r="144" spans="7:14" x14ac:dyDescent="0.25">
      <c r="G144" s="3">
        <f>5-30-22</f>
        <v>-47</v>
      </c>
      <c r="H144" s="3">
        <v>1242</v>
      </c>
      <c r="I144" s="3">
        <v>4087</v>
      </c>
      <c r="J144" s="3" t="s">
        <v>12</v>
      </c>
      <c r="K144" s="3" t="s">
        <v>30</v>
      </c>
      <c r="L144" s="3" t="s">
        <v>14</v>
      </c>
      <c r="M144" s="3">
        <v>5.5</v>
      </c>
      <c r="N144" s="4">
        <v>1</v>
      </c>
    </row>
    <row r="145" spans="7:14" x14ac:dyDescent="0.25">
      <c r="G145" s="3">
        <f>6-5-22</f>
        <v>-21</v>
      </c>
      <c r="H145" s="3">
        <v>1243</v>
      </c>
      <c r="I145" s="3">
        <v>4089</v>
      </c>
      <c r="J145" s="3" t="s">
        <v>12</v>
      </c>
      <c r="K145" s="3" t="s">
        <v>19</v>
      </c>
      <c r="L145" s="3" t="s">
        <v>14</v>
      </c>
      <c r="M145" s="3">
        <v>3.9</v>
      </c>
      <c r="N145" s="4">
        <v>1</v>
      </c>
    </row>
    <row r="146" spans="7:14" x14ac:dyDescent="0.25">
      <c r="G146" s="3">
        <f>7-17-22</f>
        <v>-32</v>
      </c>
      <c r="H146" s="3">
        <v>1246</v>
      </c>
      <c r="I146" s="3">
        <v>4096</v>
      </c>
      <c r="J146" s="3" t="s">
        <v>12</v>
      </c>
      <c r="K146" s="3" t="s">
        <v>19</v>
      </c>
      <c r="L146" s="3" t="s">
        <v>16</v>
      </c>
      <c r="M146" s="3"/>
      <c r="N146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B437-CF36-4B97-955D-612F91707A5A}">
  <sheetPr transitionEvaluation="1" transitionEntry="1"/>
  <dimension ref="A2:J213"/>
  <sheetViews>
    <sheetView showGridLines="0" workbookViewId="0"/>
  </sheetViews>
  <sheetFormatPr defaultRowHeight="12.75" x14ac:dyDescent="0.25"/>
  <cols>
    <col min="1" max="6" width="9.140625" style="29"/>
    <col min="7" max="7" width="12.42578125" style="29" customWidth="1"/>
    <col min="8" max="9" width="9.140625" style="29"/>
    <col min="10" max="10" width="15.28515625" style="29" customWidth="1"/>
    <col min="11" max="16384" width="9.140625" style="29"/>
  </cols>
  <sheetData>
    <row r="2" spans="1:10" x14ac:dyDescent="0.25">
      <c r="A2" s="29" t="s">
        <v>102</v>
      </c>
    </row>
    <row r="3" spans="1:10" x14ac:dyDescent="0.25">
      <c r="A3" s="30" t="s">
        <v>103</v>
      </c>
    </row>
    <row r="4" spans="1:10" x14ac:dyDescent="0.25">
      <c r="A4" s="29" t="s">
        <v>104</v>
      </c>
    </row>
    <row r="5" spans="1:10" ht="15" customHeight="1" x14ac:dyDescent="0.25"/>
    <row r="6" spans="1:10" ht="15" customHeight="1" x14ac:dyDescent="0.25"/>
    <row r="7" spans="1:10" ht="15" customHeight="1" x14ac:dyDescent="0.25">
      <c r="J7" s="31" t="s">
        <v>0</v>
      </c>
    </row>
    <row r="8" spans="1:10" ht="15" customHeight="1" x14ac:dyDescent="0.25">
      <c r="J8" s="29" t="s">
        <v>109</v>
      </c>
    </row>
    <row r="9" spans="1:10" ht="15" customHeight="1" x14ac:dyDescent="0.25">
      <c r="E9" s="30" t="s">
        <v>50</v>
      </c>
      <c r="H9" s="32"/>
      <c r="I9" s="33"/>
      <c r="J9" s="34" t="s">
        <v>106</v>
      </c>
    </row>
    <row r="10" spans="1:10" ht="15" customHeight="1" x14ac:dyDescent="0.25">
      <c r="E10" s="35">
        <v>134</v>
      </c>
      <c r="H10" s="36" t="s">
        <v>6</v>
      </c>
      <c r="I10" s="37" t="s">
        <v>90</v>
      </c>
      <c r="J10" s="38" t="s">
        <v>107</v>
      </c>
    </row>
    <row r="11" spans="1:10" ht="15" customHeight="1" x14ac:dyDescent="0.25">
      <c r="H11" s="39">
        <v>3599</v>
      </c>
      <c r="I11" s="42">
        <v>1.7</v>
      </c>
      <c r="J11" s="40">
        <f t="shared" ref="J11:J42" si="0">I11/E$13</f>
        <v>0.88082901554404147</v>
      </c>
    </row>
    <row r="12" spans="1:10" ht="15" customHeight="1" x14ac:dyDescent="0.25">
      <c r="E12" s="30" t="s">
        <v>110</v>
      </c>
      <c r="H12" s="39">
        <v>3683</v>
      </c>
      <c r="I12" s="42">
        <v>1.72</v>
      </c>
      <c r="J12" s="40">
        <f t="shared" si="0"/>
        <v>0.89119170984455964</v>
      </c>
    </row>
    <row r="13" spans="1:10" ht="15" customHeight="1" x14ac:dyDescent="0.25">
      <c r="E13" s="35">
        <v>1.93</v>
      </c>
      <c r="H13" s="39">
        <v>3717</v>
      </c>
      <c r="I13" s="42">
        <v>1.72</v>
      </c>
      <c r="J13" s="40">
        <f t="shared" si="0"/>
        <v>0.89119170984455964</v>
      </c>
    </row>
    <row r="14" spans="1:10" ht="15" customHeight="1" x14ac:dyDescent="0.25">
      <c r="H14" s="39">
        <v>3720</v>
      </c>
      <c r="I14" s="42">
        <v>1.73</v>
      </c>
      <c r="J14" s="40">
        <f t="shared" si="0"/>
        <v>0.89637305699481862</v>
      </c>
    </row>
    <row r="15" spans="1:10" ht="15" customHeight="1" x14ac:dyDescent="0.25">
      <c r="H15" s="39">
        <v>3721</v>
      </c>
      <c r="I15" s="42">
        <v>1.73</v>
      </c>
      <c r="J15" s="40">
        <f t="shared" si="0"/>
        <v>0.89637305699481862</v>
      </c>
    </row>
    <row r="16" spans="1:10" ht="15" customHeight="1" x14ac:dyDescent="0.25">
      <c r="H16" s="39">
        <v>3628</v>
      </c>
      <c r="I16" s="42">
        <v>1.74</v>
      </c>
      <c r="J16" s="40">
        <f t="shared" si="0"/>
        <v>0.9015544041450777</v>
      </c>
    </row>
    <row r="17" spans="8:10" ht="15" customHeight="1" x14ac:dyDescent="0.25">
      <c r="H17" s="39">
        <v>3653</v>
      </c>
      <c r="I17" s="42">
        <v>1.74</v>
      </c>
      <c r="J17" s="40">
        <f t="shared" si="0"/>
        <v>0.9015544041450777</v>
      </c>
    </row>
    <row r="18" spans="8:10" ht="15" customHeight="1" x14ac:dyDescent="0.25">
      <c r="H18" s="39">
        <v>3718</v>
      </c>
      <c r="I18" s="42">
        <v>1.74</v>
      </c>
      <c r="J18" s="40">
        <f t="shared" si="0"/>
        <v>0.9015544041450777</v>
      </c>
    </row>
    <row r="19" spans="8:10" ht="15" customHeight="1" x14ac:dyDescent="0.25">
      <c r="H19" s="39">
        <v>3624</v>
      </c>
      <c r="I19" s="42">
        <v>1.75</v>
      </c>
      <c r="J19" s="40">
        <f t="shared" si="0"/>
        <v>0.90673575129533679</v>
      </c>
    </row>
    <row r="20" spans="8:10" ht="15" customHeight="1" x14ac:dyDescent="0.25">
      <c r="H20" s="39">
        <v>4017</v>
      </c>
      <c r="I20" s="42">
        <v>1.75</v>
      </c>
      <c r="J20" s="40">
        <f t="shared" si="0"/>
        <v>0.90673575129533679</v>
      </c>
    </row>
    <row r="21" spans="8:10" ht="15" customHeight="1" x14ac:dyDescent="0.25">
      <c r="H21" s="39">
        <v>3629</v>
      </c>
      <c r="I21" s="42">
        <v>1.76</v>
      </c>
      <c r="J21" s="40">
        <f t="shared" si="0"/>
        <v>0.91191709844559588</v>
      </c>
    </row>
    <row r="22" spans="8:10" ht="15" customHeight="1" x14ac:dyDescent="0.25">
      <c r="H22" s="39">
        <v>3630</v>
      </c>
      <c r="I22" s="42">
        <v>1.76</v>
      </c>
      <c r="J22" s="40">
        <f t="shared" si="0"/>
        <v>0.91191709844559588</v>
      </c>
    </row>
    <row r="23" spans="8:10" ht="15" customHeight="1" x14ac:dyDescent="0.25">
      <c r="H23" s="39">
        <v>3518</v>
      </c>
      <c r="I23" s="42">
        <v>1.77</v>
      </c>
      <c r="J23" s="40">
        <f t="shared" si="0"/>
        <v>0.91709844559585496</v>
      </c>
    </row>
    <row r="24" spans="8:10" ht="15" customHeight="1" x14ac:dyDescent="0.25">
      <c r="H24" s="39">
        <v>3631</v>
      </c>
      <c r="I24" s="42">
        <v>1.77</v>
      </c>
      <c r="J24" s="40">
        <f t="shared" si="0"/>
        <v>0.91709844559585496</v>
      </c>
    </row>
    <row r="25" spans="8:10" ht="15" customHeight="1" x14ac:dyDescent="0.25">
      <c r="H25" s="39">
        <v>3622</v>
      </c>
      <c r="I25" s="42">
        <v>1.78</v>
      </c>
      <c r="J25" s="40">
        <f t="shared" si="0"/>
        <v>0.92227979274611405</v>
      </c>
    </row>
    <row r="26" spans="8:10" ht="15" customHeight="1" x14ac:dyDescent="0.25">
      <c r="H26" s="39">
        <v>3519</v>
      </c>
      <c r="I26" s="42">
        <v>1.79</v>
      </c>
      <c r="J26" s="40">
        <f t="shared" si="0"/>
        <v>0.92746113989637313</v>
      </c>
    </row>
    <row r="27" spans="8:10" ht="15" customHeight="1" x14ac:dyDescent="0.25">
      <c r="H27" s="39">
        <v>3654</v>
      </c>
      <c r="I27" s="42">
        <v>1.79</v>
      </c>
      <c r="J27" s="40">
        <f t="shared" si="0"/>
        <v>0.92746113989637313</v>
      </c>
    </row>
    <row r="28" spans="8:10" ht="15" customHeight="1" x14ac:dyDescent="0.25">
      <c r="H28" s="39">
        <v>3589</v>
      </c>
      <c r="I28" s="42">
        <v>1.8</v>
      </c>
      <c r="J28" s="40">
        <f t="shared" si="0"/>
        <v>0.93264248704663222</v>
      </c>
    </row>
    <row r="29" spans="8:10" ht="15" customHeight="1" x14ac:dyDescent="0.25">
      <c r="H29" s="39">
        <v>3594</v>
      </c>
      <c r="I29" s="42">
        <v>1.8</v>
      </c>
      <c r="J29" s="40">
        <f t="shared" si="0"/>
        <v>0.93264248704663222</v>
      </c>
    </row>
    <row r="30" spans="8:10" ht="15" customHeight="1" x14ac:dyDescent="0.25">
      <c r="H30" s="39">
        <v>3623</v>
      </c>
      <c r="I30" s="42">
        <v>1.8</v>
      </c>
      <c r="J30" s="40">
        <f t="shared" si="0"/>
        <v>0.93264248704663222</v>
      </c>
    </row>
    <row r="31" spans="8:10" ht="15" customHeight="1" x14ac:dyDescent="0.25">
      <c r="H31" s="39">
        <v>3625</v>
      </c>
      <c r="I31" s="42">
        <v>1.8</v>
      </c>
      <c r="J31" s="40">
        <f t="shared" si="0"/>
        <v>0.93264248704663222</v>
      </c>
    </row>
    <row r="32" spans="8:10" ht="15" customHeight="1" x14ac:dyDescent="0.25">
      <c r="H32" s="39">
        <v>3632</v>
      </c>
      <c r="I32" s="42">
        <v>1.8</v>
      </c>
      <c r="J32" s="40">
        <f t="shared" si="0"/>
        <v>0.93264248704663222</v>
      </c>
    </row>
    <row r="33" spans="8:10" ht="15" customHeight="1" x14ac:dyDescent="0.25">
      <c r="H33" s="39">
        <v>3722</v>
      </c>
      <c r="I33" s="42">
        <v>1.8</v>
      </c>
      <c r="J33" s="40">
        <f t="shared" si="0"/>
        <v>0.93264248704663222</v>
      </c>
    </row>
    <row r="34" spans="8:10" ht="15" customHeight="1" x14ac:dyDescent="0.25">
      <c r="H34" s="39">
        <v>3416</v>
      </c>
      <c r="I34" s="42">
        <v>1.81</v>
      </c>
      <c r="J34" s="40">
        <f t="shared" si="0"/>
        <v>0.9378238341968913</v>
      </c>
    </row>
    <row r="35" spans="8:10" ht="15" customHeight="1" x14ac:dyDescent="0.25">
      <c r="H35" s="39">
        <v>3600</v>
      </c>
      <c r="I35" s="42">
        <v>1.81</v>
      </c>
      <c r="J35" s="40">
        <f t="shared" si="0"/>
        <v>0.9378238341968913</v>
      </c>
    </row>
    <row r="36" spans="8:10" ht="15" customHeight="1" x14ac:dyDescent="0.25">
      <c r="H36" s="39">
        <v>3719</v>
      </c>
      <c r="I36" s="42">
        <v>1.81</v>
      </c>
      <c r="J36" s="40">
        <f t="shared" si="0"/>
        <v>0.9378238341968913</v>
      </c>
    </row>
    <row r="37" spans="8:10" ht="15" customHeight="1" x14ac:dyDescent="0.25">
      <c r="H37" s="39">
        <v>3723</v>
      </c>
      <c r="I37" s="42">
        <v>1.81</v>
      </c>
      <c r="J37" s="40">
        <f t="shared" si="0"/>
        <v>0.9378238341968913</v>
      </c>
    </row>
    <row r="38" spans="8:10" ht="15" customHeight="1" x14ac:dyDescent="0.25">
      <c r="H38" s="39">
        <v>3590</v>
      </c>
      <c r="I38" s="42">
        <v>1.82</v>
      </c>
      <c r="J38" s="40">
        <f t="shared" si="0"/>
        <v>0.94300518134715028</v>
      </c>
    </row>
    <row r="39" spans="8:10" ht="15" customHeight="1" x14ac:dyDescent="0.25">
      <c r="H39" s="39">
        <v>3751</v>
      </c>
      <c r="I39" s="42">
        <v>1.82</v>
      </c>
      <c r="J39" s="40">
        <f t="shared" si="0"/>
        <v>0.94300518134715028</v>
      </c>
    </row>
    <row r="40" spans="8:10" ht="15" customHeight="1" x14ac:dyDescent="0.25">
      <c r="H40" s="39">
        <v>3763</v>
      </c>
      <c r="I40" s="42">
        <v>1.82</v>
      </c>
      <c r="J40" s="40">
        <f t="shared" si="0"/>
        <v>0.94300518134715028</v>
      </c>
    </row>
    <row r="41" spans="8:10" ht="15" customHeight="1" x14ac:dyDescent="0.25">
      <c r="H41" s="39">
        <v>3593</v>
      </c>
      <c r="I41" s="42">
        <v>1.83</v>
      </c>
      <c r="J41" s="40">
        <f t="shared" si="0"/>
        <v>0.94818652849740936</v>
      </c>
    </row>
    <row r="42" spans="8:10" ht="15" customHeight="1" x14ac:dyDescent="0.25">
      <c r="H42" s="39">
        <v>3626</v>
      </c>
      <c r="I42" s="42">
        <v>1.83</v>
      </c>
      <c r="J42" s="40">
        <f t="shared" si="0"/>
        <v>0.94818652849740936</v>
      </c>
    </row>
    <row r="43" spans="8:10" ht="15" customHeight="1" x14ac:dyDescent="0.25">
      <c r="H43" s="39">
        <v>3633</v>
      </c>
      <c r="I43" s="42">
        <v>1.83</v>
      </c>
      <c r="J43" s="40">
        <f t="shared" ref="J43:J74" si="1">I43/E$13</f>
        <v>0.94818652849740936</v>
      </c>
    </row>
    <row r="44" spans="8:10" ht="15" customHeight="1" x14ac:dyDescent="0.25">
      <c r="H44" s="39">
        <v>3691</v>
      </c>
      <c r="I44" s="42">
        <v>1.83</v>
      </c>
      <c r="J44" s="40">
        <f t="shared" si="1"/>
        <v>0.94818652849740936</v>
      </c>
    </row>
    <row r="45" spans="8:10" ht="15" customHeight="1" x14ac:dyDescent="0.25">
      <c r="H45" s="39">
        <v>3750</v>
      </c>
      <c r="I45" s="42">
        <v>1.83</v>
      </c>
      <c r="J45" s="40">
        <f t="shared" si="1"/>
        <v>0.94818652849740936</v>
      </c>
    </row>
    <row r="46" spans="8:10" ht="15" customHeight="1" x14ac:dyDescent="0.25">
      <c r="H46" s="39">
        <v>3418</v>
      </c>
      <c r="I46" s="42">
        <v>1.84</v>
      </c>
      <c r="J46" s="40">
        <f t="shared" si="1"/>
        <v>0.95336787564766845</v>
      </c>
    </row>
    <row r="47" spans="8:10" ht="15" customHeight="1" x14ac:dyDescent="0.25">
      <c r="H47" s="39">
        <v>3601</v>
      </c>
      <c r="I47" s="42">
        <v>1.84</v>
      </c>
      <c r="J47" s="40">
        <f t="shared" si="1"/>
        <v>0.95336787564766845</v>
      </c>
    </row>
    <row r="48" spans="8:10" ht="15" customHeight="1" x14ac:dyDescent="0.25">
      <c r="H48" s="39">
        <v>3724</v>
      </c>
      <c r="I48" s="42">
        <v>1.84</v>
      </c>
      <c r="J48" s="40">
        <f t="shared" si="1"/>
        <v>0.95336787564766845</v>
      </c>
    </row>
    <row r="49" spans="8:10" ht="15" customHeight="1" x14ac:dyDescent="0.25">
      <c r="H49" s="39">
        <v>3727</v>
      </c>
      <c r="I49" s="42">
        <v>1.84</v>
      </c>
      <c r="J49" s="40">
        <f t="shared" si="1"/>
        <v>0.95336787564766845</v>
      </c>
    </row>
    <row r="50" spans="8:10" ht="15" customHeight="1" x14ac:dyDescent="0.25">
      <c r="H50" s="39">
        <v>3731</v>
      </c>
      <c r="I50" s="42">
        <v>1.84</v>
      </c>
      <c r="J50" s="40">
        <f t="shared" si="1"/>
        <v>0.95336787564766845</v>
      </c>
    </row>
    <row r="51" spans="8:10" ht="15" customHeight="1" x14ac:dyDescent="0.25">
      <c r="H51" s="39">
        <v>3781</v>
      </c>
      <c r="I51" s="42">
        <v>1.84</v>
      </c>
      <c r="J51" s="40">
        <f t="shared" si="1"/>
        <v>0.95336787564766845</v>
      </c>
    </row>
    <row r="52" spans="8:10" ht="15" customHeight="1" x14ac:dyDescent="0.25">
      <c r="H52" s="39">
        <v>3783</v>
      </c>
      <c r="I52" s="42">
        <v>1.84</v>
      </c>
      <c r="J52" s="40">
        <f t="shared" si="1"/>
        <v>0.95336787564766845</v>
      </c>
    </row>
    <row r="53" spans="8:10" ht="15" customHeight="1" x14ac:dyDescent="0.25">
      <c r="H53" s="39">
        <v>4001</v>
      </c>
      <c r="I53" s="42">
        <v>1.84</v>
      </c>
      <c r="J53" s="40">
        <f t="shared" si="1"/>
        <v>0.95336787564766845</v>
      </c>
    </row>
    <row r="54" spans="8:10" ht="15" customHeight="1" x14ac:dyDescent="0.25">
      <c r="H54" s="39">
        <v>3497</v>
      </c>
      <c r="I54" s="42">
        <v>1.85</v>
      </c>
      <c r="J54" s="40">
        <f t="shared" si="1"/>
        <v>0.95854922279792754</v>
      </c>
    </row>
    <row r="55" spans="8:10" ht="15" customHeight="1" x14ac:dyDescent="0.25">
      <c r="H55" s="39">
        <v>3516</v>
      </c>
      <c r="I55" s="42">
        <v>1.85</v>
      </c>
      <c r="J55" s="40">
        <f t="shared" si="1"/>
        <v>0.95854922279792754</v>
      </c>
    </row>
    <row r="56" spans="8:10" ht="15" customHeight="1" x14ac:dyDescent="0.25">
      <c r="H56" s="39">
        <v>3715</v>
      </c>
      <c r="I56" s="42">
        <v>1.85</v>
      </c>
      <c r="J56" s="40">
        <f t="shared" si="1"/>
        <v>0.95854922279792754</v>
      </c>
    </row>
    <row r="57" spans="8:10" ht="15" customHeight="1" x14ac:dyDescent="0.25">
      <c r="H57" s="39">
        <v>3730</v>
      </c>
      <c r="I57" s="42">
        <v>1.85</v>
      </c>
      <c r="J57" s="40">
        <f t="shared" si="1"/>
        <v>0.95854922279792754</v>
      </c>
    </row>
    <row r="58" spans="8:10" ht="15" customHeight="1" x14ac:dyDescent="0.25">
      <c r="H58" s="39">
        <v>3732</v>
      </c>
      <c r="I58" s="42">
        <v>1.85</v>
      </c>
      <c r="J58" s="40">
        <f t="shared" si="1"/>
        <v>0.95854922279792754</v>
      </c>
    </row>
    <row r="59" spans="8:10" ht="15" customHeight="1" x14ac:dyDescent="0.25">
      <c r="H59" s="39">
        <v>3417</v>
      </c>
      <c r="I59" s="42">
        <v>1.86</v>
      </c>
      <c r="J59" s="40">
        <f t="shared" si="1"/>
        <v>0.96373056994818662</v>
      </c>
    </row>
    <row r="60" spans="8:10" ht="15" customHeight="1" x14ac:dyDescent="0.25">
      <c r="H60" s="39">
        <v>3521</v>
      </c>
      <c r="I60" s="42">
        <v>1.86</v>
      </c>
      <c r="J60" s="40">
        <f t="shared" si="1"/>
        <v>0.96373056994818662</v>
      </c>
    </row>
    <row r="61" spans="8:10" ht="15" customHeight="1" x14ac:dyDescent="0.25">
      <c r="H61" s="39">
        <v>3689</v>
      </c>
      <c r="I61" s="42">
        <v>1.86</v>
      </c>
      <c r="J61" s="40">
        <f t="shared" si="1"/>
        <v>0.96373056994818662</v>
      </c>
    </row>
    <row r="62" spans="8:10" ht="15" customHeight="1" x14ac:dyDescent="0.25">
      <c r="H62" s="39">
        <v>3728</v>
      </c>
      <c r="I62" s="42">
        <v>1.86</v>
      </c>
      <c r="J62" s="40">
        <f t="shared" si="1"/>
        <v>0.96373056994818662</v>
      </c>
    </row>
    <row r="63" spans="8:10" ht="15" customHeight="1" x14ac:dyDescent="0.25">
      <c r="H63" s="39">
        <v>3782</v>
      </c>
      <c r="I63" s="42">
        <v>1.86</v>
      </c>
      <c r="J63" s="40">
        <f t="shared" si="1"/>
        <v>0.96373056994818662</v>
      </c>
    </row>
    <row r="64" spans="8:10" ht="15" customHeight="1" x14ac:dyDescent="0.25">
      <c r="H64" s="39">
        <v>3524</v>
      </c>
      <c r="I64" s="42">
        <v>1.87</v>
      </c>
      <c r="J64" s="40">
        <f t="shared" si="1"/>
        <v>0.96891191709844571</v>
      </c>
    </row>
    <row r="65" spans="8:10" ht="15" customHeight="1" x14ac:dyDescent="0.25">
      <c r="H65" s="39">
        <v>3526</v>
      </c>
      <c r="I65" s="42">
        <v>1.87</v>
      </c>
      <c r="J65" s="40">
        <f t="shared" si="1"/>
        <v>0.96891191709844571</v>
      </c>
    </row>
    <row r="66" spans="8:10" ht="15" customHeight="1" x14ac:dyDescent="0.25">
      <c r="H66" s="39">
        <v>3595</v>
      </c>
      <c r="I66" s="42">
        <v>1.87</v>
      </c>
      <c r="J66" s="40">
        <f t="shared" si="1"/>
        <v>0.96891191709844571</v>
      </c>
    </row>
    <row r="67" spans="8:10" ht="15" customHeight="1" x14ac:dyDescent="0.25">
      <c r="H67" s="39">
        <v>3716</v>
      </c>
      <c r="I67" s="42">
        <v>1.87</v>
      </c>
      <c r="J67" s="40">
        <f t="shared" si="1"/>
        <v>0.96891191709844571</v>
      </c>
    </row>
    <row r="68" spans="8:10" ht="15" customHeight="1" x14ac:dyDescent="0.25">
      <c r="H68" s="39">
        <v>3729</v>
      </c>
      <c r="I68" s="42">
        <v>1.87</v>
      </c>
      <c r="J68" s="40">
        <f t="shared" si="1"/>
        <v>0.96891191709844571</v>
      </c>
    </row>
    <row r="69" spans="8:10" ht="15" customHeight="1" x14ac:dyDescent="0.25">
      <c r="H69" s="39">
        <v>3733</v>
      </c>
      <c r="I69" s="42">
        <v>1.87</v>
      </c>
      <c r="J69" s="40">
        <f t="shared" si="1"/>
        <v>0.96891191709844571</v>
      </c>
    </row>
    <row r="70" spans="8:10" ht="15" customHeight="1" x14ac:dyDescent="0.25">
      <c r="H70" s="39">
        <v>3515</v>
      </c>
      <c r="I70" s="42">
        <v>1.88</v>
      </c>
      <c r="J70" s="40">
        <f t="shared" si="1"/>
        <v>0.97409326424870468</v>
      </c>
    </row>
    <row r="71" spans="8:10" ht="15" customHeight="1" x14ac:dyDescent="0.25">
      <c r="H71" s="39">
        <v>3657</v>
      </c>
      <c r="I71" s="42">
        <v>1.88</v>
      </c>
      <c r="J71" s="40">
        <f t="shared" si="1"/>
        <v>0.97409326424870468</v>
      </c>
    </row>
    <row r="72" spans="8:10" ht="15" customHeight="1" x14ac:dyDescent="0.25">
      <c r="H72" s="39">
        <v>4002</v>
      </c>
      <c r="I72" s="42">
        <v>1.88</v>
      </c>
      <c r="J72" s="40">
        <f t="shared" si="1"/>
        <v>0.97409326424870468</v>
      </c>
    </row>
    <row r="73" spans="8:10" ht="15" customHeight="1" x14ac:dyDescent="0.25">
      <c r="H73" s="39">
        <v>3467</v>
      </c>
      <c r="I73" s="42">
        <v>1.89</v>
      </c>
      <c r="J73" s="40">
        <f t="shared" si="1"/>
        <v>0.97927461139896366</v>
      </c>
    </row>
    <row r="74" spans="8:10" ht="15" customHeight="1" x14ac:dyDescent="0.25">
      <c r="H74" s="39">
        <v>3503</v>
      </c>
      <c r="I74" s="42">
        <v>1.89</v>
      </c>
      <c r="J74" s="40">
        <f t="shared" si="1"/>
        <v>0.97927461139896366</v>
      </c>
    </row>
    <row r="75" spans="8:10" ht="15" customHeight="1" x14ac:dyDescent="0.25">
      <c r="H75" s="39">
        <v>3504</v>
      </c>
      <c r="I75" s="42">
        <v>1.89</v>
      </c>
      <c r="J75" s="40">
        <f t="shared" ref="J75:J106" si="2">I75/E$13</f>
        <v>0.97927461139896366</v>
      </c>
    </row>
    <row r="76" spans="8:10" ht="15" customHeight="1" x14ac:dyDescent="0.25">
      <c r="H76" s="39">
        <v>3627</v>
      </c>
      <c r="I76" s="42">
        <v>1.89</v>
      </c>
      <c r="J76" s="40">
        <f t="shared" si="2"/>
        <v>0.97927461139896366</v>
      </c>
    </row>
    <row r="77" spans="8:10" ht="15" customHeight="1" x14ac:dyDescent="0.25">
      <c r="H77" s="39">
        <v>3695</v>
      </c>
      <c r="I77" s="42">
        <v>1.89</v>
      </c>
      <c r="J77" s="40">
        <f t="shared" si="2"/>
        <v>0.97927461139896366</v>
      </c>
    </row>
    <row r="78" spans="8:10" ht="15" customHeight="1" x14ac:dyDescent="0.25">
      <c r="H78" s="39">
        <v>3725</v>
      </c>
      <c r="I78" s="42">
        <v>1.89</v>
      </c>
      <c r="J78" s="40">
        <f t="shared" si="2"/>
        <v>0.97927461139896366</v>
      </c>
    </row>
    <row r="79" spans="8:10" ht="15" customHeight="1" x14ac:dyDescent="0.25">
      <c r="H79" s="39">
        <v>3734</v>
      </c>
      <c r="I79" s="42">
        <v>1.89</v>
      </c>
      <c r="J79" s="40">
        <f t="shared" si="2"/>
        <v>0.97927461139896366</v>
      </c>
    </row>
    <row r="80" spans="8:10" ht="15" customHeight="1" x14ac:dyDescent="0.25">
      <c r="H80" s="39">
        <v>3652</v>
      </c>
      <c r="I80" s="42">
        <v>1.9</v>
      </c>
      <c r="J80" s="40">
        <f t="shared" si="2"/>
        <v>0.98445595854922274</v>
      </c>
    </row>
    <row r="81" spans="8:10" ht="15" customHeight="1" x14ac:dyDescent="0.25">
      <c r="H81" s="39">
        <v>3502</v>
      </c>
      <c r="I81" s="42">
        <v>1.91</v>
      </c>
      <c r="J81" s="40">
        <f t="shared" si="2"/>
        <v>0.98963730569948183</v>
      </c>
    </row>
    <row r="82" spans="8:10" ht="15" customHeight="1" x14ac:dyDescent="0.25">
      <c r="H82" s="39">
        <v>3707</v>
      </c>
      <c r="I82" s="42">
        <v>1.91</v>
      </c>
      <c r="J82" s="40">
        <f t="shared" si="2"/>
        <v>0.98963730569948183</v>
      </c>
    </row>
    <row r="83" spans="8:10" ht="15" customHeight="1" x14ac:dyDescent="0.25">
      <c r="H83" s="39">
        <v>3713</v>
      </c>
      <c r="I83" s="42">
        <v>1.91</v>
      </c>
      <c r="J83" s="40">
        <f t="shared" si="2"/>
        <v>0.98963730569948183</v>
      </c>
    </row>
    <row r="84" spans="8:10" ht="15" customHeight="1" x14ac:dyDescent="0.25">
      <c r="H84" s="39">
        <v>3760</v>
      </c>
      <c r="I84" s="42">
        <v>1.91</v>
      </c>
      <c r="J84" s="40">
        <f t="shared" si="2"/>
        <v>0.98963730569948183</v>
      </c>
    </row>
    <row r="85" spans="8:10" ht="15" customHeight="1" x14ac:dyDescent="0.25">
      <c r="H85" s="39">
        <v>4003</v>
      </c>
      <c r="I85" s="42">
        <v>1.91</v>
      </c>
      <c r="J85" s="40">
        <f t="shared" si="2"/>
        <v>0.98963730569948183</v>
      </c>
    </row>
    <row r="86" spans="8:10" ht="15" customHeight="1" x14ac:dyDescent="0.25">
      <c r="H86" s="39">
        <v>3420</v>
      </c>
      <c r="I86" s="42">
        <v>1.92</v>
      </c>
      <c r="J86" s="40">
        <f t="shared" si="2"/>
        <v>0.99481865284974091</v>
      </c>
    </row>
    <row r="87" spans="8:10" ht="15" customHeight="1" x14ac:dyDescent="0.25">
      <c r="H87" s="39">
        <v>3423</v>
      </c>
      <c r="I87" s="42">
        <v>1.92</v>
      </c>
      <c r="J87" s="40">
        <f t="shared" si="2"/>
        <v>0.99481865284974091</v>
      </c>
    </row>
    <row r="88" spans="8:10" ht="15" customHeight="1" x14ac:dyDescent="0.25">
      <c r="H88" s="39">
        <v>3464</v>
      </c>
      <c r="I88" s="42">
        <v>1.92</v>
      </c>
      <c r="J88" s="40">
        <f t="shared" si="2"/>
        <v>0.99481865284974091</v>
      </c>
    </row>
    <row r="89" spans="8:10" ht="15" customHeight="1" x14ac:dyDescent="0.25">
      <c r="H89" s="39">
        <v>3498</v>
      </c>
      <c r="I89" s="42">
        <v>1.92</v>
      </c>
      <c r="J89" s="40">
        <f t="shared" si="2"/>
        <v>0.99481865284974091</v>
      </c>
    </row>
    <row r="90" spans="8:10" ht="15" customHeight="1" x14ac:dyDescent="0.25">
      <c r="H90" s="39">
        <v>3522</v>
      </c>
      <c r="I90" s="42">
        <v>1.92</v>
      </c>
      <c r="J90" s="40">
        <f t="shared" si="2"/>
        <v>0.99481865284974091</v>
      </c>
    </row>
    <row r="91" spans="8:10" ht="15" customHeight="1" x14ac:dyDescent="0.25">
      <c r="H91" s="39">
        <v>3527</v>
      </c>
      <c r="I91" s="42">
        <v>1.92</v>
      </c>
      <c r="J91" s="40">
        <f t="shared" si="2"/>
        <v>0.99481865284974091</v>
      </c>
    </row>
    <row r="92" spans="8:10" ht="15" customHeight="1" x14ac:dyDescent="0.25">
      <c r="H92" s="39">
        <v>3761</v>
      </c>
      <c r="I92" s="42">
        <v>1.92</v>
      </c>
      <c r="J92" s="40">
        <f t="shared" si="2"/>
        <v>0.99481865284974091</v>
      </c>
    </row>
    <row r="93" spans="8:10" ht="15" customHeight="1" x14ac:dyDescent="0.25">
      <c r="H93" s="39">
        <v>3444</v>
      </c>
      <c r="I93" s="42">
        <v>1.93</v>
      </c>
      <c r="J93" s="40">
        <f t="shared" si="2"/>
        <v>1</v>
      </c>
    </row>
    <row r="94" spans="8:10" ht="15" customHeight="1" x14ac:dyDescent="0.25">
      <c r="H94" s="39">
        <v>3477</v>
      </c>
      <c r="I94" s="42">
        <v>1.93</v>
      </c>
      <c r="J94" s="40">
        <f t="shared" si="2"/>
        <v>1</v>
      </c>
    </row>
    <row r="95" spans="8:10" ht="15" customHeight="1" x14ac:dyDescent="0.25">
      <c r="H95" s="39">
        <v>3478</v>
      </c>
      <c r="I95" s="42">
        <v>1.93</v>
      </c>
      <c r="J95" s="40">
        <f t="shared" si="2"/>
        <v>1</v>
      </c>
    </row>
    <row r="96" spans="8:10" ht="15" customHeight="1" x14ac:dyDescent="0.25">
      <c r="H96" s="39">
        <v>3655</v>
      </c>
      <c r="I96" s="42">
        <v>1.93</v>
      </c>
      <c r="J96" s="40">
        <f t="shared" si="2"/>
        <v>1</v>
      </c>
    </row>
    <row r="97" spans="8:10" ht="15" customHeight="1" x14ac:dyDescent="0.25">
      <c r="H97" s="39">
        <v>3419</v>
      </c>
      <c r="I97" s="42">
        <v>1.95</v>
      </c>
      <c r="J97" s="40">
        <f t="shared" si="2"/>
        <v>1.0103626943005182</v>
      </c>
    </row>
    <row r="98" spans="8:10" ht="15" customHeight="1" x14ac:dyDescent="0.25">
      <c r="H98" s="39">
        <v>3496</v>
      </c>
      <c r="I98" s="42">
        <v>1.95</v>
      </c>
      <c r="J98" s="40">
        <f t="shared" si="2"/>
        <v>1.0103626943005182</v>
      </c>
    </row>
    <row r="99" spans="8:10" ht="15" customHeight="1" x14ac:dyDescent="0.25">
      <c r="H99" s="39">
        <v>3572</v>
      </c>
      <c r="I99" s="42">
        <v>1.95</v>
      </c>
      <c r="J99" s="40">
        <f t="shared" si="2"/>
        <v>1.0103626943005182</v>
      </c>
    </row>
    <row r="100" spans="8:10" ht="15" customHeight="1" x14ac:dyDescent="0.25">
      <c r="H100" s="39">
        <v>3726</v>
      </c>
      <c r="I100" s="42">
        <v>1.95</v>
      </c>
      <c r="J100" s="40">
        <f t="shared" si="2"/>
        <v>1.0103626943005182</v>
      </c>
    </row>
    <row r="101" spans="8:10" ht="15" customHeight="1" x14ac:dyDescent="0.25">
      <c r="H101" s="39">
        <v>3749</v>
      </c>
      <c r="I101" s="42">
        <v>1.95</v>
      </c>
      <c r="J101" s="40">
        <f t="shared" si="2"/>
        <v>1.0103626943005182</v>
      </c>
    </row>
    <row r="102" spans="8:10" ht="15" customHeight="1" x14ac:dyDescent="0.25">
      <c r="H102" s="39">
        <v>4076</v>
      </c>
      <c r="I102" s="42">
        <v>1.95</v>
      </c>
      <c r="J102" s="40">
        <f t="shared" si="2"/>
        <v>1.0103626943005182</v>
      </c>
    </row>
    <row r="103" spans="8:10" ht="15" customHeight="1" x14ac:dyDescent="0.25">
      <c r="H103" s="39">
        <v>4085</v>
      </c>
      <c r="I103" s="42">
        <v>1.95</v>
      </c>
      <c r="J103" s="40">
        <f t="shared" si="2"/>
        <v>1.0103626943005182</v>
      </c>
    </row>
    <row r="104" spans="8:10" ht="15" customHeight="1" x14ac:dyDescent="0.25">
      <c r="H104" s="39">
        <v>3421</v>
      </c>
      <c r="I104" s="42">
        <v>1.96</v>
      </c>
      <c r="J104" s="40">
        <f t="shared" si="2"/>
        <v>1.0155440414507773</v>
      </c>
    </row>
    <row r="105" spans="8:10" ht="15" customHeight="1" x14ac:dyDescent="0.25">
      <c r="H105" s="39">
        <v>3523</v>
      </c>
      <c r="I105" s="42">
        <v>1.96</v>
      </c>
      <c r="J105" s="40">
        <f t="shared" si="2"/>
        <v>1.0155440414507773</v>
      </c>
    </row>
    <row r="106" spans="8:10" ht="15" customHeight="1" x14ac:dyDescent="0.25">
      <c r="H106" s="39">
        <v>3529</v>
      </c>
      <c r="I106" s="42">
        <v>1.96</v>
      </c>
      <c r="J106" s="40">
        <f t="shared" si="2"/>
        <v>1.0155440414507773</v>
      </c>
    </row>
    <row r="107" spans="8:10" ht="15" customHeight="1" x14ac:dyDescent="0.25">
      <c r="H107" s="39">
        <v>3714</v>
      </c>
      <c r="I107" s="42">
        <v>1.96</v>
      </c>
      <c r="J107" s="40">
        <f t="shared" ref="J107:J138" si="3">I107/E$13</f>
        <v>1.0155440414507773</v>
      </c>
    </row>
    <row r="108" spans="8:10" ht="15" customHeight="1" x14ac:dyDescent="0.25">
      <c r="H108" s="39">
        <v>3500</v>
      </c>
      <c r="I108" s="42">
        <v>1.97</v>
      </c>
      <c r="J108" s="40">
        <f t="shared" si="3"/>
        <v>1.0207253886010363</v>
      </c>
    </row>
    <row r="109" spans="8:10" ht="15" customHeight="1" x14ac:dyDescent="0.25">
      <c r="H109" s="39">
        <v>3505</v>
      </c>
      <c r="I109" s="42">
        <v>1.98</v>
      </c>
      <c r="J109" s="40">
        <f t="shared" si="3"/>
        <v>1.0259067357512954</v>
      </c>
    </row>
    <row r="110" spans="8:10" ht="15" customHeight="1" x14ac:dyDescent="0.25">
      <c r="H110" s="39">
        <v>3762</v>
      </c>
      <c r="I110" s="42">
        <v>1.98</v>
      </c>
      <c r="J110" s="40">
        <f t="shared" si="3"/>
        <v>1.0259067357512954</v>
      </c>
    </row>
    <row r="111" spans="8:10" ht="15" customHeight="1" x14ac:dyDescent="0.25">
      <c r="H111" s="39">
        <v>3422</v>
      </c>
      <c r="I111" s="42">
        <v>1.99</v>
      </c>
      <c r="J111" s="40">
        <f t="shared" si="3"/>
        <v>1.0310880829015545</v>
      </c>
    </row>
    <row r="112" spans="8:10" ht="15" customHeight="1" x14ac:dyDescent="0.25">
      <c r="H112" s="39">
        <v>3465</v>
      </c>
      <c r="I112" s="42">
        <v>1.99</v>
      </c>
      <c r="J112" s="40">
        <f t="shared" si="3"/>
        <v>1.0310880829015545</v>
      </c>
    </row>
    <row r="113" spans="8:10" ht="15" customHeight="1" x14ac:dyDescent="0.25">
      <c r="H113" s="39">
        <v>4083</v>
      </c>
      <c r="I113" s="42">
        <v>1.99</v>
      </c>
      <c r="J113" s="40">
        <f t="shared" si="3"/>
        <v>1.0310880829015545</v>
      </c>
    </row>
    <row r="114" spans="8:10" ht="15" customHeight="1" x14ac:dyDescent="0.25">
      <c r="H114" s="39">
        <v>3480</v>
      </c>
      <c r="I114" s="42">
        <v>2</v>
      </c>
      <c r="J114" s="40">
        <f t="shared" si="3"/>
        <v>1.0362694300518136</v>
      </c>
    </row>
    <row r="115" spans="8:10" ht="15" customHeight="1" x14ac:dyDescent="0.25">
      <c r="H115" s="39">
        <v>3556</v>
      </c>
      <c r="I115" s="42">
        <v>2</v>
      </c>
      <c r="J115" s="40">
        <f t="shared" si="3"/>
        <v>1.0362694300518136</v>
      </c>
    </row>
    <row r="116" spans="8:10" ht="15" customHeight="1" x14ac:dyDescent="0.25">
      <c r="H116" s="39">
        <v>4082</v>
      </c>
      <c r="I116" s="42">
        <v>2</v>
      </c>
      <c r="J116" s="40">
        <f t="shared" si="3"/>
        <v>1.0362694300518136</v>
      </c>
    </row>
    <row r="117" spans="8:10" ht="15" customHeight="1" x14ac:dyDescent="0.25">
      <c r="H117" s="39">
        <v>4084</v>
      </c>
      <c r="I117" s="42">
        <v>2</v>
      </c>
      <c r="J117" s="40">
        <f t="shared" si="3"/>
        <v>1.0362694300518136</v>
      </c>
    </row>
    <row r="118" spans="8:10" ht="15" customHeight="1" x14ac:dyDescent="0.25">
      <c r="H118" s="39">
        <v>3481</v>
      </c>
      <c r="I118" s="42">
        <v>2.0099999999999998</v>
      </c>
      <c r="J118" s="40">
        <f t="shared" si="3"/>
        <v>1.0414507772020725</v>
      </c>
    </row>
    <row r="119" spans="8:10" ht="15" customHeight="1" x14ac:dyDescent="0.25">
      <c r="H119" s="39">
        <v>3658</v>
      </c>
      <c r="I119" s="42">
        <v>2.0099999999999998</v>
      </c>
      <c r="J119" s="40">
        <f t="shared" si="3"/>
        <v>1.0414507772020725</v>
      </c>
    </row>
    <row r="120" spans="8:10" ht="15" customHeight="1" x14ac:dyDescent="0.25">
      <c r="H120" s="39">
        <v>4086</v>
      </c>
      <c r="I120" s="42">
        <v>2.0099999999999998</v>
      </c>
      <c r="J120" s="40">
        <f t="shared" si="3"/>
        <v>1.0414507772020725</v>
      </c>
    </row>
    <row r="121" spans="8:10" ht="15" customHeight="1" x14ac:dyDescent="0.25">
      <c r="H121" s="39">
        <v>3512</v>
      </c>
      <c r="I121" s="42">
        <v>2.02</v>
      </c>
      <c r="J121" s="40">
        <f t="shared" si="3"/>
        <v>1.0466321243523315</v>
      </c>
    </row>
    <row r="122" spans="8:10" ht="15" customHeight="1" x14ac:dyDescent="0.25">
      <c r="H122" s="39">
        <v>3501</v>
      </c>
      <c r="I122" s="42">
        <v>2.0299999999999998</v>
      </c>
      <c r="J122" s="40">
        <f t="shared" si="3"/>
        <v>1.0518134715025906</v>
      </c>
    </row>
    <row r="123" spans="8:10" ht="15" customHeight="1" x14ac:dyDescent="0.25">
      <c r="H123" s="39">
        <v>4087</v>
      </c>
      <c r="I123" s="42">
        <v>2.0299999999999998</v>
      </c>
      <c r="J123" s="40">
        <f t="shared" si="3"/>
        <v>1.0518134715025906</v>
      </c>
    </row>
    <row r="124" spans="8:10" ht="15" customHeight="1" x14ac:dyDescent="0.25">
      <c r="H124" s="39">
        <v>3499</v>
      </c>
      <c r="I124" s="42">
        <v>2.04</v>
      </c>
      <c r="J124" s="40">
        <f t="shared" si="3"/>
        <v>1.0569948186528497</v>
      </c>
    </row>
    <row r="125" spans="8:10" ht="15" customHeight="1" x14ac:dyDescent="0.25">
      <c r="H125" s="39">
        <v>3656</v>
      </c>
      <c r="I125" s="42">
        <v>2.04</v>
      </c>
      <c r="J125" s="40">
        <f t="shared" si="3"/>
        <v>1.0569948186528497</v>
      </c>
    </row>
    <row r="126" spans="8:10" ht="15" customHeight="1" x14ac:dyDescent="0.25">
      <c r="H126" s="39">
        <v>3479</v>
      </c>
      <c r="I126" s="42">
        <v>2.0499999999999998</v>
      </c>
      <c r="J126" s="40">
        <f t="shared" si="3"/>
        <v>1.0621761658031088</v>
      </c>
    </row>
    <row r="127" spans="8:10" ht="15" customHeight="1" x14ac:dyDescent="0.25">
      <c r="H127" s="39">
        <v>3517</v>
      </c>
      <c r="I127" s="42">
        <v>2.0499999999999998</v>
      </c>
      <c r="J127" s="40">
        <f t="shared" si="3"/>
        <v>1.0621761658031088</v>
      </c>
    </row>
    <row r="128" spans="8:10" ht="15" customHeight="1" x14ac:dyDescent="0.25">
      <c r="H128" s="39">
        <v>4016</v>
      </c>
      <c r="I128" s="42">
        <v>2.0499999999999998</v>
      </c>
      <c r="J128" s="40">
        <f t="shared" si="3"/>
        <v>1.0621761658031088</v>
      </c>
    </row>
    <row r="129" spans="8:10" ht="15" customHeight="1" x14ac:dyDescent="0.25">
      <c r="H129" s="39">
        <v>3759</v>
      </c>
      <c r="I129" s="42">
        <v>2.0699999999999998</v>
      </c>
      <c r="J129" s="40">
        <f t="shared" si="3"/>
        <v>1.072538860103627</v>
      </c>
    </row>
    <row r="130" spans="8:10" ht="15" customHeight="1" x14ac:dyDescent="0.25">
      <c r="H130" s="39">
        <v>3528</v>
      </c>
      <c r="I130" s="42">
        <v>2.08</v>
      </c>
      <c r="J130" s="40">
        <f t="shared" si="3"/>
        <v>1.0777202072538861</v>
      </c>
    </row>
    <row r="131" spans="8:10" ht="15" customHeight="1" x14ac:dyDescent="0.25">
      <c r="H131" s="39">
        <v>4089</v>
      </c>
      <c r="I131" s="42">
        <v>2.09</v>
      </c>
      <c r="J131" s="40">
        <f t="shared" si="3"/>
        <v>1.0829015544041449</v>
      </c>
    </row>
    <row r="132" spans="8:10" ht="15" customHeight="1" x14ac:dyDescent="0.25">
      <c r="H132" s="39">
        <v>3557</v>
      </c>
      <c r="I132" s="42">
        <v>2.1</v>
      </c>
      <c r="J132" s="40">
        <f t="shared" si="3"/>
        <v>1.0880829015544042</v>
      </c>
    </row>
    <row r="133" spans="8:10" ht="15" customHeight="1" x14ac:dyDescent="0.25">
      <c r="H133" s="39">
        <v>3773</v>
      </c>
      <c r="I133" s="42">
        <v>2.1</v>
      </c>
      <c r="J133" s="40">
        <f t="shared" si="3"/>
        <v>1.0880829015544042</v>
      </c>
    </row>
    <row r="134" spans="8:10" ht="15" customHeight="1" x14ac:dyDescent="0.25">
      <c r="H134" s="39">
        <v>3575</v>
      </c>
      <c r="I134" s="42">
        <v>2.11</v>
      </c>
      <c r="J134" s="40">
        <f t="shared" si="3"/>
        <v>1.0932642487046631</v>
      </c>
    </row>
    <row r="135" spans="8:10" ht="15" customHeight="1" x14ac:dyDescent="0.25">
      <c r="H135" s="39">
        <v>3514</v>
      </c>
      <c r="I135" s="42">
        <v>2.13</v>
      </c>
      <c r="J135" s="40">
        <f t="shared" si="3"/>
        <v>1.1036269430051813</v>
      </c>
    </row>
    <row r="136" spans="8:10" ht="15" customHeight="1" x14ac:dyDescent="0.25">
      <c r="H136" s="39">
        <v>3576</v>
      </c>
      <c r="I136" s="42">
        <v>2.13</v>
      </c>
      <c r="J136" s="40">
        <f t="shared" si="3"/>
        <v>1.1036269430051813</v>
      </c>
    </row>
    <row r="137" spans="8:10" ht="15" customHeight="1" x14ac:dyDescent="0.25">
      <c r="H137" s="39">
        <v>3573</v>
      </c>
      <c r="I137" s="42">
        <v>2.14</v>
      </c>
      <c r="J137" s="40">
        <f t="shared" si="3"/>
        <v>1.1088082901554406</v>
      </c>
    </row>
    <row r="138" spans="8:10" ht="15" customHeight="1" x14ac:dyDescent="0.25">
      <c r="H138" s="39">
        <v>3577</v>
      </c>
      <c r="I138" s="42">
        <v>2.14</v>
      </c>
      <c r="J138" s="40">
        <f t="shared" si="3"/>
        <v>1.1088082901554406</v>
      </c>
    </row>
    <row r="139" spans="8:10" ht="15" customHeight="1" x14ac:dyDescent="0.25">
      <c r="H139" s="39">
        <v>4075</v>
      </c>
      <c r="I139" s="42">
        <v>2.14</v>
      </c>
      <c r="J139" s="40">
        <f t="shared" ref="J139:J144" si="4">I139/E$13</f>
        <v>1.1088082901554406</v>
      </c>
    </row>
    <row r="140" spans="8:10" ht="15" customHeight="1" x14ac:dyDescent="0.25">
      <c r="H140" s="39">
        <v>3772</v>
      </c>
      <c r="I140" s="42">
        <v>2.23</v>
      </c>
      <c r="J140" s="40">
        <f t="shared" si="4"/>
        <v>1.1554404145077721</v>
      </c>
    </row>
    <row r="141" spans="8:10" ht="15" customHeight="1" x14ac:dyDescent="0.25">
      <c r="H141" s="39">
        <v>3466</v>
      </c>
      <c r="I141" s="42">
        <v>2.2799999999999998</v>
      </c>
      <c r="J141" s="40">
        <f t="shared" si="4"/>
        <v>1.1813471502590673</v>
      </c>
    </row>
    <row r="142" spans="8:10" ht="15" customHeight="1" x14ac:dyDescent="0.25">
      <c r="H142" s="39">
        <v>3774</v>
      </c>
      <c r="I142" s="42">
        <v>2.2999999999999998</v>
      </c>
      <c r="J142" s="40">
        <f t="shared" si="4"/>
        <v>1.1917098445595855</v>
      </c>
    </row>
    <row r="143" spans="8:10" ht="15" customHeight="1" x14ac:dyDescent="0.25">
      <c r="H143" s="39">
        <v>3525</v>
      </c>
      <c r="I143" s="42">
        <v>2.5299999999999998</v>
      </c>
      <c r="J143" s="40">
        <f t="shared" si="4"/>
        <v>1.310880829015544</v>
      </c>
    </row>
    <row r="144" spans="8:10" ht="15" customHeight="1" x14ac:dyDescent="0.25">
      <c r="H144" s="39">
        <v>4096</v>
      </c>
      <c r="I144" s="42">
        <v>3.34</v>
      </c>
      <c r="J144" s="40">
        <f t="shared" si="4"/>
        <v>1.7305699481865284</v>
      </c>
    </row>
    <row r="145" spans="9:10" ht="15" customHeight="1" x14ac:dyDescent="0.25">
      <c r="I145" s="41">
        <f>SUM(I11:I144)/134</f>
        <v>1.9253731343283569</v>
      </c>
      <c r="J145" s="29" t="s">
        <v>108</v>
      </c>
    </row>
    <row r="146" spans="9:10" ht="15" customHeight="1" x14ac:dyDescent="0.25"/>
    <row r="147" spans="9:10" ht="15" customHeight="1" x14ac:dyDescent="0.25"/>
    <row r="148" spans="9:10" ht="15" customHeight="1" x14ac:dyDescent="0.25"/>
    <row r="149" spans="9:10" ht="15" customHeight="1" x14ac:dyDescent="0.25"/>
    <row r="150" spans="9:10" ht="15" customHeight="1" x14ac:dyDescent="0.25"/>
    <row r="151" spans="9:10" ht="15" customHeight="1" x14ac:dyDescent="0.25"/>
    <row r="152" spans="9:10" ht="15" customHeight="1" x14ac:dyDescent="0.25"/>
    <row r="153" spans="9:10" ht="15" customHeight="1" x14ac:dyDescent="0.25"/>
    <row r="154" spans="9:10" ht="15" customHeight="1" x14ac:dyDescent="0.25"/>
    <row r="155" spans="9:10" ht="15" customHeight="1" x14ac:dyDescent="0.25"/>
    <row r="156" spans="9:10" ht="15" customHeight="1" x14ac:dyDescent="0.25"/>
    <row r="157" spans="9:10" ht="15" customHeight="1" x14ac:dyDescent="0.25"/>
    <row r="158" spans="9:10" ht="15" customHeight="1" x14ac:dyDescent="0.25"/>
    <row r="159" spans="9:10" ht="15" customHeight="1" x14ac:dyDescent="0.25"/>
    <row r="160" spans="9:1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</sheetData>
  <sortState xmlns:xlrd2="http://schemas.microsoft.com/office/spreadsheetml/2017/richdata2" ref="I11:I144">
    <sortCondition ref="I11:I14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06C8-8795-4EC5-825E-3DBE51E6A7C4}">
  <sheetPr transitionEvaluation="1" transitionEntry="1"/>
  <dimension ref="A2:W150"/>
  <sheetViews>
    <sheetView showGridLines="0" workbookViewId="0"/>
  </sheetViews>
  <sheetFormatPr defaultRowHeight="15" x14ac:dyDescent="0.25"/>
  <cols>
    <col min="11" max="11" width="15" customWidth="1"/>
    <col min="12" max="12" width="15.140625" customWidth="1"/>
  </cols>
  <sheetData>
    <row r="2" spans="1:23" x14ac:dyDescent="0.25">
      <c r="A2" t="s">
        <v>102</v>
      </c>
      <c r="O2" s="28" t="s">
        <v>0</v>
      </c>
    </row>
    <row r="3" spans="1:23" x14ac:dyDescent="0.25">
      <c r="A3" s="6" t="s">
        <v>103</v>
      </c>
    </row>
    <row r="4" spans="1:23" x14ac:dyDescent="0.25">
      <c r="A4" t="s">
        <v>104</v>
      </c>
    </row>
    <row r="9" spans="1:23" ht="15" customHeight="1" x14ac:dyDescent="0.25"/>
    <row r="10" spans="1:23" ht="15" customHeight="1" x14ac:dyDescent="0.25"/>
    <row r="11" spans="1:23" ht="15" customHeight="1" x14ac:dyDescent="0.25">
      <c r="G11" s="147" t="s">
        <v>105</v>
      </c>
      <c r="H11" s="148"/>
      <c r="I11" s="1"/>
      <c r="J11" s="2"/>
      <c r="K11" s="2"/>
      <c r="L11" s="2"/>
      <c r="M11" s="2"/>
      <c r="N11" s="2"/>
      <c r="V11" s="2"/>
      <c r="W11" s="1"/>
    </row>
    <row r="12" spans="1:23" ht="15" customHeight="1" x14ac:dyDescent="0.25">
      <c r="G12" s="1" t="s">
        <v>4</v>
      </c>
      <c r="H12" s="1" t="s">
        <v>5</v>
      </c>
      <c r="I12" s="1" t="s">
        <v>6</v>
      </c>
      <c r="J12" s="2" t="s">
        <v>7</v>
      </c>
      <c r="K12" s="2" t="s">
        <v>8</v>
      </c>
      <c r="L12" s="2" t="s">
        <v>9</v>
      </c>
      <c r="M12" s="2" t="s">
        <v>87</v>
      </c>
      <c r="N12" s="2" t="s">
        <v>90</v>
      </c>
      <c r="V12" s="2" t="s">
        <v>90</v>
      </c>
      <c r="W12" s="1" t="s">
        <v>6</v>
      </c>
    </row>
    <row r="13" spans="1:23" ht="15" customHeight="1" x14ac:dyDescent="0.25">
      <c r="G13" s="3">
        <f>5-24-19</f>
        <v>-38</v>
      </c>
      <c r="H13" s="3">
        <v>1005</v>
      </c>
      <c r="I13" s="3">
        <v>3416</v>
      </c>
      <c r="J13" s="3" t="s">
        <v>12</v>
      </c>
      <c r="K13" s="3" t="s">
        <v>13</v>
      </c>
      <c r="L13" s="3" t="s">
        <v>14</v>
      </c>
      <c r="M13" s="3">
        <v>50</v>
      </c>
      <c r="N13" s="4">
        <v>1.81</v>
      </c>
      <c r="V13" s="4">
        <v>1.7</v>
      </c>
      <c r="W13" s="3">
        <v>3599</v>
      </c>
    </row>
    <row r="14" spans="1:23" ht="15" customHeight="1" x14ac:dyDescent="0.25">
      <c r="G14" s="3">
        <f>5-27-19</f>
        <v>-41</v>
      </c>
      <c r="H14" s="3">
        <v>1006</v>
      </c>
      <c r="I14" s="3">
        <v>3417</v>
      </c>
      <c r="J14" s="3" t="s">
        <v>12</v>
      </c>
      <c r="K14" s="3" t="s">
        <v>15</v>
      </c>
      <c r="L14" s="3" t="s">
        <v>16</v>
      </c>
      <c r="M14" s="3">
        <v>50</v>
      </c>
      <c r="N14" s="4">
        <v>1.86</v>
      </c>
      <c r="V14" s="4">
        <v>1.72</v>
      </c>
      <c r="W14" s="3">
        <v>3683</v>
      </c>
    </row>
    <row r="15" spans="1:23" ht="15" customHeight="1" x14ac:dyDescent="0.25">
      <c r="G15" s="3">
        <f>5-28-19</f>
        <v>-42</v>
      </c>
      <c r="H15" s="3">
        <v>1007</v>
      </c>
      <c r="I15" s="3">
        <v>3418</v>
      </c>
      <c r="J15" s="3" t="s">
        <v>12</v>
      </c>
      <c r="K15" s="3" t="s">
        <v>15</v>
      </c>
      <c r="L15" s="3" t="s">
        <v>16</v>
      </c>
      <c r="M15" s="3">
        <v>50</v>
      </c>
      <c r="N15" s="4">
        <v>1.84</v>
      </c>
      <c r="V15" s="4">
        <v>1.72</v>
      </c>
      <c r="W15" s="3">
        <v>3717</v>
      </c>
    </row>
    <row r="16" spans="1:23" ht="15" customHeight="1" x14ac:dyDescent="0.25">
      <c r="G16" s="3">
        <f>5-28-19</f>
        <v>-42</v>
      </c>
      <c r="H16" s="3">
        <v>1008</v>
      </c>
      <c r="I16" s="3">
        <v>3419</v>
      </c>
      <c r="J16" s="3" t="s">
        <v>12</v>
      </c>
      <c r="K16" s="3" t="s">
        <v>15</v>
      </c>
      <c r="L16" s="3" t="s">
        <v>16</v>
      </c>
      <c r="M16" s="3">
        <v>50</v>
      </c>
      <c r="N16" s="4">
        <v>1.95</v>
      </c>
      <c r="V16" s="4">
        <v>1.73</v>
      </c>
      <c r="W16" s="3">
        <v>3720</v>
      </c>
    </row>
    <row r="17" spans="7:23" ht="15" customHeight="1" x14ac:dyDescent="0.25">
      <c r="G17" s="3">
        <f>5-28-19</f>
        <v>-42</v>
      </c>
      <c r="H17" s="3">
        <v>1009</v>
      </c>
      <c r="I17" s="3">
        <v>3420</v>
      </c>
      <c r="J17" s="3" t="s">
        <v>12</v>
      </c>
      <c r="K17" s="3" t="s">
        <v>15</v>
      </c>
      <c r="L17" s="3" t="s">
        <v>16</v>
      </c>
      <c r="M17" s="3">
        <v>50</v>
      </c>
      <c r="N17" s="4">
        <v>1.92</v>
      </c>
      <c r="V17" s="4">
        <v>1.73</v>
      </c>
      <c r="W17" s="3">
        <v>3721</v>
      </c>
    </row>
    <row r="18" spans="7:23" ht="15" customHeight="1" x14ac:dyDescent="0.25">
      <c r="G18" s="3">
        <f>5-29-19</f>
        <v>-43</v>
      </c>
      <c r="H18" s="3">
        <v>1010</v>
      </c>
      <c r="I18" s="3">
        <v>3421</v>
      </c>
      <c r="J18" s="3" t="s">
        <v>12</v>
      </c>
      <c r="K18" s="3" t="s">
        <v>15</v>
      </c>
      <c r="L18" s="3" t="s">
        <v>16</v>
      </c>
      <c r="M18" s="3">
        <v>50</v>
      </c>
      <c r="N18" s="4">
        <v>1.96</v>
      </c>
      <c r="V18" s="4">
        <v>1.74</v>
      </c>
      <c r="W18" s="3">
        <v>3628</v>
      </c>
    </row>
    <row r="19" spans="7:23" ht="15" customHeight="1" x14ac:dyDescent="0.25">
      <c r="G19" s="3">
        <f>5-30-19</f>
        <v>-44</v>
      </c>
      <c r="H19" s="3">
        <v>1011</v>
      </c>
      <c r="I19" s="3">
        <v>3422</v>
      </c>
      <c r="J19" s="3" t="s">
        <v>12</v>
      </c>
      <c r="K19" s="3" t="s">
        <v>13</v>
      </c>
      <c r="L19" s="3" t="s">
        <v>16</v>
      </c>
      <c r="M19" s="3">
        <v>50</v>
      </c>
      <c r="N19" s="4">
        <v>1.99</v>
      </c>
      <c r="V19" s="4">
        <v>1.74</v>
      </c>
      <c r="W19" s="3">
        <v>3653</v>
      </c>
    </row>
    <row r="20" spans="7:23" ht="15" customHeight="1" x14ac:dyDescent="0.25">
      <c r="G20" s="3">
        <f>6-1-19</f>
        <v>-14</v>
      </c>
      <c r="H20" s="3">
        <v>1012</v>
      </c>
      <c r="I20" s="3">
        <v>3423</v>
      </c>
      <c r="J20" s="3" t="s">
        <v>12</v>
      </c>
      <c r="K20" s="3" t="s">
        <v>13</v>
      </c>
      <c r="L20" s="3" t="s">
        <v>14</v>
      </c>
      <c r="M20" s="3">
        <v>50</v>
      </c>
      <c r="N20" s="4">
        <v>1.92</v>
      </c>
      <c r="V20" s="4">
        <v>1.74</v>
      </c>
      <c r="W20" s="3">
        <v>3718</v>
      </c>
    </row>
    <row r="21" spans="7:23" ht="15" customHeight="1" x14ac:dyDescent="0.25">
      <c r="G21" s="3">
        <f>3-30-19</f>
        <v>-46</v>
      </c>
      <c r="H21" s="3">
        <v>982</v>
      </c>
      <c r="I21" s="3">
        <v>3444</v>
      </c>
      <c r="J21" s="3" t="s">
        <v>12</v>
      </c>
      <c r="K21" s="3" t="s">
        <v>17</v>
      </c>
      <c r="L21" s="3" t="s">
        <v>14</v>
      </c>
      <c r="M21" s="3">
        <v>50</v>
      </c>
      <c r="N21" s="4">
        <v>1.93</v>
      </c>
      <c r="V21" s="4">
        <v>1.75</v>
      </c>
      <c r="W21" s="3">
        <v>3624</v>
      </c>
    </row>
    <row r="22" spans="7:23" ht="15" customHeight="1" x14ac:dyDescent="0.25">
      <c r="G22" s="3">
        <f>6-19-19</f>
        <v>-32</v>
      </c>
      <c r="H22" s="3">
        <v>1013</v>
      </c>
      <c r="I22" s="3">
        <v>3464</v>
      </c>
      <c r="J22" s="3" t="s">
        <v>12</v>
      </c>
      <c r="K22" s="3" t="s">
        <v>18</v>
      </c>
      <c r="L22" s="3" t="s">
        <v>14</v>
      </c>
      <c r="M22" s="3">
        <v>50</v>
      </c>
      <c r="N22" s="4">
        <v>1.92</v>
      </c>
      <c r="V22" s="4">
        <v>1.75</v>
      </c>
      <c r="W22" s="3">
        <v>4017</v>
      </c>
    </row>
    <row r="23" spans="7:23" ht="15" customHeight="1" x14ac:dyDescent="0.25">
      <c r="G23" s="3">
        <f>6-24-19</f>
        <v>-37</v>
      </c>
      <c r="H23" s="3">
        <v>1014</v>
      </c>
      <c r="I23" s="3">
        <v>3465</v>
      </c>
      <c r="J23" s="3" t="s">
        <v>12</v>
      </c>
      <c r="K23" s="3" t="s">
        <v>13</v>
      </c>
      <c r="L23" s="3" t="s">
        <v>16</v>
      </c>
      <c r="M23" s="3">
        <v>50</v>
      </c>
      <c r="N23" s="4">
        <v>1.99</v>
      </c>
      <c r="V23" s="4">
        <v>1.76</v>
      </c>
      <c r="W23" s="3">
        <v>3629</v>
      </c>
    </row>
    <row r="24" spans="7:23" ht="15" customHeight="1" x14ac:dyDescent="0.25">
      <c r="G24" s="3">
        <f>6-24-19</f>
        <v>-37</v>
      </c>
      <c r="H24" s="3">
        <v>1015</v>
      </c>
      <c r="I24" s="3">
        <v>3466</v>
      </c>
      <c r="J24" s="3" t="s">
        <v>12</v>
      </c>
      <c r="K24" s="3" t="s">
        <v>13</v>
      </c>
      <c r="L24" s="3" t="s">
        <v>16</v>
      </c>
      <c r="M24" s="3">
        <v>50</v>
      </c>
      <c r="N24" s="4">
        <v>2.2799999999999998</v>
      </c>
      <c r="V24" s="4">
        <v>1.76</v>
      </c>
      <c r="W24" s="3">
        <v>3630</v>
      </c>
    </row>
    <row r="25" spans="7:23" ht="15" customHeight="1" x14ac:dyDescent="0.25">
      <c r="G25" s="3">
        <f>6-24-19</f>
        <v>-37</v>
      </c>
      <c r="H25" s="3">
        <v>1016</v>
      </c>
      <c r="I25" s="3">
        <v>3467</v>
      </c>
      <c r="J25" s="3" t="s">
        <v>12</v>
      </c>
      <c r="K25" s="3" t="s">
        <v>13</v>
      </c>
      <c r="L25" s="3" t="s">
        <v>14</v>
      </c>
      <c r="M25" s="3">
        <v>50</v>
      </c>
      <c r="N25" s="4">
        <v>1.89</v>
      </c>
      <c r="V25" s="4">
        <v>1.77</v>
      </c>
      <c r="W25" s="3">
        <v>3518</v>
      </c>
    </row>
    <row r="26" spans="7:23" ht="15" customHeight="1" x14ac:dyDescent="0.25">
      <c r="G26" s="3">
        <f>6-3-18</f>
        <v>-15</v>
      </c>
      <c r="H26" s="3">
        <v>1180</v>
      </c>
      <c r="I26" s="3">
        <v>3477</v>
      </c>
      <c r="J26" s="3" t="s">
        <v>12</v>
      </c>
      <c r="K26" s="3" t="s">
        <v>19</v>
      </c>
      <c r="L26" s="3" t="s">
        <v>20</v>
      </c>
      <c r="M26" s="3">
        <v>50</v>
      </c>
      <c r="N26" s="4">
        <v>1.93</v>
      </c>
      <c r="V26" s="4">
        <v>1.77</v>
      </c>
      <c r="W26" s="3">
        <v>3631</v>
      </c>
    </row>
    <row r="27" spans="7:23" ht="15" customHeight="1" x14ac:dyDescent="0.25">
      <c r="G27" s="3">
        <f>6-3-18</f>
        <v>-15</v>
      </c>
      <c r="H27" s="3">
        <v>1181</v>
      </c>
      <c r="I27" s="3">
        <v>3478</v>
      </c>
      <c r="J27" s="3" t="s">
        <v>12</v>
      </c>
      <c r="K27" s="3" t="s">
        <v>19</v>
      </c>
      <c r="L27" s="3" t="s">
        <v>20</v>
      </c>
      <c r="M27" s="3">
        <v>50</v>
      </c>
      <c r="N27" s="4">
        <v>1.93</v>
      </c>
      <c r="V27" s="4">
        <v>1.78</v>
      </c>
      <c r="W27" s="3">
        <v>3622</v>
      </c>
    </row>
    <row r="28" spans="7:23" ht="15" customHeight="1" x14ac:dyDescent="0.25">
      <c r="G28" s="3">
        <f>6-3-18</f>
        <v>-15</v>
      </c>
      <c r="H28" s="3">
        <v>1182</v>
      </c>
      <c r="I28" s="3">
        <v>3479</v>
      </c>
      <c r="J28" s="3" t="s">
        <v>12</v>
      </c>
      <c r="K28" s="3" t="s">
        <v>19</v>
      </c>
      <c r="L28" s="3" t="s">
        <v>20</v>
      </c>
      <c r="M28" s="3">
        <v>50</v>
      </c>
      <c r="N28" s="4">
        <v>2.0499999999999998</v>
      </c>
      <c r="V28" s="4">
        <v>1.79</v>
      </c>
      <c r="W28" s="3">
        <v>3519</v>
      </c>
    </row>
    <row r="29" spans="7:23" ht="15" customHeight="1" x14ac:dyDescent="0.25">
      <c r="G29" s="3">
        <f>6-3-18</f>
        <v>-15</v>
      </c>
      <c r="H29" s="3">
        <v>1183</v>
      </c>
      <c r="I29" s="3">
        <v>3480</v>
      </c>
      <c r="J29" s="3" t="s">
        <v>12</v>
      </c>
      <c r="K29" s="3" t="s">
        <v>19</v>
      </c>
      <c r="L29" s="3" t="s">
        <v>20</v>
      </c>
      <c r="M29" s="3">
        <v>50</v>
      </c>
      <c r="N29" s="4">
        <v>2</v>
      </c>
      <c r="V29" s="4">
        <v>1.79</v>
      </c>
      <c r="W29" s="3">
        <v>3654</v>
      </c>
    </row>
    <row r="30" spans="7:23" ht="15" customHeight="1" x14ac:dyDescent="0.25">
      <c r="G30" s="3">
        <f>6-3-18</f>
        <v>-15</v>
      </c>
      <c r="H30" s="3">
        <v>1184</v>
      </c>
      <c r="I30" s="3">
        <v>3481</v>
      </c>
      <c r="J30" s="3" t="s">
        <v>12</v>
      </c>
      <c r="K30" s="3" t="s">
        <v>19</v>
      </c>
      <c r="L30" s="3" t="s">
        <v>20</v>
      </c>
      <c r="M30" s="3">
        <v>50</v>
      </c>
      <c r="N30" s="4">
        <v>2.0099999999999998</v>
      </c>
      <c r="V30" s="4">
        <v>1.8</v>
      </c>
      <c r="W30" s="3">
        <v>3589</v>
      </c>
    </row>
    <row r="31" spans="7:23" ht="15" customHeight="1" x14ac:dyDescent="0.25">
      <c r="G31" s="3">
        <f>9-6-19</f>
        <v>-16</v>
      </c>
      <c r="H31" s="3">
        <v>1018</v>
      </c>
      <c r="I31" s="3">
        <v>3496</v>
      </c>
      <c r="J31" s="3" t="s">
        <v>12</v>
      </c>
      <c r="K31" s="3" t="s">
        <v>21</v>
      </c>
      <c r="L31" s="3" t="s">
        <v>16</v>
      </c>
      <c r="M31" s="3">
        <v>50</v>
      </c>
      <c r="N31" s="4">
        <v>1.95</v>
      </c>
      <c r="V31" s="4">
        <v>1.8</v>
      </c>
      <c r="W31" s="3">
        <v>3594</v>
      </c>
    </row>
    <row r="32" spans="7:23" ht="15" customHeight="1" x14ac:dyDescent="0.25">
      <c r="G32" s="3">
        <f>9-10-19</f>
        <v>-20</v>
      </c>
      <c r="H32" s="3">
        <v>1019</v>
      </c>
      <c r="I32" s="3">
        <v>3497</v>
      </c>
      <c r="J32" s="3" t="s">
        <v>12</v>
      </c>
      <c r="K32" s="3" t="s">
        <v>13</v>
      </c>
      <c r="L32" s="3" t="s">
        <v>16</v>
      </c>
      <c r="M32" s="3">
        <v>50</v>
      </c>
      <c r="N32" s="4">
        <v>1.85</v>
      </c>
      <c r="V32" s="4">
        <v>1.8</v>
      </c>
      <c r="W32" s="3">
        <v>3623</v>
      </c>
    </row>
    <row r="33" spans="7:23" ht="15" customHeight="1" x14ac:dyDescent="0.25">
      <c r="G33" s="3">
        <f>9-17-19</f>
        <v>-27</v>
      </c>
      <c r="H33" s="3">
        <v>1020</v>
      </c>
      <c r="I33" s="3">
        <v>3498</v>
      </c>
      <c r="J33" s="3" t="s">
        <v>12</v>
      </c>
      <c r="K33" s="3" t="s">
        <v>21</v>
      </c>
      <c r="L33" s="3" t="s">
        <v>16</v>
      </c>
      <c r="M33" s="3">
        <v>50</v>
      </c>
      <c r="N33" s="4">
        <v>1.92</v>
      </c>
      <c r="V33" s="4">
        <v>1.8</v>
      </c>
      <c r="W33" s="3">
        <v>3625</v>
      </c>
    </row>
    <row r="34" spans="7:23" ht="15" customHeight="1" x14ac:dyDescent="0.25">
      <c r="G34" s="3">
        <f>9-18-19</f>
        <v>-28</v>
      </c>
      <c r="H34" s="3">
        <v>1021</v>
      </c>
      <c r="I34" s="3">
        <v>3499</v>
      </c>
      <c r="J34" s="3" t="s">
        <v>12</v>
      </c>
      <c r="K34" s="3" t="s">
        <v>21</v>
      </c>
      <c r="L34" s="3" t="s">
        <v>16</v>
      </c>
      <c r="M34" s="3">
        <v>50</v>
      </c>
      <c r="N34" s="4">
        <v>2.04</v>
      </c>
      <c r="V34" s="4">
        <v>1.8</v>
      </c>
      <c r="W34" s="3">
        <v>3632</v>
      </c>
    </row>
    <row r="35" spans="7:23" ht="15" customHeight="1" x14ac:dyDescent="0.25">
      <c r="G35" s="3">
        <f>9-18-19</f>
        <v>-28</v>
      </c>
      <c r="H35" s="3">
        <v>1022</v>
      </c>
      <c r="I35" s="3">
        <v>3500</v>
      </c>
      <c r="J35" s="3" t="s">
        <v>12</v>
      </c>
      <c r="K35" s="3" t="s">
        <v>21</v>
      </c>
      <c r="L35" s="3" t="s">
        <v>14</v>
      </c>
      <c r="M35" s="3">
        <v>50</v>
      </c>
      <c r="N35" s="4">
        <v>1.97</v>
      </c>
      <c r="V35" s="4">
        <v>1.8</v>
      </c>
      <c r="W35" s="3">
        <v>3722</v>
      </c>
    </row>
    <row r="36" spans="7:23" ht="15" customHeight="1" x14ac:dyDescent="0.25">
      <c r="G36" s="3">
        <f>9-23-19</f>
        <v>-33</v>
      </c>
      <c r="H36" s="3">
        <v>1023</v>
      </c>
      <c r="I36" s="3">
        <v>3501</v>
      </c>
      <c r="J36" s="3" t="s">
        <v>12</v>
      </c>
      <c r="K36" s="3" t="s">
        <v>13</v>
      </c>
      <c r="L36" s="3" t="s">
        <v>16</v>
      </c>
      <c r="M36" s="3">
        <v>50</v>
      </c>
      <c r="N36" s="4">
        <v>2.0299999999999998</v>
      </c>
      <c r="V36" s="4">
        <v>1.81</v>
      </c>
      <c r="W36" s="3">
        <v>3416</v>
      </c>
    </row>
    <row r="37" spans="7:23" ht="15" customHeight="1" x14ac:dyDescent="0.25">
      <c r="G37" s="3">
        <f>9-24-19</f>
        <v>-34</v>
      </c>
      <c r="H37" s="3">
        <v>1024</v>
      </c>
      <c r="I37" s="3">
        <v>3502</v>
      </c>
      <c r="J37" s="3" t="s">
        <v>12</v>
      </c>
      <c r="K37" s="3" t="s">
        <v>13</v>
      </c>
      <c r="L37" s="3" t="s">
        <v>16</v>
      </c>
      <c r="M37" s="3">
        <v>50</v>
      </c>
      <c r="N37" s="4">
        <v>1.91</v>
      </c>
      <c r="V37" s="4">
        <v>1.81</v>
      </c>
      <c r="W37" s="3">
        <v>3600</v>
      </c>
    </row>
    <row r="38" spans="7:23" ht="15" customHeight="1" x14ac:dyDescent="0.25">
      <c r="G38" s="3">
        <f>9-26-19</f>
        <v>-36</v>
      </c>
      <c r="H38" s="3">
        <v>1025</v>
      </c>
      <c r="I38" s="3">
        <v>3503</v>
      </c>
      <c r="J38" s="3" t="s">
        <v>12</v>
      </c>
      <c r="K38" s="3" t="s">
        <v>13</v>
      </c>
      <c r="L38" s="3" t="s">
        <v>16</v>
      </c>
      <c r="M38" s="3">
        <v>50</v>
      </c>
      <c r="N38" s="4">
        <v>1.89</v>
      </c>
      <c r="V38" s="4">
        <v>1.81</v>
      </c>
      <c r="W38" s="3">
        <v>3719</v>
      </c>
    </row>
    <row r="39" spans="7:23" ht="15" customHeight="1" x14ac:dyDescent="0.25">
      <c r="G39" s="3">
        <f>9-25-19</f>
        <v>-35</v>
      </c>
      <c r="H39" s="3">
        <v>1026</v>
      </c>
      <c r="I39" s="3">
        <v>3504</v>
      </c>
      <c r="J39" s="3" t="s">
        <v>12</v>
      </c>
      <c r="K39" s="3" t="s">
        <v>13</v>
      </c>
      <c r="L39" s="3" t="s">
        <v>16</v>
      </c>
      <c r="M39" s="3">
        <v>50</v>
      </c>
      <c r="N39" s="4">
        <v>1.89</v>
      </c>
      <c r="V39" s="4">
        <v>1.81</v>
      </c>
      <c r="W39" s="3">
        <v>3723</v>
      </c>
    </row>
    <row r="40" spans="7:23" ht="15" customHeight="1" x14ac:dyDescent="0.25">
      <c r="G40" s="3">
        <f>9-26-19</f>
        <v>-36</v>
      </c>
      <c r="H40" s="3">
        <v>1027</v>
      </c>
      <c r="I40" s="3">
        <v>3505</v>
      </c>
      <c r="J40" s="3" t="s">
        <v>12</v>
      </c>
      <c r="K40" s="3" t="s">
        <v>13</v>
      </c>
      <c r="L40" s="3" t="s">
        <v>16</v>
      </c>
      <c r="M40" s="3">
        <v>50</v>
      </c>
      <c r="N40" s="4">
        <v>1.98</v>
      </c>
      <c r="V40" s="4">
        <v>1.82</v>
      </c>
      <c r="W40" s="3">
        <v>3590</v>
      </c>
    </row>
    <row r="41" spans="7:23" ht="15" customHeight="1" x14ac:dyDescent="0.25">
      <c r="G41" s="3">
        <f>10-9-19</f>
        <v>-18</v>
      </c>
      <c r="H41" s="3">
        <v>1028</v>
      </c>
      <c r="I41" s="3">
        <v>3512</v>
      </c>
      <c r="J41" s="3" t="s">
        <v>12</v>
      </c>
      <c r="K41" s="3" t="s">
        <v>22</v>
      </c>
      <c r="L41" s="3" t="s">
        <v>16</v>
      </c>
      <c r="M41" s="3">
        <v>50</v>
      </c>
      <c r="N41" s="4">
        <v>2.02</v>
      </c>
      <c r="V41" s="4">
        <v>1.82</v>
      </c>
      <c r="W41" s="3">
        <v>3751</v>
      </c>
    </row>
    <row r="42" spans="7:23" ht="15" customHeight="1" x14ac:dyDescent="0.25">
      <c r="G42" s="3"/>
      <c r="H42" s="3">
        <v>1030</v>
      </c>
      <c r="I42" s="3">
        <v>3514</v>
      </c>
      <c r="J42" s="3" t="s">
        <v>12</v>
      </c>
      <c r="K42" s="3" t="s">
        <v>13</v>
      </c>
      <c r="L42" s="3" t="s">
        <v>23</v>
      </c>
      <c r="M42" s="3">
        <v>50</v>
      </c>
      <c r="N42" s="4">
        <v>2.13</v>
      </c>
      <c r="V42" s="4">
        <v>1.82</v>
      </c>
      <c r="W42" s="3">
        <v>3763</v>
      </c>
    </row>
    <row r="43" spans="7:23" ht="15" customHeight="1" x14ac:dyDescent="0.25">
      <c r="G43" s="3">
        <f>10-17-19</f>
        <v>-26</v>
      </c>
      <c r="H43" s="3">
        <v>1031</v>
      </c>
      <c r="I43" s="3">
        <v>3515</v>
      </c>
      <c r="J43" s="3" t="s">
        <v>12</v>
      </c>
      <c r="K43" s="3" t="s">
        <v>13</v>
      </c>
      <c r="L43" s="3" t="s">
        <v>16</v>
      </c>
      <c r="M43" s="3">
        <v>50</v>
      </c>
      <c r="N43" s="4">
        <v>1.88</v>
      </c>
      <c r="V43" s="4">
        <v>1.83</v>
      </c>
      <c r="W43" s="3">
        <v>3593</v>
      </c>
    </row>
    <row r="44" spans="7:23" ht="15" customHeight="1" x14ac:dyDescent="0.25">
      <c r="G44" s="3">
        <f>10-21-19</f>
        <v>-30</v>
      </c>
      <c r="H44" s="3">
        <v>1032</v>
      </c>
      <c r="I44" s="3">
        <v>3516</v>
      </c>
      <c r="J44" s="3" t="s">
        <v>12</v>
      </c>
      <c r="K44" s="3" t="s">
        <v>13</v>
      </c>
      <c r="L44" s="3" t="s">
        <v>16</v>
      </c>
      <c r="M44" s="3">
        <v>50</v>
      </c>
      <c r="N44" s="4">
        <v>1.85</v>
      </c>
      <c r="V44" s="4">
        <v>1.83</v>
      </c>
      <c r="W44" s="3">
        <v>3626</v>
      </c>
    </row>
    <row r="45" spans="7:23" ht="15" customHeight="1" x14ac:dyDescent="0.25">
      <c r="G45" s="3">
        <f>10-24-19</f>
        <v>-33</v>
      </c>
      <c r="H45" s="3">
        <v>1033</v>
      </c>
      <c r="I45" s="3">
        <v>3517</v>
      </c>
      <c r="J45" s="3" t="s">
        <v>12</v>
      </c>
      <c r="K45" s="3" t="s">
        <v>13</v>
      </c>
      <c r="L45" s="3" t="s">
        <v>14</v>
      </c>
      <c r="M45" s="3">
        <v>50</v>
      </c>
      <c r="N45" s="4">
        <v>2.0499999999999998</v>
      </c>
      <c r="V45" s="4">
        <v>1.83</v>
      </c>
      <c r="W45" s="3">
        <v>3633</v>
      </c>
    </row>
    <row r="46" spans="7:23" ht="15" customHeight="1" x14ac:dyDescent="0.25">
      <c r="G46" s="3">
        <f>10-29-19</f>
        <v>-38</v>
      </c>
      <c r="H46" s="3">
        <v>1034</v>
      </c>
      <c r="I46" s="3">
        <v>3518</v>
      </c>
      <c r="J46" s="3" t="s">
        <v>12</v>
      </c>
      <c r="K46" s="3" t="s">
        <v>22</v>
      </c>
      <c r="L46" s="3" t="s">
        <v>16</v>
      </c>
      <c r="M46" s="3">
        <v>50</v>
      </c>
      <c r="N46" s="4">
        <v>1.77</v>
      </c>
      <c r="V46" s="4">
        <v>1.83</v>
      </c>
      <c r="W46" s="3">
        <v>3691</v>
      </c>
    </row>
    <row r="47" spans="7:23" ht="15" customHeight="1" x14ac:dyDescent="0.25">
      <c r="G47" s="3">
        <f>10-29-19</f>
        <v>-38</v>
      </c>
      <c r="H47" s="3">
        <v>1035</v>
      </c>
      <c r="I47" s="3">
        <v>3519</v>
      </c>
      <c r="J47" s="3" t="s">
        <v>12</v>
      </c>
      <c r="K47" s="3" t="s">
        <v>22</v>
      </c>
      <c r="L47" s="3" t="s">
        <v>16</v>
      </c>
      <c r="M47" s="3">
        <v>50</v>
      </c>
      <c r="N47" s="4">
        <v>1.79</v>
      </c>
      <c r="V47" s="4">
        <v>1.83</v>
      </c>
      <c r="W47" s="3">
        <v>3750</v>
      </c>
    </row>
    <row r="48" spans="7:23" ht="15" customHeight="1" x14ac:dyDescent="0.25">
      <c r="G48" s="3">
        <f>10-31-19</f>
        <v>-40</v>
      </c>
      <c r="H48" s="3">
        <v>1037</v>
      </c>
      <c r="I48" s="3">
        <v>3521</v>
      </c>
      <c r="J48" s="3" t="s">
        <v>12</v>
      </c>
      <c r="K48" s="3" t="s">
        <v>22</v>
      </c>
      <c r="L48" s="3" t="s">
        <v>16</v>
      </c>
      <c r="M48" s="3">
        <v>50</v>
      </c>
      <c r="N48" s="4">
        <v>1.86</v>
      </c>
      <c r="V48" s="4">
        <v>1.84</v>
      </c>
      <c r="W48" s="3">
        <v>3418</v>
      </c>
    </row>
    <row r="49" spans="7:23" ht="15" customHeight="1" x14ac:dyDescent="0.25">
      <c r="G49" s="3">
        <f>11-3-19</f>
        <v>-11</v>
      </c>
      <c r="H49" s="3">
        <v>1038</v>
      </c>
      <c r="I49" s="3">
        <v>3522</v>
      </c>
      <c r="J49" s="3" t="s">
        <v>12</v>
      </c>
      <c r="K49" s="3" t="s">
        <v>22</v>
      </c>
      <c r="L49" s="3" t="s">
        <v>16</v>
      </c>
      <c r="M49" s="3">
        <v>50</v>
      </c>
      <c r="N49" s="4">
        <v>1.92</v>
      </c>
      <c r="V49" s="4">
        <v>1.84</v>
      </c>
      <c r="W49" s="3">
        <v>3601</v>
      </c>
    </row>
    <row r="50" spans="7:23" ht="15" customHeight="1" x14ac:dyDescent="0.25">
      <c r="G50" s="3">
        <f>11-1-19</f>
        <v>-9</v>
      </c>
      <c r="H50" s="3">
        <v>1039</v>
      </c>
      <c r="I50" s="3">
        <v>3523</v>
      </c>
      <c r="J50" s="3" t="s">
        <v>12</v>
      </c>
      <c r="K50" s="3" t="s">
        <v>13</v>
      </c>
      <c r="L50" s="3" t="s">
        <v>16</v>
      </c>
      <c r="M50" s="3">
        <v>50</v>
      </c>
      <c r="N50" s="4">
        <v>1.96</v>
      </c>
      <c r="V50" s="4">
        <v>1.84</v>
      </c>
      <c r="W50" s="3">
        <v>3724</v>
      </c>
    </row>
    <row r="51" spans="7:23" ht="15" customHeight="1" x14ac:dyDescent="0.25">
      <c r="G51" s="3">
        <f>11-3-19</f>
        <v>-11</v>
      </c>
      <c r="H51" s="3">
        <v>1040</v>
      </c>
      <c r="I51" s="3">
        <v>3524</v>
      </c>
      <c r="J51" s="3" t="s">
        <v>12</v>
      </c>
      <c r="K51" s="3" t="s">
        <v>22</v>
      </c>
      <c r="L51" s="3" t="s">
        <v>16</v>
      </c>
      <c r="M51" s="3">
        <v>50</v>
      </c>
      <c r="N51" s="4">
        <v>1.87</v>
      </c>
      <c r="V51" s="4">
        <v>1.84</v>
      </c>
      <c r="W51" s="3">
        <v>3727</v>
      </c>
    </row>
    <row r="52" spans="7:23" ht="15" customHeight="1" x14ac:dyDescent="0.25">
      <c r="G52" s="3">
        <f>11-3-19</f>
        <v>-11</v>
      </c>
      <c r="H52" s="3">
        <v>1041</v>
      </c>
      <c r="I52" s="3">
        <v>3525</v>
      </c>
      <c r="J52" s="3" t="s">
        <v>12</v>
      </c>
      <c r="K52" s="3" t="s">
        <v>22</v>
      </c>
      <c r="L52" s="3" t="s">
        <v>16</v>
      </c>
      <c r="M52" s="3">
        <v>50</v>
      </c>
      <c r="N52" s="4">
        <v>2.5299999999999998</v>
      </c>
      <c r="V52" s="4">
        <v>1.84</v>
      </c>
      <c r="W52" s="3">
        <v>3731</v>
      </c>
    </row>
    <row r="53" spans="7:23" ht="15" customHeight="1" x14ac:dyDescent="0.25">
      <c r="G53" s="3">
        <f>11-4-19</f>
        <v>-12</v>
      </c>
      <c r="H53" s="3">
        <v>1042</v>
      </c>
      <c r="I53" s="3">
        <v>3526</v>
      </c>
      <c r="J53" s="3" t="s">
        <v>12</v>
      </c>
      <c r="K53" s="3" t="s">
        <v>22</v>
      </c>
      <c r="L53" s="3" t="s">
        <v>16</v>
      </c>
      <c r="M53" s="3">
        <v>50</v>
      </c>
      <c r="N53" s="4">
        <v>1.87</v>
      </c>
      <c r="V53" s="4">
        <v>1.84</v>
      </c>
      <c r="W53" s="3">
        <v>3781</v>
      </c>
    </row>
    <row r="54" spans="7:23" ht="15" customHeight="1" x14ac:dyDescent="0.25">
      <c r="G54" s="3">
        <f>11-5-19</f>
        <v>-13</v>
      </c>
      <c r="H54" s="3">
        <v>1043</v>
      </c>
      <c r="I54" s="3">
        <v>3527</v>
      </c>
      <c r="J54" s="3" t="s">
        <v>12</v>
      </c>
      <c r="K54" s="3" t="s">
        <v>22</v>
      </c>
      <c r="L54" s="3" t="s">
        <v>16</v>
      </c>
      <c r="M54" s="3">
        <v>50</v>
      </c>
      <c r="N54" s="4">
        <v>1.92</v>
      </c>
      <c r="V54" s="4">
        <v>1.84</v>
      </c>
      <c r="W54" s="3">
        <v>3783</v>
      </c>
    </row>
    <row r="55" spans="7:23" ht="15" customHeight="1" x14ac:dyDescent="0.25">
      <c r="G55" s="3">
        <f>11-7-19</f>
        <v>-15</v>
      </c>
      <c r="H55" s="3">
        <v>1044</v>
      </c>
      <c r="I55" s="3">
        <v>3528</v>
      </c>
      <c r="J55" s="3" t="s">
        <v>12</v>
      </c>
      <c r="K55" s="3" t="s">
        <v>24</v>
      </c>
      <c r="L55" s="3" t="s">
        <v>16</v>
      </c>
      <c r="M55" s="3">
        <v>50</v>
      </c>
      <c r="N55" s="4">
        <v>2.08</v>
      </c>
      <c r="V55" s="4">
        <v>1.84</v>
      </c>
      <c r="W55" s="3">
        <v>4001</v>
      </c>
    </row>
    <row r="56" spans="7:23" ht="15" customHeight="1" x14ac:dyDescent="0.25">
      <c r="G56" s="3">
        <f>11-7-19</f>
        <v>-15</v>
      </c>
      <c r="H56" s="3">
        <v>1045</v>
      </c>
      <c r="I56" s="3">
        <v>3529</v>
      </c>
      <c r="J56" s="3" t="s">
        <v>12</v>
      </c>
      <c r="K56" s="3" t="s">
        <v>13</v>
      </c>
      <c r="L56" s="3" t="s">
        <v>16</v>
      </c>
      <c r="M56" s="3">
        <v>50</v>
      </c>
      <c r="N56" s="4">
        <v>1.96</v>
      </c>
      <c r="V56" s="4">
        <v>1.85</v>
      </c>
      <c r="W56" s="3">
        <v>3497</v>
      </c>
    </row>
    <row r="57" spans="7:23" ht="15" customHeight="1" x14ac:dyDescent="0.25">
      <c r="G57" s="3">
        <f>1-24-20</f>
        <v>-43</v>
      </c>
      <c r="H57" s="3">
        <v>1047</v>
      </c>
      <c r="I57" s="3">
        <v>3556</v>
      </c>
      <c r="J57" s="3" t="s">
        <v>12</v>
      </c>
      <c r="K57" s="3" t="s">
        <v>13</v>
      </c>
      <c r="L57" s="3" t="s">
        <v>16</v>
      </c>
      <c r="M57" s="3">
        <v>50</v>
      </c>
      <c r="N57" s="4">
        <v>2</v>
      </c>
      <c r="V57" s="4">
        <v>1.85</v>
      </c>
      <c r="W57" s="3">
        <v>3516</v>
      </c>
    </row>
    <row r="58" spans="7:23" ht="15" customHeight="1" x14ac:dyDescent="0.25">
      <c r="G58" s="3">
        <f>1-24-20</f>
        <v>-43</v>
      </c>
      <c r="H58" s="3">
        <v>1048</v>
      </c>
      <c r="I58" s="3">
        <v>3557</v>
      </c>
      <c r="J58" s="3" t="s">
        <v>12</v>
      </c>
      <c r="K58" s="3" t="s">
        <v>13</v>
      </c>
      <c r="L58" s="3" t="s">
        <v>14</v>
      </c>
      <c r="M58" s="3">
        <v>50</v>
      </c>
      <c r="N58" s="4">
        <v>2.1</v>
      </c>
      <c r="V58" s="4">
        <v>1.85</v>
      </c>
      <c r="W58" s="3">
        <v>3715</v>
      </c>
    </row>
    <row r="59" spans="7:23" ht="15" customHeight="1" x14ac:dyDescent="0.25">
      <c r="G59" s="3">
        <f>2-21-20</f>
        <v>-39</v>
      </c>
      <c r="H59" s="3">
        <v>1049</v>
      </c>
      <c r="I59" s="3">
        <v>3572</v>
      </c>
      <c r="J59" s="3" t="s">
        <v>12</v>
      </c>
      <c r="K59" s="3" t="s">
        <v>25</v>
      </c>
      <c r="L59" s="3" t="s">
        <v>16</v>
      </c>
      <c r="M59" s="3">
        <v>50</v>
      </c>
      <c r="N59" s="4">
        <v>1.95</v>
      </c>
      <c r="V59" s="4">
        <v>1.85</v>
      </c>
      <c r="W59" s="3">
        <v>3730</v>
      </c>
    </row>
    <row r="60" spans="7:23" ht="15" customHeight="1" x14ac:dyDescent="0.25">
      <c r="G60" s="3">
        <f>2-22-20</f>
        <v>-40</v>
      </c>
      <c r="H60" s="3">
        <v>1050</v>
      </c>
      <c r="I60" s="3">
        <v>3573</v>
      </c>
      <c r="J60" s="3" t="s">
        <v>12</v>
      </c>
      <c r="K60" s="3" t="s">
        <v>25</v>
      </c>
      <c r="L60" s="3" t="s">
        <v>14</v>
      </c>
      <c r="M60" s="3">
        <v>50</v>
      </c>
      <c r="N60" s="4">
        <v>2.14</v>
      </c>
      <c r="V60" s="4">
        <v>1.85</v>
      </c>
      <c r="W60" s="3">
        <v>3732</v>
      </c>
    </row>
    <row r="61" spans="7:23" ht="15" customHeight="1" x14ac:dyDescent="0.25">
      <c r="G61" s="3">
        <f>2-24-20</f>
        <v>-42</v>
      </c>
      <c r="H61" s="3">
        <v>1051</v>
      </c>
      <c r="I61" s="3">
        <v>3575</v>
      </c>
      <c r="J61" s="3" t="s">
        <v>12</v>
      </c>
      <c r="K61" s="3" t="s">
        <v>13</v>
      </c>
      <c r="L61" s="3" t="s">
        <v>16</v>
      </c>
      <c r="M61" s="3">
        <v>50</v>
      </c>
      <c r="N61" s="4">
        <v>2.11</v>
      </c>
      <c r="V61" s="4">
        <v>1.86</v>
      </c>
      <c r="W61" s="3">
        <v>3417</v>
      </c>
    </row>
    <row r="62" spans="7:23" ht="15" customHeight="1" x14ac:dyDescent="0.25">
      <c r="G62" s="3">
        <f>2-24-20</f>
        <v>-42</v>
      </c>
      <c r="H62" s="3">
        <v>1052</v>
      </c>
      <c r="I62" s="3">
        <v>3576</v>
      </c>
      <c r="J62" s="3" t="s">
        <v>12</v>
      </c>
      <c r="K62" s="3" t="s">
        <v>13</v>
      </c>
      <c r="L62" s="3" t="s">
        <v>14</v>
      </c>
      <c r="M62" s="3">
        <v>50</v>
      </c>
      <c r="N62" s="4">
        <v>2.13</v>
      </c>
      <c r="V62" s="4">
        <v>1.86</v>
      </c>
      <c r="W62" s="3">
        <v>3521</v>
      </c>
    </row>
    <row r="63" spans="7:23" ht="15" customHeight="1" x14ac:dyDescent="0.25">
      <c r="G63" s="3">
        <f>2-26-20</f>
        <v>-44</v>
      </c>
      <c r="H63" s="3">
        <v>1053</v>
      </c>
      <c r="I63" s="3">
        <v>3577</v>
      </c>
      <c r="J63" s="3" t="s">
        <v>12</v>
      </c>
      <c r="K63" s="3" t="s">
        <v>18</v>
      </c>
      <c r="L63" s="3" t="s">
        <v>14</v>
      </c>
      <c r="M63" s="3">
        <v>50</v>
      </c>
      <c r="N63" s="4">
        <v>2.14</v>
      </c>
      <c r="V63" s="4">
        <v>1.86</v>
      </c>
      <c r="W63" s="3">
        <v>3689</v>
      </c>
    </row>
    <row r="64" spans="7:23" ht="15" customHeight="1" x14ac:dyDescent="0.25">
      <c r="G64" s="3">
        <f>5-9-20</f>
        <v>-24</v>
      </c>
      <c r="H64" s="3">
        <v>1057</v>
      </c>
      <c r="I64" s="3">
        <v>3589</v>
      </c>
      <c r="J64" s="3" t="s">
        <v>12</v>
      </c>
      <c r="K64" s="3" t="s">
        <v>13</v>
      </c>
      <c r="L64" s="3" t="s">
        <v>16</v>
      </c>
      <c r="M64" s="3">
        <v>50</v>
      </c>
      <c r="N64" s="4">
        <v>1.8</v>
      </c>
      <c r="V64" s="4">
        <v>1.86</v>
      </c>
      <c r="W64" s="3">
        <v>3728</v>
      </c>
    </row>
    <row r="65" spans="7:23" ht="15" customHeight="1" x14ac:dyDescent="0.25">
      <c r="G65" s="3">
        <f>5-9-20</f>
        <v>-24</v>
      </c>
      <c r="H65" s="3">
        <v>1058</v>
      </c>
      <c r="I65" s="3">
        <v>3590</v>
      </c>
      <c r="J65" s="3" t="s">
        <v>12</v>
      </c>
      <c r="K65" s="3" t="s">
        <v>13</v>
      </c>
      <c r="L65" s="3" t="s">
        <v>14</v>
      </c>
      <c r="M65" s="3">
        <v>50</v>
      </c>
      <c r="N65" s="4">
        <v>1.82</v>
      </c>
      <c r="V65" s="4">
        <v>1.86</v>
      </c>
      <c r="W65" s="3">
        <v>3782</v>
      </c>
    </row>
    <row r="66" spans="7:23" ht="15" customHeight="1" x14ac:dyDescent="0.25">
      <c r="G66" s="3">
        <f>5-13-20</f>
        <v>-28</v>
      </c>
      <c r="H66" s="3">
        <v>1059</v>
      </c>
      <c r="I66" s="3">
        <v>3593</v>
      </c>
      <c r="J66" s="3" t="s">
        <v>12</v>
      </c>
      <c r="K66" s="3" t="s">
        <v>24</v>
      </c>
      <c r="L66" s="3" t="s">
        <v>16</v>
      </c>
      <c r="M66" s="3">
        <v>50</v>
      </c>
      <c r="N66" s="4">
        <v>1.83</v>
      </c>
      <c r="V66" s="4">
        <v>1.87</v>
      </c>
      <c r="W66" s="3">
        <v>3524</v>
      </c>
    </row>
    <row r="67" spans="7:23" ht="15" customHeight="1" x14ac:dyDescent="0.25">
      <c r="G67" s="3">
        <f>5-14-20</f>
        <v>-29</v>
      </c>
      <c r="H67" s="3">
        <v>1060</v>
      </c>
      <c r="I67" s="3">
        <v>3594</v>
      </c>
      <c r="J67" s="3" t="s">
        <v>12</v>
      </c>
      <c r="K67" s="3" t="s">
        <v>24</v>
      </c>
      <c r="L67" s="3" t="s">
        <v>14</v>
      </c>
      <c r="M67" s="3">
        <v>50</v>
      </c>
      <c r="N67" s="4">
        <v>1.8</v>
      </c>
      <c r="V67" s="4">
        <v>1.87</v>
      </c>
      <c r="W67" s="3">
        <v>3526</v>
      </c>
    </row>
    <row r="68" spans="7:23" ht="15" customHeight="1" x14ac:dyDescent="0.25">
      <c r="G68" s="3">
        <f>5-13-20</f>
        <v>-28</v>
      </c>
      <c r="H68" s="3">
        <v>1064</v>
      </c>
      <c r="I68" s="3">
        <v>3595</v>
      </c>
      <c r="J68" s="3" t="s">
        <v>12</v>
      </c>
      <c r="K68" s="3" t="s">
        <v>24</v>
      </c>
      <c r="L68" s="3" t="s">
        <v>16</v>
      </c>
      <c r="M68" s="3">
        <v>50</v>
      </c>
      <c r="N68" s="4">
        <v>1.87</v>
      </c>
      <c r="V68" s="4">
        <v>1.87</v>
      </c>
      <c r="W68" s="3">
        <v>3595</v>
      </c>
    </row>
    <row r="69" spans="7:23" ht="15" customHeight="1" x14ac:dyDescent="0.25">
      <c r="G69" s="3">
        <f>5-28-20</f>
        <v>-43</v>
      </c>
      <c r="H69" s="3">
        <v>1061</v>
      </c>
      <c r="I69" s="3">
        <v>3599</v>
      </c>
      <c r="J69" s="3" t="s">
        <v>12</v>
      </c>
      <c r="K69" s="3" t="s">
        <v>19</v>
      </c>
      <c r="L69" s="3" t="s">
        <v>16</v>
      </c>
      <c r="M69" s="3">
        <v>50</v>
      </c>
      <c r="N69" s="4">
        <v>1.7</v>
      </c>
      <c r="V69" s="4">
        <v>1.87</v>
      </c>
      <c r="W69" s="3">
        <v>3716</v>
      </c>
    </row>
    <row r="70" spans="7:23" ht="15" customHeight="1" x14ac:dyDescent="0.25">
      <c r="G70" s="3">
        <f>5-25-20</f>
        <v>-40</v>
      </c>
      <c r="H70" s="3">
        <v>1062</v>
      </c>
      <c r="I70" s="3">
        <v>3600</v>
      </c>
      <c r="J70" s="3" t="s">
        <v>12</v>
      </c>
      <c r="K70" s="3" t="s">
        <v>19</v>
      </c>
      <c r="L70" s="3" t="s">
        <v>14</v>
      </c>
      <c r="M70" s="3">
        <v>50</v>
      </c>
      <c r="N70" s="4">
        <v>1.81</v>
      </c>
      <c r="V70" s="4">
        <v>1.87</v>
      </c>
      <c r="W70" s="3">
        <v>3729</v>
      </c>
    </row>
    <row r="71" spans="7:23" ht="15" customHeight="1" x14ac:dyDescent="0.25">
      <c r="G71" s="3">
        <f>5-25-20</f>
        <v>-40</v>
      </c>
      <c r="H71" s="3">
        <v>1063</v>
      </c>
      <c r="I71" s="3">
        <v>3601</v>
      </c>
      <c r="J71" s="3" t="s">
        <v>12</v>
      </c>
      <c r="K71" s="3" t="s">
        <v>19</v>
      </c>
      <c r="L71" s="3" t="s">
        <v>16</v>
      </c>
      <c r="M71" s="3">
        <v>50</v>
      </c>
      <c r="N71" s="4">
        <v>1.84</v>
      </c>
      <c r="V71" s="4">
        <v>1.87</v>
      </c>
      <c r="W71" s="3">
        <v>3733</v>
      </c>
    </row>
    <row r="72" spans="7:23" ht="15" customHeight="1" x14ac:dyDescent="0.25">
      <c r="G72" s="3">
        <f>7-26-20</f>
        <v>-39</v>
      </c>
      <c r="H72" s="3">
        <v>1065</v>
      </c>
      <c r="I72" s="3">
        <v>3622</v>
      </c>
      <c r="J72" s="3" t="s">
        <v>12</v>
      </c>
      <c r="K72" s="3" t="s">
        <v>25</v>
      </c>
      <c r="L72" s="3" t="s">
        <v>16</v>
      </c>
      <c r="M72" s="3">
        <v>50</v>
      </c>
      <c r="N72" s="4">
        <v>1.78</v>
      </c>
      <c r="V72" s="4">
        <v>1.88</v>
      </c>
      <c r="W72" s="3">
        <v>3515</v>
      </c>
    </row>
    <row r="73" spans="7:23" ht="15" customHeight="1" x14ac:dyDescent="0.25">
      <c r="G73" s="3">
        <f>7-26-20</f>
        <v>-39</v>
      </c>
      <c r="H73" s="3">
        <v>1066</v>
      </c>
      <c r="I73" s="3">
        <v>3623</v>
      </c>
      <c r="J73" s="3" t="s">
        <v>12</v>
      </c>
      <c r="K73" s="3" t="s">
        <v>25</v>
      </c>
      <c r="L73" s="3" t="s">
        <v>16</v>
      </c>
      <c r="M73" s="3">
        <v>50</v>
      </c>
      <c r="N73" s="4">
        <v>1.8</v>
      </c>
      <c r="V73" s="4">
        <v>1.88</v>
      </c>
      <c r="W73" s="3">
        <v>3657</v>
      </c>
    </row>
    <row r="74" spans="7:23" ht="15" customHeight="1" x14ac:dyDescent="0.25">
      <c r="G74" s="3">
        <f>7-26-20</f>
        <v>-39</v>
      </c>
      <c r="H74" s="3">
        <v>1067</v>
      </c>
      <c r="I74" s="3">
        <v>3624</v>
      </c>
      <c r="J74" s="3" t="s">
        <v>12</v>
      </c>
      <c r="K74" s="3" t="s">
        <v>25</v>
      </c>
      <c r="L74" s="3" t="s">
        <v>16</v>
      </c>
      <c r="M74" s="3">
        <v>50</v>
      </c>
      <c r="N74" s="4">
        <v>1.75</v>
      </c>
      <c r="V74" s="4">
        <v>1.88</v>
      </c>
      <c r="W74" s="3">
        <v>4002</v>
      </c>
    </row>
    <row r="75" spans="7:23" ht="15" customHeight="1" x14ac:dyDescent="0.25">
      <c r="G75" s="3">
        <f>7-26-20</f>
        <v>-39</v>
      </c>
      <c r="H75" s="3">
        <v>1068</v>
      </c>
      <c r="I75" s="3">
        <v>3625</v>
      </c>
      <c r="J75" s="3" t="s">
        <v>12</v>
      </c>
      <c r="K75" s="3" t="s">
        <v>25</v>
      </c>
      <c r="L75" s="3" t="s">
        <v>16</v>
      </c>
      <c r="M75" s="3">
        <v>50</v>
      </c>
      <c r="N75" s="4">
        <v>1.8</v>
      </c>
      <c r="V75" s="4">
        <v>1.89</v>
      </c>
      <c r="W75" s="3">
        <v>3467</v>
      </c>
    </row>
    <row r="76" spans="7:23" ht="15" customHeight="1" x14ac:dyDescent="0.25">
      <c r="G76" s="3">
        <f>7-27-20</f>
        <v>-40</v>
      </c>
      <c r="H76" s="3">
        <v>1069</v>
      </c>
      <c r="I76" s="3">
        <v>3626</v>
      </c>
      <c r="J76" s="3" t="s">
        <v>12</v>
      </c>
      <c r="K76" s="3" t="s">
        <v>25</v>
      </c>
      <c r="L76" s="3" t="s">
        <v>16</v>
      </c>
      <c r="M76" s="3">
        <v>50</v>
      </c>
      <c r="N76" s="4">
        <v>1.83</v>
      </c>
      <c r="V76" s="4">
        <v>1.89</v>
      </c>
      <c r="W76" s="3">
        <v>3503</v>
      </c>
    </row>
    <row r="77" spans="7:23" ht="15" customHeight="1" x14ac:dyDescent="0.25">
      <c r="G77" s="3">
        <f>7-27-20</f>
        <v>-40</v>
      </c>
      <c r="H77" s="3">
        <v>1070</v>
      </c>
      <c r="I77" s="3">
        <v>3627</v>
      </c>
      <c r="J77" s="3" t="s">
        <v>12</v>
      </c>
      <c r="K77" s="3" t="s">
        <v>25</v>
      </c>
      <c r="L77" s="3" t="s">
        <v>16</v>
      </c>
      <c r="M77" s="3">
        <v>50</v>
      </c>
      <c r="N77" s="4">
        <v>1.89</v>
      </c>
      <c r="V77" s="4">
        <v>1.89</v>
      </c>
      <c r="W77" s="3">
        <v>3504</v>
      </c>
    </row>
    <row r="78" spans="7:23" ht="15" customHeight="1" x14ac:dyDescent="0.25">
      <c r="G78" s="3">
        <f>7-27-20</f>
        <v>-40</v>
      </c>
      <c r="H78" s="3">
        <v>1076</v>
      </c>
      <c r="I78" s="3">
        <v>3628</v>
      </c>
      <c r="J78" s="3" t="s">
        <v>12</v>
      </c>
      <c r="K78" s="3" t="s">
        <v>25</v>
      </c>
      <c r="L78" s="3" t="s">
        <v>16</v>
      </c>
      <c r="M78" s="3">
        <v>50</v>
      </c>
      <c r="N78" s="4">
        <v>1.74</v>
      </c>
      <c r="V78" s="4">
        <v>1.89</v>
      </c>
      <c r="W78" s="3">
        <v>3627</v>
      </c>
    </row>
    <row r="79" spans="7:23" ht="15" customHeight="1" x14ac:dyDescent="0.25">
      <c r="G79" s="3">
        <f>7-27-20</f>
        <v>-40</v>
      </c>
      <c r="H79" s="3">
        <v>1077</v>
      </c>
      <c r="I79" s="3">
        <v>3629</v>
      </c>
      <c r="J79" s="3" t="s">
        <v>12</v>
      </c>
      <c r="K79" s="3" t="s">
        <v>25</v>
      </c>
      <c r="L79" s="3" t="s">
        <v>16</v>
      </c>
      <c r="M79" s="3">
        <v>50</v>
      </c>
      <c r="N79" s="4">
        <v>1.76</v>
      </c>
      <c r="V79" s="4">
        <v>1.89</v>
      </c>
      <c r="W79" s="3">
        <v>3695</v>
      </c>
    </row>
    <row r="80" spans="7:23" ht="15" customHeight="1" x14ac:dyDescent="0.25">
      <c r="G80" s="3">
        <f>7-27-20</f>
        <v>-40</v>
      </c>
      <c r="H80" s="3">
        <v>1078</v>
      </c>
      <c r="I80" s="3">
        <v>3630</v>
      </c>
      <c r="J80" s="3" t="s">
        <v>12</v>
      </c>
      <c r="K80" s="3" t="s">
        <v>25</v>
      </c>
      <c r="L80" s="3" t="s">
        <v>16</v>
      </c>
      <c r="M80" s="3">
        <v>50</v>
      </c>
      <c r="N80" s="4">
        <v>1.76</v>
      </c>
      <c r="V80" s="4">
        <v>1.89</v>
      </c>
      <c r="W80" s="3">
        <v>3725</v>
      </c>
    </row>
    <row r="81" spans="7:23" ht="15" customHeight="1" x14ac:dyDescent="0.25">
      <c r="G81" s="3">
        <f>7-29-20</f>
        <v>-42</v>
      </c>
      <c r="H81" s="3">
        <v>1079</v>
      </c>
      <c r="I81" s="3">
        <v>3631</v>
      </c>
      <c r="J81" s="3" t="s">
        <v>12</v>
      </c>
      <c r="K81" s="3" t="s">
        <v>25</v>
      </c>
      <c r="L81" s="3" t="s">
        <v>16</v>
      </c>
      <c r="M81" s="3">
        <v>50</v>
      </c>
      <c r="N81" s="4">
        <v>1.77</v>
      </c>
      <c r="V81" s="4">
        <v>1.89</v>
      </c>
      <c r="W81" s="3">
        <v>3734</v>
      </c>
    </row>
    <row r="82" spans="7:23" ht="15" customHeight="1" x14ac:dyDescent="0.25">
      <c r="G82" s="3">
        <f>7-29-20</f>
        <v>-42</v>
      </c>
      <c r="H82" s="3">
        <v>1080</v>
      </c>
      <c r="I82" s="3">
        <v>3632</v>
      </c>
      <c r="J82" s="3" t="s">
        <v>12</v>
      </c>
      <c r="K82" s="3" t="s">
        <v>25</v>
      </c>
      <c r="L82" s="3" t="s">
        <v>16</v>
      </c>
      <c r="M82" s="3">
        <v>50</v>
      </c>
      <c r="N82" s="4">
        <v>1.8</v>
      </c>
      <c r="V82" s="4">
        <v>1.9</v>
      </c>
      <c r="W82" s="3">
        <v>3652</v>
      </c>
    </row>
    <row r="83" spans="7:23" ht="15" customHeight="1" x14ac:dyDescent="0.25">
      <c r="G83" s="3">
        <f>7-27-20</f>
        <v>-40</v>
      </c>
      <c r="H83" s="3">
        <v>1081</v>
      </c>
      <c r="I83" s="3">
        <v>3633</v>
      </c>
      <c r="J83" s="3" t="s">
        <v>12</v>
      </c>
      <c r="K83" s="3" t="s">
        <v>25</v>
      </c>
      <c r="L83" s="3" t="s">
        <v>14</v>
      </c>
      <c r="M83" s="3">
        <v>50</v>
      </c>
      <c r="N83" s="4">
        <v>1.83</v>
      </c>
      <c r="V83" s="4">
        <v>1.91</v>
      </c>
      <c r="W83" s="3">
        <v>3502</v>
      </c>
    </row>
    <row r="84" spans="7:23" ht="15" customHeight="1" x14ac:dyDescent="0.25">
      <c r="G84" s="3">
        <f>9-10-20</f>
        <v>-21</v>
      </c>
      <c r="H84" s="3">
        <v>1074</v>
      </c>
      <c r="I84" s="3">
        <v>3652</v>
      </c>
      <c r="J84" s="3" t="s">
        <v>12</v>
      </c>
      <c r="K84" s="3" t="s">
        <v>26</v>
      </c>
      <c r="L84" s="3" t="s">
        <v>16</v>
      </c>
      <c r="M84" s="3">
        <v>50</v>
      </c>
      <c r="N84" s="4">
        <v>1.9</v>
      </c>
      <c r="V84" s="4">
        <v>1.91</v>
      </c>
      <c r="W84" s="3">
        <v>3707</v>
      </c>
    </row>
    <row r="85" spans="7:23" ht="15" customHeight="1" x14ac:dyDescent="0.25">
      <c r="G85" s="3">
        <f>9-10-20</f>
        <v>-21</v>
      </c>
      <c r="H85" s="3">
        <v>1075</v>
      </c>
      <c r="I85" s="3">
        <v>3653</v>
      </c>
      <c r="J85" s="3" t="s">
        <v>12</v>
      </c>
      <c r="K85" s="3" t="s">
        <v>26</v>
      </c>
      <c r="L85" s="3" t="s">
        <v>14</v>
      </c>
      <c r="M85" s="3">
        <v>50</v>
      </c>
      <c r="N85" s="4">
        <v>1.74</v>
      </c>
      <c r="V85" s="4">
        <v>1.91</v>
      </c>
      <c r="W85" s="3">
        <v>3713</v>
      </c>
    </row>
    <row r="86" spans="7:23" ht="15" customHeight="1" x14ac:dyDescent="0.25">
      <c r="G86" s="3">
        <f>9-10-20</f>
        <v>-21</v>
      </c>
      <c r="H86" s="3">
        <v>1082</v>
      </c>
      <c r="I86" s="3">
        <v>3654</v>
      </c>
      <c r="J86" s="3" t="s">
        <v>12</v>
      </c>
      <c r="K86" s="3" t="s">
        <v>26</v>
      </c>
      <c r="L86" s="3" t="s">
        <v>14</v>
      </c>
      <c r="M86" s="3">
        <v>50</v>
      </c>
      <c r="N86" s="4">
        <v>1.79</v>
      </c>
      <c r="V86" s="4">
        <v>1.91</v>
      </c>
      <c r="W86" s="3">
        <v>3760</v>
      </c>
    </row>
    <row r="87" spans="7:23" ht="15" customHeight="1" x14ac:dyDescent="0.25">
      <c r="G87" s="3">
        <f>10-1-20</f>
        <v>-11</v>
      </c>
      <c r="H87" s="3">
        <v>1083</v>
      </c>
      <c r="I87" s="3">
        <v>3655</v>
      </c>
      <c r="J87" s="3" t="s">
        <v>12</v>
      </c>
      <c r="K87" s="3" t="s">
        <v>21</v>
      </c>
      <c r="L87" s="3" t="s">
        <v>16</v>
      </c>
      <c r="M87" s="3">
        <v>50</v>
      </c>
      <c r="N87" s="4">
        <v>1.93</v>
      </c>
      <c r="V87" s="4">
        <v>1.91</v>
      </c>
      <c r="W87" s="3">
        <v>4003</v>
      </c>
    </row>
    <row r="88" spans="7:23" ht="15" customHeight="1" x14ac:dyDescent="0.25">
      <c r="G88" s="3">
        <f>10-1-20</f>
        <v>-11</v>
      </c>
      <c r="H88" s="3">
        <v>1084</v>
      </c>
      <c r="I88" s="3">
        <v>3656</v>
      </c>
      <c r="J88" s="3" t="s">
        <v>12</v>
      </c>
      <c r="K88" s="3" t="s">
        <v>21</v>
      </c>
      <c r="L88" s="3" t="s">
        <v>16</v>
      </c>
      <c r="M88" s="3">
        <v>50</v>
      </c>
      <c r="N88" s="4">
        <v>2.04</v>
      </c>
      <c r="V88" s="4">
        <v>1.92</v>
      </c>
      <c r="W88" s="3">
        <v>3420</v>
      </c>
    </row>
    <row r="89" spans="7:23" ht="15" customHeight="1" x14ac:dyDescent="0.25">
      <c r="G89" s="3">
        <f>10-2-20</f>
        <v>-12</v>
      </c>
      <c r="H89" s="3">
        <v>1085</v>
      </c>
      <c r="I89" s="3">
        <v>3657</v>
      </c>
      <c r="J89" s="3" t="s">
        <v>12</v>
      </c>
      <c r="K89" s="3" t="s">
        <v>21</v>
      </c>
      <c r="L89" s="3" t="s">
        <v>16</v>
      </c>
      <c r="M89" s="3">
        <v>50</v>
      </c>
      <c r="N89" s="4">
        <v>1.88</v>
      </c>
      <c r="V89" s="4">
        <v>1.92</v>
      </c>
      <c r="W89" s="3">
        <v>3423</v>
      </c>
    </row>
    <row r="90" spans="7:23" ht="15" customHeight="1" x14ac:dyDescent="0.25">
      <c r="G90" s="3">
        <f>10-2-20</f>
        <v>-12</v>
      </c>
      <c r="H90" s="3">
        <v>1086</v>
      </c>
      <c r="I90" s="3">
        <v>3658</v>
      </c>
      <c r="J90" s="3" t="s">
        <v>12</v>
      </c>
      <c r="K90" s="3" t="s">
        <v>21</v>
      </c>
      <c r="L90" s="3" t="s">
        <v>14</v>
      </c>
      <c r="M90" s="3">
        <v>50</v>
      </c>
      <c r="N90" s="4">
        <v>2.0099999999999998</v>
      </c>
      <c r="V90" s="4">
        <v>1.92</v>
      </c>
      <c r="W90" s="3">
        <v>3464</v>
      </c>
    </row>
    <row r="91" spans="7:23" ht="15" customHeight="1" x14ac:dyDescent="0.25">
      <c r="G91" s="3">
        <f>11-6-20</f>
        <v>-15</v>
      </c>
      <c r="H91" s="3">
        <v>1090</v>
      </c>
      <c r="I91" s="3">
        <v>3683</v>
      </c>
      <c r="J91" s="3" t="s">
        <v>12</v>
      </c>
      <c r="K91" s="3" t="s">
        <v>27</v>
      </c>
      <c r="L91" s="3" t="s">
        <v>16</v>
      </c>
      <c r="M91" s="3">
        <v>50</v>
      </c>
      <c r="N91" s="4">
        <v>1.72</v>
      </c>
      <c r="V91" s="4">
        <v>1.92</v>
      </c>
      <c r="W91" s="3">
        <v>3498</v>
      </c>
    </row>
    <row r="92" spans="7:23" ht="15" customHeight="1" x14ac:dyDescent="0.25">
      <c r="G92" s="3">
        <f>11-12-20</f>
        <v>-21</v>
      </c>
      <c r="H92" s="3">
        <v>1092</v>
      </c>
      <c r="I92" s="3">
        <v>3689</v>
      </c>
      <c r="J92" s="3" t="s">
        <v>12</v>
      </c>
      <c r="K92" s="3" t="s">
        <v>28</v>
      </c>
      <c r="L92" s="3" t="s">
        <v>14</v>
      </c>
      <c r="M92" s="3">
        <v>50</v>
      </c>
      <c r="N92" s="4">
        <v>1.86</v>
      </c>
      <c r="V92" s="4">
        <v>1.92</v>
      </c>
      <c r="W92" s="3">
        <v>3522</v>
      </c>
    </row>
    <row r="93" spans="7:23" ht="15" customHeight="1" x14ac:dyDescent="0.25">
      <c r="G93" s="3">
        <f>11-12-20</f>
        <v>-21</v>
      </c>
      <c r="H93" s="3">
        <v>1093</v>
      </c>
      <c r="I93" s="3">
        <v>3691</v>
      </c>
      <c r="J93" s="3" t="s">
        <v>12</v>
      </c>
      <c r="K93" s="3" t="s">
        <v>28</v>
      </c>
      <c r="L93" s="3" t="s">
        <v>16</v>
      </c>
      <c r="M93" s="3">
        <v>50</v>
      </c>
      <c r="N93" s="4">
        <v>1.83</v>
      </c>
      <c r="V93" s="4">
        <v>1.92</v>
      </c>
      <c r="W93" s="3">
        <v>3527</v>
      </c>
    </row>
    <row r="94" spans="7:23" ht="15" customHeight="1" x14ac:dyDescent="0.25">
      <c r="G94" s="3">
        <f>11-20-20</f>
        <v>-29</v>
      </c>
      <c r="H94" s="3">
        <v>1095</v>
      </c>
      <c r="I94" s="3">
        <v>3695</v>
      </c>
      <c r="J94" s="3" t="s">
        <v>12</v>
      </c>
      <c r="K94" s="3" t="s">
        <v>29</v>
      </c>
      <c r="L94" s="3" t="s">
        <v>16</v>
      </c>
      <c r="M94" s="3">
        <v>50</v>
      </c>
      <c r="N94" s="4">
        <v>1.89</v>
      </c>
      <c r="V94" s="4">
        <v>1.92</v>
      </c>
      <c r="W94" s="3">
        <v>3761</v>
      </c>
    </row>
    <row r="95" spans="7:23" ht="15" customHeight="1" x14ac:dyDescent="0.25">
      <c r="G95" s="3">
        <f>12-21-20</f>
        <v>-29</v>
      </c>
      <c r="H95" s="3">
        <v>1099</v>
      </c>
      <c r="I95" s="3">
        <v>3707</v>
      </c>
      <c r="J95" s="3" t="s">
        <v>12</v>
      </c>
      <c r="K95" s="3" t="s">
        <v>30</v>
      </c>
      <c r="L95" s="3" t="s">
        <v>14</v>
      </c>
      <c r="M95" s="3">
        <v>50</v>
      </c>
      <c r="N95" s="4">
        <v>1.91</v>
      </c>
      <c r="V95" s="4">
        <v>1.93</v>
      </c>
      <c r="W95" s="3">
        <v>3444</v>
      </c>
    </row>
    <row r="96" spans="7:23" ht="15" customHeight="1" x14ac:dyDescent="0.25">
      <c r="G96" s="3">
        <f>12-31-20</f>
        <v>-39</v>
      </c>
      <c r="H96" s="3">
        <v>1100</v>
      </c>
      <c r="I96" s="3">
        <v>3713</v>
      </c>
      <c r="J96" s="3" t="s">
        <v>12</v>
      </c>
      <c r="K96" s="3" t="s">
        <v>31</v>
      </c>
      <c r="L96" s="3" t="s">
        <v>16</v>
      </c>
      <c r="M96" s="3">
        <v>50</v>
      </c>
      <c r="N96" s="4">
        <v>1.91</v>
      </c>
      <c r="V96" s="4">
        <v>1.93</v>
      </c>
      <c r="W96" s="3">
        <v>3477</v>
      </c>
    </row>
    <row r="97" spans="7:23" ht="15" customHeight="1" x14ac:dyDescent="0.25">
      <c r="G97" s="3">
        <f>12-31-20</f>
        <v>-39</v>
      </c>
      <c r="H97" s="3">
        <v>1101</v>
      </c>
      <c r="I97" s="3">
        <v>3714</v>
      </c>
      <c r="J97" s="3" t="s">
        <v>12</v>
      </c>
      <c r="K97" s="3" t="s">
        <v>31</v>
      </c>
      <c r="L97" s="3" t="s">
        <v>16</v>
      </c>
      <c r="M97" s="3">
        <v>50</v>
      </c>
      <c r="N97" s="4">
        <v>1.96</v>
      </c>
      <c r="V97" s="4">
        <v>1.93</v>
      </c>
      <c r="W97" s="3">
        <v>3478</v>
      </c>
    </row>
    <row r="98" spans="7:23" ht="15" customHeight="1" x14ac:dyDescent="0.25">
      <c r="G98" s="3">
        <f>1-1-21</f>
        <v>-21</v>
      </c>
      <c r="H98" s="3">
        <v>1102</v>
      </c>
      <c r="I98" s="3">
        <v>3715</v>
      </c>
      <c r="J98" s="3" t="s">
        <v>12</v>
      </c>
      <c r="K98" s="3" t="s">
        <v>31</v>
      </c>
      <c r="L98" s="3" t="s">
        <v>14</v>
      </c>
      <c r="M98" s="3">
        <v>50</v>
      </c>
      <c r="N98" s="4">
        <v>1.85</v>
      </c>
      <c r="V98" s="4">
        <v>1.93</v>
      </c>
      <c r="W98" s="3">
        <v>3655</v>
      </c>
    </row>
    <row r="99" spans="7:23" ht="15" customHeight="1" x14ac:dyDescent="0.25">
      <c r="G99" s="3">
        <f>1-1-21</f>
        <v>-21</v>
      </c>
      <c r="H99" s="3">
        <v>1103</v>
      </c>
      <c r="I99" s="3">
        <v>3716</v>
      </c>
      <c r="J99" s="3" t="s">
        <v>12</v>
      </c>
      <c r="K99" s="3" t="s">
        <v>31</v>
      </c>
      <c r="L99" s="3" t="s">
        <v>16</v>
      </c>
      <c r="M99" s="3">
        <v>50</v>
      </c>
      <c r="N99" s="4">
        <v>1.87</v>
      </c>
      <c r="V99" s="4">
        <v>1.95</v>
      </c>
      <c r="W99" s="3">
        <v>3419</v>
      </c>
    </row>
    <row r="100" spans="7:23" ht="15" customHeight="1" x14ac:dyDescent="0.25">
      <c r="G100" s="3">
        <f>1-1-21</f>
        <v>-21</v>
      </c>
      <c r="H100" s="3">
        <v>1104</v>
      </c>
      <c r="I100" s="3">
        <v>3717</v>
      </c>
      <c r="J100" s="3" t="s">
        <v>12</v>
      </c>
      <c r="K100" s="3" t="s">
        <v>31</v>
      </c>
      <c r="L100" s="3" t="s">
        <v>16</v>
      </c>
      <c r="M100" s="3">
        <v>50</v>
      </c>
      <c r="N100" s="4">
        <v>1.72</v>
      </c>
      <c r="V100" s="4">
        <v>1.95</v>
      </c>
      <c r="W100" s="3">
        <v>3496</v>
      </c>
    </row>
    <row r="101" spans="7:23" ht="15" customHeight="1" x14ac:dyDescent="0.25">
      <c r="G101" s="3">
        <f>1-1-21</f>
        <v>-21</v>
      </c>
      <c r="H101" s="3">
        <v>1105</v>
      </c>
      <c r="I101" s="3">
        <v>3718</v>
      </c>
      <c r="J101" s="3" t="s">
        <v>12</v>
      </c>
      <c r="K101" s="3" t="s">
        <v>31</v>
      </c>
      <c r="L101" s="3" t="s">
        <v>14</v>
      </c>
      <c r="M101" s="3">
        <v>50</v>
      </c>
      <c r="N101" s="4">
        <v>1.74</v>
      </c>
      <c r="V101" s="4">
        <v>1.95</v>
      </c>
      <c r="W101" s="3">
        <v>3572</v>
      </c>
    </row>
    <row r="102" spans="7:23" ht="15" customHeight="1" x14ac:dyDescent="0.25">
      <c r="G102" s="3">
        <f>1-1-21</f>
        <v>-21</v>
      </c>
      <c r="H102" s="3">
        <v>1106</v>
      </c>
      <c r="I102" s="3">
        <v>3719</v>
      </c>
      <c r="J102" s="3" t="s">
        <v>12</v>
      </c>
      <c r="K102" s="3" t="s">
        <v>31</v>
      </c>
      <c r="L102" s="3" t="s">
        <v>16</v>
      </c>
      <c r="M102" s="3">
        <v>50</v>
      </c>
      <c r="N102" s="4">
        <v>1.81</v>
      </c>
      <c r="V102" s="4">
        <v>1.95</v>
      </c>
      <c r="W102" s="3">
        <v>3726</v>
      </c>
    </row>
    <row r="103" spans="7:23" ht="15" customHeight="1" x14ac:dyDescent="0.25">
      <c r="G103" s="3">
        <f>1-2-21</f>
        <v>-22</v>
      </c>
      <c r="H103" s="3">
        <v>1107</v>
      </c>
      <c r="I103" s="3">
        <v>3720</v>
      </c>
      <c r="J103" s="3" t="s">
        <v>12</v>
      </c>
      <c r="K103" s="3" t="s">
        <v>32</v>
      </c>
      <c r="L103" s="3" t="s">
        <v>16</v>
      </c>
      <c r="M103" s="3">
        <v>50</v>
      </c>
      <c r="N103" s="4">
        <v>1.73</v>
      </c>
      <c r="V103" s="4">
        <v>1.95</v>
      </c>
      <c r="W103" s="3">
        <v>3749</v>
      </c>
    </row>
    <row r="104" spans="7:23" ht="15" customHeight="1" x14ac:dyDescent="0.25">
      <c r="G104" s="3">
        <f>1-2-21</f>
        <v>-22</v>
      </c>
      <c r="H104" s="3">
        <v>1108</v>
      </c>
      <c r="I104" s="3">
        <v>3721</v>
      </c>
      <c r="J104" s="3" t="s">
        <v>12</v>
      </c>
      <c r="K104" s="3" t="s">
        <v>32</v>
      </c>
      <c r="L104" s="3" t="s">
        <v>16</v>
      </c>
      <c r="M104" s="3">
        <v>50</v>
      </c>
      <c r="N104" s="4">
        <v>1.73</v>
      </c>
      <c r="V104" s="4">
        <v>1.95</v>
      </c>
      <c r="W104" s="3">
        <v>4076</v>
      </c>
    </row>
    <row r="105" spans="7:23" ht="15" customHeight="1" x14ac:dyDescent="0.25">
      <c r="G105" s="3">
        <f>1-2-21</f>
        <v>-22</v>
      </c>
      <c r="H105" s="3">
        <v>1109</v>
      </c>
      <c r="I105" s="3">
        <v>3722</v>
      </c>
      <c r="J105" s="3" t="s">
        <v>12</v>
      </c>
      <c r="K105" s="3" t="s">
        <v>32</v>
      </c>
      <c r="L105" s="3" t="s">
        <v>16</v>
      </c>
      <c r="M105" s="3">
        <v>50</v>
      </c>
      <c r="N105" s="4">
        <v>1.8</v>
      </c>
      <c r="V105" s="4">
        <v>1.95</v>
      </c>
      <c r="W105" s="3">
        <v>4085</v>
      </c>
    </row>
    <row r="106" spans="7:23" ht="15" customHeight="1" x14ac:dyDescent="0.25">
      <c r="G106" s="3">
        <f>1-2-21</f>
        <v>-22</v>
      </c>
      <c r="H106" s="3">
        <v>1110</v>
      </c>
      <c r="I106" s="3">
        <v>3723</v>
      </c>
      <c r="J106" s="3" t="s">
        <v>12</v>
      </c>
      <c r="K106" s="3" t="s">
        <v>32</v>
      </c>
      <c r="L106" s="3" t="s">
        <v>14</v>
      </c>
      <c r="M106" s="3">
        <v>50</v>
      </c>
      <c r="N106" s="4">
        <v>1.81</v>
      </c>
      <c r="V106" s="4">
        <v>1.96</v>
      </c>
      <c r="W106" s="3">
        <v>3421</v>
      </c>
    </row>
    <row r="107" spans="7:23" ht="15" customHeight="1" x14ac:dyDescent="0.25">
      <c r="G107" s="3">
        <f>1-3-21</f>
        <v>-23</v>
      </c>
      <c r="H107" s="3">
        <v>1111</v>
      </c>
      <c r="I107" s="3">
        <v>3724</v>
      </c>
      <c r="J107" s="3" t="s">
        <v>12</v>
      </c>
      <c r="K107" s="3" t="s">
        <v>31</v>
      </c>
      <c r="L107" s="3" t="s">
        <v>16</v>
      </c>
      <c r="M107" s="3">
        <v>50</v>
      </c>
      <c r="N107" s="4">
        <v>1.84</v>
      </c>
      <c r="V107" s="4">
        <v>1.96</v>
      </c>
      <c r="W107" s="3">
        <v>3523</v>
      </c>
    </row>
    <row r="108" spans="7:23" ht="15" customHeight="1" x14ac:dyDescent="0.25">
      <c r="G108" s="3">
        <f>1-4-21</f>
        <v>-24</v>
      </c>
      <c r="H108" s="3">
        <v>1112</v>
      </c>
      <c r="I108" s="3">
        <v>3725</v>
      </c>
      <c r="J108" s="3" t="s">
        <v>12</v>
      </c>
      <c r="K108" s="3" t="s">
        <v>31</v>
      </c>
      <c r="L108" s="3" t="s">
        <v>16</v>
      </c>
      <c r="M108" s="3">
        <v>50</v>
      </c>
      <c r="N108" s="4">
        <v>1.89</v>
      </c>
      <c r="V108" s="4">
        <v>1.96</v>
      </c>
      <c r="W108" s="3">
        <v>3529</v>
      </c>
    </row>
    <row r="109" spans="7:23" ht="15" customHeight="1" x14ac:dyDescent="0.25">
      <c r="G109" s="3">
        <f>1-4-21</f>
        <v>-24</v>
      </c>
      <c r="H109" s="3">
        <v>1113</v>
      </c>
      <c r="I109" s="3">
        <v>3726</v>
      </c>
      <c r="J109" s="3" t="s">
        <v>12</v>
      </c>
      <c r="K109" s="3" t="s">
        <v>31</v>
      </c>
      <c r="L109" s="3" t="s">
        <v>16</v>
      </c>
      <c r="M109" s="3">
        <v>50</v>
      </c>
      <c r="N109" s="4">
        <v>1.95</v>
      </c>
      <c r="V109" s="4">
        <v>1.96</v>
      </c>
      <c r="W109" s="3">
        <v>3714</v>
      </c>
    </row>
    <row r="110" spans="7:23" ht="15" customHeight="1" x14ac:dyDescent="0.25">
      <c r="G110" s="3">
        <f>1-5-20</f>
        <v>-24</v>
      </c>
      <c r="H110" s="3">
        <v>1114</v>
      </c>
      <c r="I110" s="3">
        <v>3727</v>
      </c>
      <c r="J110" s="3" t="s">
        <v>12</v>
      </c>
      <c r="K110" s="3" t="s">
        <v>31</v>
      </c>
      <c r="L110" s="3" t="s">
        <v>16</v>
      </c>
      <c r="M110" s="3">
        <v>50</v>
      </c>
      <c r="N110" s="4">
        <v>1.84</v>
      </c>
      <c r="V110" s="4">
        <v>1.97</v>
      </c>
      <c r="W110" s="3">
        <v>3500</v>
      </c>
    </row>
    <row r="111" spans="7:23" ht="15" customHeight="1" x14ac:dyDescent="0.25">
      <c r="G111" s="3">
        <f>1-5-21</f>
        <v>-25</v>
      </c>
      <c r="H111" s="3">
        <v>1115</v>
      </c>
      <c r="I111" s="3">
        <v>3728</v>
      </c>
      <c r="J111" s="3" t="s">
        <v>12</v>
      </c>
      <c r="K111" s="3" t="s">
        <v>31</v>
      </c>
      <c r="L111" s="3" t="s">
        <v>16</v>
      </c>
      <c r="M111" s="3">
        <v>50</v>
      </c>
      <c r="N111" s="4">
        <v>1.86</v>
      </c>
      <c r="V111" s="4">
        <v>1.98</v>
      </c>
      <c r="W111" s="3">
        <v>3505</v>
      </c>
    </row>
    <row r="112" spans="7:23" ht="15" customHeight="1" x14ac:dyDescent="0.25">
      <c r="G112" s="3">
        <f>1-5-21</f>
        <v>-25</v>
      </c>
      <c r="H112" s="3">
        <v>1116</v>
      </c>
      <c r="I112" s="3">
        <v>3729</v>
      </c>
      <c r="J112" s="3" t="s">
        <v>12</v>
      </c>
      <c r="K112" s="3" t="s">
        <v>31</v>
      </c>
      <c r="L112" s="3" t="s">
        <v>16</v>
      </c>
      <c r="M112" s="3">
        <v>50</v>
      </c>
      <c r="N112" s="4">
        <v>1.87</v>
      </c>
      <c r="V112" s="4">
        <v>1.98</v>
      </c>
      <c r="W112" s="3">
        <v>3762</v>
      </c>
    </row>
    <row r="113" spans="7:23" ht="15" customHeight="1" x14ac:dyDescent="0.25">
      <c r="G113" s="3">
        <f>1-5-21</f>
        <v>-25</v>
      </c>
      <c r="H113" s="3">
        <v>1117</v>
      </c>
      <c r="I113" s="3">
        <v>3730</v>
      </c>
      <c r="J113" s="3" t="s">
        <v>12</v>
      </c>
      <c r="K113" s="3" t="s">
        <v>31</v>
      </c>
      <c r="L113" s="3" t="s">
        <v>16</v>
      </c>
      <c r="M113" s="3">
        <v>50</v>
      </c>
      <c r="N113" s="4">
        <v>1.85</v>
      </c>
      <c r="V113" s="4">
        <v>1.99</v>
      </c>
      <c r="W113" s="3">
        <v>3422</v>
      </c>
    </row>
    <row r="114" spans="7:23" ht="15" customHeight="1" x14ac:dyDescent="0.25">
      <c r="G114" s="3">
        <f>1-5-21</f>
        <v>-25</v>
      </c>
      <c r="H114" s="3">
        <v>1118</v>
      </c>
      <c r="I114" s="3">
        <v>3731</v>
      </c>
      <c r="J114" s="3" t="s">
        <v>12</v>
      </c>
      <c r="K114" s="3" t="s">
        <v>31</v>
      </c>
      <c r="L114" s="3" t="s">
        <v>16</v>
      </c>
      <c r="M114" s="3">
        <v>50</v>
      </c>
      <c r="N114" s="4">
        <v>1.84</v>
      </c>
      <c r="V114" s="4">
        <v>1.99</v>
      </c>
      <c r="W114" s="3">
        <v>3465</v>
      </c>
    </row>
    <row r="115" spans="7:23" ht="15" customHeight="1" x14ac:dyDescent="0.25">
      <c r="G115" s="3">
        <f>1-5-21</f>
        <v>-25</v>
      </c>
      <c r="H115" s="3">
        <v>1119</v>
      </c>
      <c r="I115" s="3">
        <v>3732</v>
      </c>
      <c r="J115" s="3" t="s">
        <v>12</v>
      </c>
      <c r="K115" s="3" t="s">
        <v>31</v>
      </c>
      <c r="L115" s="3" t="s">
        <v>16</v>
      </c>
      <c r="M115" s="3">
        <v>50</v>
      </c>
      <c r="N115" s="4">
        <v>1.85</v>
      </c>
      <c r="V115" s="4">
        <v>1.99</v>
      </c>
      <c r="W115" s="3">
        <v>4083</v>
      </c>
    </row>
    <row r="116" spans="7:23" ht="15" customHeight="1" x14ac:dyDescent="0.25">
      <c r="G116" s="3">
        <f>1-6-21</f>
        <v>-26</v>
      </c>
      <c r="H116" s="3">
        <v>1120</v>
      </c>
      <c r="I116" s="3">
        <v>3733</v>
      </c>
      <c r="J116" s="3" t="s">
        <v>12</v>
      </c>
      <c r="K116" s="3" t="s">
        <v>31</v>
      </c>
      <c r="L116" s="3" t="s">
        <v>16</v>
      </c>
      <c r="M116" s="3">
        <v>50</v>
      </c>
      <c r="N116" s="4">
        <v>1.87</v>
      </c>
      <c r="V116" s="4">
        <v>2</v>
      </c>
      <c r="W116" s="3">
        <v>3480</v>
      </c>
    </row>
    <row r="117" spans="7:23" ht="15" customHeight="1" x14ac:dyDescent="0.25">
      <c r="G117" s="3">
        <f>1-6-21</f>
        <v>-26</v>
      </c>
      <c r="H117" s="3">
        <v>1121</v>
      </c>
      <c r="I117" s="3">
        <v>3734</v>
      </c>
      <c r="J117" s="3" t="s">
        <v>12</v>
      </c>
      <c r="K117" s="3" t="s">
        <v>31</v>
      </c>
      <c r="L117" s="3" t="s">
        <v>14</v>
      </c>
      <c r="M117" s="3">
        <v>50</v>
      </c>
      <c r="N117" s="4">
        <v>1.89</v>
      </c>
      <c r="V117" s="4">
        <v>2</v>
      </c>
      <c r="W117" s="3">
        <v>3556</v>
      </c>
    </row>
    <row r="118" spans="7:23" ht="15" customHeight="1" x14ac:dyDescent="0.25">
      <c r="G118" s="3">
        <f>1-20-21</f>
        <v>-40</v>
      </c>
      <c r="H118" s="3">
        <v>1122</v>
      </c>
      <c r="I118" s="3">
        <v>3749</v>
      </c>
      <c r="J118" s="3" t="s">
        <v>12</v>
      </c>
      <c r="K118" s="3" t="s">
        <v>33</v>
      </c>
      <c r="L118" s="3" t="s">
        <v>16</v>
      </c>
      <c r="M118" s="3">
        <v>50</v>
      </c>
      <c r="N118" s="4">
        <v>1.95</v>
      </c>
      <c r="V118" s="4">
        <v>2</v>
      </c>
      <c r="W118" s="3">
        <v>4082</v>
      </c>
    </row>
    <row r="119" spans="7:23" ht="15" customHeight="1" x14ac:dyDescent="0.25">
      <c r="G119" s="3">
        <f>1-22-21</f>
        <v>-42</v>
      </c>
      <c r="H119" s="3">
        <v>1123</v>
      </c>
      <c r="I119" s="3">
        <v>3750</v>
      </c>
      <c r="J119" s="3" t="s">
        <v>12</v>
      </c>
      <c r="K119" s="3" t="s">
        <v>33</v>
      </c>
      <c r="L119" s="3" t="s">
        <v>16</v>
      </c>
      <c r="M119" s="3">
        <v>50</v>
      </c>
      <c r="N119" s="4">
        <v>1.83</v>
      </c>
      <c r="V119" s="4">
        <v>2</v>
      </c>
      <c r="W119" s="3">
        <v>4084</v>
      </c>
    </row>
    <row r="120" spans="7:23" ht="15" customHeight="1" x14ac:dyDescent="0.25">
      <c r="G120" s="3">
        <f>1-22-21</f>
        <v>-42</v>
      </c>
      <c r="H120" s="3">
        <v>1124</v>
      </c>
      <c r="I120" s="3">
        <v>3751</v>
      </c>
      <c r="J120" s="3" t="s">
        <v>12</v>
      </c>
      <c r="K120" s="3" t="s">
        <v>33</v>
      </c>
      <c r="L120" s="3" t="s">
        <v>14</v>
      </c>
      <c r="M120" s="3">
        <v>50</v>
      </c>
      <c r="N120" s="4">
        <v>1.82</v>
      </c>
      <c r="V120" s="4">
        <v>2.0099999999999998</v>
      </c>
      <c r="W120" s="3">
        <v>3481</v>
      </c>
    </row>
    <row r="121" spans="7:23" ht="15" customHeight="1" x14ac:dyDescent="0.25">
      <c r="G121" s="3">
        <f>3-19-21</f>
        <v>-37</v>
      </c>
      <c r="H121" s="3">
        <v>1126</v>
      </c>
      <c r="I121" s="3">
        <v>3759</v>
      </c>
      <c r="J121" s="3" t="s">
        <v>12</v>
      </c>
      <c r="K121" s="3" t="s">
        <v>34</v>
      </c>
      <c r="L121" s="3" t="s">
        <v>16</v>
      </c>
      <c r="M121" s="3">
        <v>50</v>
      </c>
      <c r="N121" s="4">
        <v>2.0699999999999998</v>
      </c>
      <c r="V121" s="4">
        <v>2.0099999999999998</v>
      </c>
      <c r="W121" s="3">
        <v>3658</v>
      </c>
    </row>
    <row r="122" spans="7:23" ht="15" customHeight="1" x14ac:dyDescent="0.25">
      <c r="G122" s="3">
        <f>3-19-21</f>
        <v>-37</v>
      </c>
      <c r="H122" s="3">
        <v>1127</v>
      </c>
      <c r="I122" s="3">
        <v>3760</v>
      </c>
      <c r="J122" s="3" t="s">
        <v>12</v>
      </c>
      <c r="K122" s="3" t="s">
        <v>34</v>
      </c>
      <c r="L122" s="3" t="s">
        <v>16</v>
      </c>
      <c r="M122" s="3">
        <v>50</v>
      </c>
      <c r="N122" s="4">
        <v>1.91</v>
      </c>
      <c r="V122" s="4">
        <v>2.0099999999999998</v>
      </c>
      <c r="W122" s="3">
        <v>4086</v>
      </c>
    </row>
    <row r="123" spans="7:23" ht="15" customHeight="1" x14ac:dyDescent="0.25">
      <c r="G123" s="3">
        <f>3-19-21</f>
        <v>-37</v>
      </c>
      <c r="H123" s="3">
        <v>1128</v>
      </c>
      <c r="I123" s="3">
        <v>3761</v>
      </c>
      <c r="J123" s="3" t="s">
        <v>12</v>
      </c>
      <c r="K123" s="3" t="s">
        <v>34</v>
      </c>
      <c r="L123" s="3" t="s">
        <v>14</v>
      </c>
      <c r="M123" s="3">
        <v>50</v>
      </c>
      <c r="N123" s="4">
        <v>1.92</v>
      </c>
      <c r="V123" s="4">
        <v>2.02</v>
      </c>
      <c r="W123" s="3">
        <v>3512</v>
      </c>
    </row>
    <row r="124" spans="7:23" ht="15" customHeight="1" x14ac:dyDescent="0.25">
      <c r="G124" s="3">
        <f>3-19-21</f>
        <v>-37</v>
      </c>
      <c r="H124" s="3">
        <v>1129</v>
      </c>
      <c r="I124" s="3">
        <v>3762</v>
      </c>
      <c r="J124" s="3" t="s">
        <v>12</v>
      </c>
      <c r="K124" s="3" t="s">
        <v>34</v>
      </c>
      <c r="L124" s="3" t="s">
        <v>16</v>
      </c>
      <c r="M124" s="3">
        <v>50</v>
      </c>
      <c r="N124" s="4">
        <v>1.98</v>
      </c>
      <c r="V124" s="4">
        <v>2.0299999999999998</v>
      </c>
      <c r="W124" s="3">
        <v>3501</v>
      </c>
    </row>
    <row r="125" spans="7:23" ht="15" customHeight="1" x14ac:dyDescent="0.25">
      <c r="G125" s="3">
        <f>3-26-21</f>
        <v>-44</v>
      </c>
      <c r="H125" s="3">
        <v>1130</v>
      </c>
      <c r="I125" s="3">
        <v>3763</v>
      </c>
      <c r="J125" s="3" t="s">
        <v>12</v>
      </c>
      <c r="K125" s="3" t="s">
        <v>29</v>
      </c>
      <c r="L125" s="3" t="s">
        <v>16</v>
      </c>
      <c r="M125" s="3">
        <v>50</v>
      </c>
      <c r="N125" s="4">
        <v>1.82</v>
      </c>
      <c r="V125" s="4">
        <v>2.0299999999999998</v>
      </c>
      <c r="W125" s="3">
        <v>4087</v>
      </c>
    </row>
    <row r="126" spans="7:23" ht="15" customHeight="1" x14ac:dyDescent="0.25">
      <c r="G126" s="3">
        <f>4-12-21</f>
        <v>-29</v>
      </c>
      <c r="H126" s="3">
        <v>1132</v>
      </c>
      <c r="I126" s="3">
        <v>3772</v>
      </c>
      <c r="J126" s="3" t="s">
        <v>12</v>
      </c>
      <c r="K126" s="3" t="s">
        <v>35</v>
      </c>
      <c r="L126" s="3" t="s">
        <v>16</v>
      </c>
      <c r="M126" s="3">
        <v>50</v>
      </c>
      <c r="N126" s="4">
        <v>2.23</v>
      </c>
      <c r="V126" s="4">
        <v>2.04</v>
      </c>
      <c r="W126" s="3">
        <v>3499</v>
      </c>
    </row>
    <row r="127" spans="7:23" ht="15" customHeight="1" x14ac:dyDescent="0.25">
      <c r="G127" s="3">
        <f>4-13-21</f>
        <v>-30</v>
      </c>
      <c r="H127" s="3">
        <v>1133</v>
      </c>
      <c r="I127" s="3">
        <v>3773</v>
      </c>
      <c r="J127" s="3" t="s">
        <v>12</v>
      </c>
      <c r="K127" s="3" t="s">
        <v>35</v>
      </c>
      <c r="L127" s="3" t="s">
        <v>16</v>
      </c>
      <c r="M127" s="3">
        <v>50</v>
      </c>
      <c r="N127" s="4">
        <v>2.1</v>
      </c>
      <c r="V127" s="4">
        <v>2.04</v>
      </c>
      <c r="W127" s="3">
        <v>3656</v>
      </c>
    </row>
    <row r="128" spans="7:23" ht="15" customHeight="1" x14ac:dyDescent="0.25">
      <c r="G128" s="3">
        <f>4-13-21</f>
        <v>-30</v>
      </c>
      <c r="H128" s="3">
        <v>1134</v>
      </c>
      <c r="I128" s="3">
        <v>3774</v>
      </c>
      <c r="J128" s="3" t="s">
        <v>12</v>
      </c>
      <c r="K128" s="3" t="s">
        <v>35</v>
      </c>
      <c r="L128" s="3" t="s">
        <v>14</v>
      </c>
      <c r="M128" s="3">
        <v>50</v>
      </c>
      <c r="N128" s="4">
        <v>2.2999999999999998</v>
      </c>
      <c r="V128" s="4">
        <v>2.0499999999999998</v>
      </c>
      <c r="W128" s="3">
        <v>3479</v>
      </c>
    </row>
    <row r="129" spans="7:23" ht="15" customHeight="1" x14ac:dyDescent="0.25">
      <c r="G129" s="3">
        <f>4-20-21</f>
        <v>-37</v>
      </c>
      <c r="H129" s="3">
        <v>1135</v>
      </c>
      <c r="I129" s="3">
        <v>3781</v>
      </c>
      <c r="J129" s="3" t="s">
        <v>12</v>
      </c>
      <c r="K129" s="3" t="s">
        <v>13</v>
      </c>
      <c r="L129" s="3" t="s">
        <v>16</v>
      </c>
      <c r="M129" s="3">
        <v>50</v>
      </c>
      <c r="N129" s="4">
        <v>1.84</v>
      </c>
      <c r="V129" s="4">
        <v>2.0499999999999998</v>
      </c>
      <c r="W129" s="3">
        <v>3517</v>
      </c>
    </row>
    <row r="130" spans="7:23" ht="15" customHeight="1" x14ac:dyDescent="0.25">
      <c r="G130" s="3">
        <f>4-21-21</f>
        <v>-38</v>
      </c>
      <c r="H130" s="3">
        <v>1136</v>
      </c>
      <c r="I130" s="3">
        <v>3782</v>
      </c>
      <c r="J130" s="3" t="s">
        <v>12</v>
      </c>
      <c r="K130" s="3" t="s">
        <v>13</v>
      </c>
      <c r="L130" s="3" t="s">
        <v>16</v>
      </c>
      <c r="M130" s="3">
        <v>50</v>
      </c>
      <c r="N130" s="4">
        <v>1.86</v>
      </c>
      <c r="V130" s="4">
        <v>2.0499999999999998</v>
      </c>
      <c r="W130" s="3">
        <v>4016</v>
      </c>
    </row>
    <row r="131" spans="7:23" ht="15" customHeight="1" x14ac:dyDescent="0.25">
      <c r="G131" s="3">
        <f>4-21-21</f>
        <v>-38</v>
      </c>
      <c r="H131" s="3">
        <v>1137</v>
      </c>
      <c r="I131" s="3">
        <v>3783</v>
      </c>
      <c r="J131" s="3" t="s">
        <v>12</v>
      </c>
      <c r="K131" s="3" t="s">
        <v>13</v>
      </c>
      <c r="L131" s="3" t="s">
        <v>14</v>
      </c>
      <c r="M131" s="3">
        <v>50</v>
      </c>
      <c r="N131" s="4">
        <v>1.84</v>
      </c>
      <c r="V131" s="4">
        <v>2.0699999999999998</v>
      </c>
      <c r="W131" s="3">
        <v>3759</v>
      </c>
    </row>
    <row r="132" spans="7:23" ht="15" customHeight="1" x14ac:dyDescent="0.25">
      <c r="G132" s="3">
        <f>12-7-21</f>
        <v>-16</v>
      </c>
      <c r="H132" s="3">
        <v>1186</v>
      </c>
      <c r="I132" s="3">
        <v>4001</v>
      </c>
      <c r="J132" s="3" t="s">
        <v>12</v>
      </c>
      <c r="K132" s="3" t="s">
        <v>36</v>
      </c>
      <c r="L132" s="3" t="s">
        <v>16</v>
      </c>
      <c r="M132" s="3">
        <v>50</v>
      </c>
      <c r="N132" s="4">
        <v>1.84</v>
      </c>
      <c r="V132" s="4">
        <v>2.08</v>
      </c>
      <c r="W132" s="3">
        <v>3528</v>
      </c>
    </row>
    <row r="133" spans="7:23" ht="15" customHeight="1" x14ac:dyDescent="0.25">
      <c r="G133" s="3">
        <f>12-8-21</f>
        <v>-17</v>
      </c>
      <c r="H133" s="3">
        <v>1187</v>
      </c>
      <c r="I133" s="3">
        <v>4002</v>
      </c>
      <c r="J133" s="3" t="s">
        <v>12</v>
      </c>
      <c r="K133" s="3" t="s">
        <v>36</v>
      </c>
      <c r="L133" s="3" t="s">
        <v>16</v>
      </c>
      <c r="M133" s="3">
        <v>50</v>
      </c>
      <c r="N133" s="4">
        <v>1.88</v>
      </c>
      <c r="V133" s="4">
        <v>2.09</v>
      </c>
      <c r="W133" s="3">
        <v>4089</v>
      </c>
    </row>
    <row r="134" spans="7:23" ht="15" customHeight="1" x14ac:dyDescent="0.25">
      <c r="G134" s="3">
        <f>12-8-21</f>
        <v>-17</v>
      </c>
      <c r="H134" s="3">
        <v>1188</v>
      </c>
      <c r="I134" s="3">
        <v>4003</v>
      </c>
      <c r="J134" s="3" t="s">
        <v>12</v>
      </c>
      <c r="K134" s="3" t="s">
        <v>36</v>
      </c>
      <c r="L134" s="3" t="s">
        <v>14</v>
      </c>
      <c r="M134" s="3">
        <v>50</v>
      </c>
      <c r="N134" s="4">
        <v>1.91</v>
      </c>
      <c r="V134" s="4">
        <v>2.1</v>
      </c>
      <c r="W134" s="3">
        <v>3557</v>
      </c>
    </row>
    <row r="135" spans="7:23" ht="15" customHeight="1" x14ac:dyDescent="0.25">
      <c r="G135" s="3">
        <f>12-16-21</f>
        <v>-25</v>
      </c>
      <c r="H135" s="3">
        <v>1190</v>
      </c>
      <c r="I135" s="3">
        <v>4016</v>
      </c>
      <c r="J135" s="3" t="s">
        <v>12</v>
      </c>
      <c r="K135" s="3" t="s">
        <v>37</v>
      </c>
      <c r="L135" s="3" t="s">
        <v>16</v>
      </c>
      <c r="M135" s="3">
        <v>50</v>
      </c>
      <c r="N135" s="4">
        <v>2.0499999999999998</v>
      </c>
      <c r="V135" s="4">
        <v>2.1</v>
      </c>
      <c r="W135" s="3">
        <v>3773</v>
      </c>
    </row>
    <row r="136" spans="7:23" ht="15" customHeight="1" x14ac:dyDescent="0.25">
      <c r="G136" s="3">
        <f>12-16-21</f>
        <v>-25</v>
      </c>
      <c r="H136" s="3">
        <v>1191</v>
      </c>
      <c r="I136" s="3">
        <v>4017</v>
      </c>
      <c r="J136" s="3" t="s">
        <v>12</v>
      </c>
      <c r="K136" s="3" t="s">
        <v>37</v>
      </c>
      <c r="L136" s="3" t="s">
        <v>14</v>
      </c>
      <c r="M136" s="3">
        <v>50</v>
      </c>
      <c r="N136" s="4">
        <v>1.75</v>
      </c>
      <c r="V136" s="4">
        <v>2.11</v>
      </c>
      <c r="W136" s="3">
        <v>3575</v>
      </c>
    </row>
    <row r="137" spans="7:23" ht="15" customHeight="1" x14ac:dyDescent="0.25">
      <c r="G137" s="3">
        <f>4-11-22</f>
        <v>-29</v>
      </c>
      <c r="H137" s="3">
        <v>1235</v>
      </c>
      <c r="I137" s="3">
        <v>4075</v>
      </c>
      <c r="J137" s="3" t="s">
        <v>12</v>
      </c>
      <c r="K137" s="3" t="s">
        <v>19</v>
      </c>
      <c r="L137" s="3" t="s">
        <v>16</v>
      </c>
      <c r="M137" s="3">
        <v>50</v>
      </c>
      <c r="N137" s="4">
        <v>2.14</v>
      </c>
      <c r="V137" s="4">
        <v>2.13</v>
      </c>
      <c r="W137" s="3">
        <v>3514</v>
      </c>
    </row>
    <row r="138" spans="7:23" ht="15" customHeight="1" x14ac:dyDescent="0.25">
      <c r="G138" s="3">
        <f>4-11-22</f>
        <v>-29</v>
      </c>
      <c r="H138" s="3">
        <v>1236</v>
      </c>
      <c r="I138" s="3">
        <v>4076</v>
      </c>
      <c r="J138" s="3" t="s">
        <v>12</v>
      </c>
      <c r="K138" s="3" t="s">
        <v>19</v>
      </c>
      <c r="L138" s="3" t="s">
        <v>14</v>
      </c>
      <c r="M138" s="3">
        <v>50</v>
      </c>
      <c r="N138" s="4">
        <v>1.95</v>
      </c>
      <c r="V138" s="4">
        <v>2.13</v>
      </c>
      <c r="W138" s="3">
        <v>3576</v>
      </c>
    </row>
    <row r="139" spans="7:23" ht="15" customHeight="1" x14ac:dyDescent="0.25">
      <c r="G139" s="3">
        <f>5-29-22</f>
        <v>-46</v>
      </c>
      <c r="H139" s="3">
        <v>1237</v>
      </c>
      <c r="I139" s="3">
        <v>4082</v>
      </c>
      <c r="J139" s="3" t="s">
        <v>12</v>
      </c>
      <c r="K139" s="3" t="s">
        <v>30</v>
      </c>
      <c r="L139" s="3" t="s">
        <v>16</v>
      </c>
      <c r="M139" s="3">
        <v>50</v>
      </c>
      <c r="N139" s="4">
        <v>2</v>
      </c>
      <c r="V139" s="4">
        <v>2.14</v>
      </c>
      <c r="W139" s="3">
        <v>3573</v>
      </c>
    </row>
    <row r="140" spans="7:23" ht="15" customHeight="1" x14ac:dyDescent="0.25">
      <c r="G140" s="3">
        <f>5-29-22</f>
        <v>-46</v>
      </c>
      <c r="H140" s="3">
        <v>1238</v>
      </c>
      <c r="I140" s="3">
        <v>4083</v>
      </c>
      <c r="J140" s="3" t="s">
        <v>12</v>
      </c>
      <c r="K140" s="3" t="s">
        <v>30</v>
      </c>
      <c r="L140" s="3" t="s">
        <v>16</v>
      </c>
      <c r="M140" s="3">
        <v>50</v>
      </c>
      <c r="N140" s="4">
        <v>1.99</v>
      </c>
      <c r="V140" s="4">
        <v>2.14</v>
      </c>
      <c r="W140" s="3">
        <v>3577</v>
      </c>
    </row>
    <row r="141" spans="7:23" ht="15" customHeight="1" x14ac:dyDescent="0.25">
      <c r="G141" s="3">
        <f>5-29-22</f>
        <v>-46</v>
      </c>
      <c r="H141" s="3">
        <v>1239</v>
      </c>
      <c r="I141" s="3">
        <v>4084</v>
      </c>
      <c r="J141" s="3" t="s">
        <v>12</v>
      </c>
      <c r="K141" s="3" t="s">
        <v>30</v>
      </c>
      <c r="L141" s="3" t="s">
        <v>16</v>
      </c>
      <c r="M141" s="3">
        <v>50</v>
      </c>
      <c r="N141" s="4">
        <v>2</v>
      </c>
      <c r="V141" s="4">
        <v>2.14</v>
      </c>
      <c r="W141" s="3">
        <v>4075</v>
      </c>
    </row>
    <row r="142" spans="7:23" ht="15" customHeight="1" x14ac:dyDescent="0.25">
      <c r="G142" s="3">
        <f>5-30-22</f>
        <v>-47</v>
      </c>
      <c r="H142" s="3">
        <v>1240</v>
      </c>
      <c r="I142" s="3">
        <v>4085</v>
      </c>
      <c r="J142" s="3" t="s">
        <v>12</v>
      </c>
      <c r="K142" s="3" t="s">
        <v>30</v>
      </c>
      <c r="L142" s="3" t="s">
        <v>16</v>
      </c>
      <c r="M142" s="3">
        <v>50</v>
      </c>
      <c r="N142" s="4">
        <v>1.95</v>
      </c>
      <c r="V142" s="4">
        <v>2.23</v>
      </c>
      <c r="W142" s="3">
        <v>3772</v>
      </c>
    </row>
    <row r="143" spans="7:23" ht="15" customHeight="1" x14ac:dyDescent="0.25">
      <c r="G143" s="3">
        <f>5-30-22</f>
        <v>-47</v>
      </c>
      <c r="H143" s="3">
        <v>1241</v>
      </c>
      <c r="I143" s="3">
        <v>4086</v>
      </c>
      <c r="J143" s="3" t="s">
        <v>12</v>
      </c>
      <c r="K143" s="3" t="s">
        <v>30</v>
      </c>
      <c r="L143" s="3" t="s">
        <v>16</v>
      </c>
      <c r="M143" s="3">
        <v>50</v>
      </c>
      <c r="N143" s="4">
        <v>2.0099999999999998</v>
      </c>
      <c r="V143" s="4">
        <v>2.2799999999999998</v>
      </c>
      <c r="W143" s="3">
        <v>3466</v>
      </c>
    </row>
    <row r="144" spans="7:23" ht="15" customHeight="1" x14ac:dyDescent="0.25">
      <c r="G144" s="3">
        <f>5-30-22</f>
        <v>-47</v>
      </c>
      <c r="H144" s="3">
        <v>1242</v>
      </c>
      <c r="I144" s="3">
        <v>4087</v>
      </c>
      <c r="J144" s="3" t="s">
        <v>12</v>
      </c>
      <c r="K144" s="3" t="s">
        <v>30</v>
      </c>
      <c r="L144" s="3" t="s">
        <v>14</v>
      </c>
      <c r="M144" s="3">
        <v>50</v>
      </c>
      <c r="N144" s="4">
        <v>2.0299999999999998</v>
      </c>
      <c r="V144" s="4">
        <v>2.2999999999999998</v>
      </c>
      <c r="W144" s="3">
        <v>3774</v>
      </c>
    </row>
    <row r="145" spans="7:23" ht="15" customHeight="1" x14ac:dyDescent="0.25">
      <c r="G145" s="3">
        <f>6-5-22</f>
        <v>-21</v>
      </c>
      <c r="H145" s="3">
        <v>1243</v>
      </c>
      <c r="I145" s="3">
        <v>4089</v>
      </c>
      <c r="J145" s="3" t="s">
        <v>12</v>
      </c>
      <c r="K145" s="3" t="s">
        <v>19</v>
      </c>
      <c r="L145" s="3" t="s">
        <v>14</v>
      </c>
      <c r="M145" s="3">
        <v>50</v>
      </c>
      <c r="N145" s="4">
        <v>2.09</v>
      </c>
      <c r="V145" s="4">
        <v>2.5299999999999998</v>
      </c>
      <c r="W145" s="3">
        <v>3525</v>
      </c>
    </row>
    <row r="146" spans="7:23" ht="15" customHeight="1" x14ac:dyDescent="0.25">
      <c r="G146" s="3">
        <f>7-17-22</f>
        <v>-32</v>
      </c>
      <c r="H146" s="3">
        <v>1246</v>
      </c>
      <c r="I146" s="3">
        <v>4096</v>
      </c>
      <c r="J146" s="3" t="s">
        <v>12</v>
      </c>
      <c r="K146" s="3" t="s">
        <v>19</v>
      </c>
      <c r="L146" s="3" t="s">
        <v>16</v>
      </c>
      <c r="M146" s="3">
        <v>50</v>
      </c>
      <c r="N146" s="4">
        <v>3.34</v>
      </c>
      <c r="V146" s="4">
        <v>3.34</v>
      </c>
      <c r="W146" s="3">
        <v>4096</v>
      </c>
    </row>
    <row r="147" spans="7:23" ht="15" customHeight="1" x14ac:dyDescent="0.25"/>
    <row r="148" spans="7:23" ht="15" customHeight="1" x14ac:dyDescent="0.25"/>
    <row r="149" spans="7:23" ht="15" customHeight="1" x14ac:dyDescent="0.25"/>
    <row r="150" spans="7:23" ht="15" customHeight="1" x14ac:dyDescent="0.25"/>
  </sheetData>
  <sortState xmlns:xlrd2="http://schemas.microsoft.com/office/spreadsheetml/2017/richdata2" ref="V13:W146">
    <sortCondition ref="V13:V146"/>
  </sortState>
  <mergeCells count="1">
    <mergeCell ref="G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WHAT_IF_rcratio_rzeta</vt:lpstr>
      <vt:lpstr>1-10ips_exact_ips_formula</vt:lpstr>
      <vt:lpstr>Sheet6</vt:lpstr>
      <vt:lpstr>Sheet5</vt:lpstr>
      <vt:lpstr>1-10ips_summary_vdb</vt:lpstr>
      <vt:lpstr>1-10ips_summary</vt:lpstr>
      <vt:lpstr>1-10ips_all_data</vt:lpstr>
      <vt:lpstr>50ips_summary</vt:lpstr>
      <vt:lpstr>50ips_all_data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2022-08-20T02:32:43Z</dcterms:created>
  <dcterms:modified xsi:type="dcterms:W3CDTF">2022-08-24T17:20:56Z</dcterms:modified>
</cp:coreProperties>
</file>