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3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4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drawings/drawing7.xml" ContentType="application/vnd.openxmlformats-officedocument.drawing+xml"/>
  <Override PartName="/xl/charts/chart47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67C6CC7B-3F3D-4F94-8AA4-E94176A0E8B5}" xr6:coauthVersionLast="47" xr6:coauthVersionMax="47" xr10:uidLastSave="{00000000-0000-0000-0000-000000000000}"/>
  <bookViews>
    <workbookView xWindow="-120" yWindow="-120" windowWidth="24240" windowHeight="13140" tabRatio="867" firstSheet="2" activeTab="2" xr2:uid="{00000000-000D-0000-FFFF-FFFF00000000}"/>
  </bookViews>
  <sheets>
    <sheet name="rzeta_bkwd_fkr_dipsMiddle ( (3)" sheetId="43" r:id="rId1"/>
    <sheet name="rzeta_bkwd_fkr_dipsMiddle (2)" sheetId="41" r:id="rId2"/>
    <sheet name="rzeta_bkwd_fkr_dipsMiddle" sheetId="40" r:id="rId3"/>
    <sheet name="Sheet2" sheetId="42" r:id="rId4"/>
    <sheet name="rzeta_bkwd_fk_orig" sheetId="14" r:id="rId5"/>
    <sheet name="czeta_bkwd_fkc_USE" sheetId="15" r:id="rId6"/>
    <sheet name="czeta_bkwd_fkc_USE-goodcopy" sheetId="39" r:id="rId7"/>
    <sheet name="rzeta_bkwd_fkr_USE" sheetId="38" r:id="rId8"/>
    <sheet name="rzeta_bkwd_sh" sheetId="11" r:id="rId9"/>
  </sheets>
  <definedNames>
    <definedName name="_xlnm.Print_Area" localSheetId="5">czeta_bkwd_fkc_USE!$F$94:$U$110</definedName>
    <definedName name="_xlnm.Print_Area" localSheetId="6">'czeta_bkwd_fkc_USE-goodcopy'!$F$90:$S$106</definedName>
    <definedName name="_xlnm.Print_Area" localSheetId="4">rzeta_bkwd_fk_orig!#REF!</definedName>
    <definedName name="_xlnm.Print_Area" localSheetId="2">rzeta_bkwd_fkr_dipsMiddle!$B$169:$M$200</definedName>
    <definedName name="_xlnm.Print_Area" localSheetId="0">'rzeta_bkwd_fkr_dipsMiddle ( (3)'!$D$192:$P$209</definedName>
    <definedName name="_xlnm.Print_Area" localSheetId="1">'rzeta_bkwd_fkr_dipsMiddle (2)'!$C$174:$M$196</definedName>
    <definedName name="_xlnm.Print_Area" localSheetId="7">rzeta_bkwd_fkr_USE!$F$87:$U$103</definedName>
    <definedName name="_xlnm.Print_Area" localSheetId="8">rzeta_bkwd_sh!#REF!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4" i="40" l="1"/>
  <c r="M86" i="40"/>
  <c r="M82" i="40"/>
  <c r="P73" i="40"/>
  <c r="O85" i="40"/>
  <c r="M73" i="40"/>
  <c r="Q191" i="40"/>
  <c r="Q190" i="40"/>
  <c r="Q189" i="40"/>
  <c r="Q188" i="40"/>
  <c r="Q187" i="40"/>
  <c r="Q186" i="40"/>
  <c r="Q185" i="40"/>
  <c r="Q184" i="40"/>
  <c r="Q183" i="40"/>
  <c r="Q182" i="40"/>
  <c r="Q181" i="40"/>
  <c r="Q180" i="40"/>
  <c r="M186" i="40"/>
  <c r="M187" i="40"/>
  <c r="M188" i="40"/>
  <c r="M189" i="40"/>
  <c r="M190" i="40"/>
  <c r="M191" i="40"/>
  <c r="M185" i="40"/>
  <c r="M132" i="40"/>
  <c r="M133" i="40"/>
  <c r="M134" i="40"/>
  <c r="M135" i="40"/>
  <c r="M136" i="40"/>
  <c r="M137" i="40"/>
  <c r="M131" i="40"/>
  <c r="M72" i="40"/>
  <c r="M74" i="40"/>
  <c r="M75" i="40"/>
  <c r="M76" i="40"/>
  <c r="M77" i="40"/>
  <c r="M71" i="40"/>
  <c r="F70" i="40"/>
  <c r="F69" i="40"/>
  <c r="L194" i="40"/>
  <c r="L193" i="40"/>
  <c r="L140" i="40"/>
  <c r="L139" i="40"/>
  <c r="L195" i="40"/>
  <c r="L141" i="40"/>
  <c r="G83" i="40"/>
  <c r="G82" i="40"/>
  <c r="I73" i="40"/>
  <c r="F157" i="40"/>
  <c r="F158" i="40"/>
  <c r="F159" i="40"/>
  <c r="F160" i="40"/>
  <c r="F161" i="40"/>
  <c r="F162" i="40"/>
  <c r="F156" i="40"/>
  <c r="BH124" i="40"/>
  <c r="Z190" i="40"/>
  <c r="Z189" i="40"/>
  <c r="Z186" i="40"/>
  <c r="Z185" i="40"/>
  <c r="Z182" i="40"/>
  <c r="Z181" i="40"/>
  <c r="Z178" i="40"/>
  <c r="Z177" i="40"/>
  <c r="Z174" i="40"/>
  <c r="Z173" i="40"/>
  <c r="BA124" i="40"/>
  <c r="Y50" i="40"/>
  <c r="F217" i="40"/>
  <c r="I183" i="40"/>
  <c r="J183" i="40" s="1"/>
  <c r="K183" i="40" s="1"/>
  <c r="L183" i="40" s="1"/>
  <c r="I184" i="40"/>
  <c r="J184" i="40" s="1"/>
  <c r="K184" i="40" s="1"/>
  <c r="L184" i="40" s="1"/>
  <c r="I187" i="40"/>
  <c r="AM175" i="40"/>
  <c r="AF175" i="40"/>
  <c r="E181" i="40"/>
  <c r="E182" i="40"/>
  <c r="E183" i="40"/>
  <c r="E184" i="40"/>
  <c r="E185" i="40"/>
  <c r="E186" i="40"/>
  <c r="E187" i="40"/>
  <c r="E188" i="40"/>
  <c r="E189" i="40"/>
  <c r="E190" i="40"/>
  <c r="E191" i="40"/>
  <c r="E180" i="40"/>
  <c r="D197" i="40"/>
  <c r="D196" i="40"/>
  <c r="D195" i="40"/>
  <c r="D194" i="40"/>
  <c r="D193" i="40"/>
  <c r="D192" i="40"/>
  <c r="D191" i="40"/>
  <c r="I185" i="40" s="1"/>
  <c r="J185" i="40" s="1"/>
  <c r="K185" i="40" s="1"/>
  <c r="L185" i="40" s="1"/>
  <c r="D190" i="40"/>
  <c r="D189" i="40"/>
  <c r="D188" i="40"/>
  <c r="D187" i="40"/>
  <c r="D186" i="40"/>
  <c r="I182" i="40"/>
  <c r="J182" i="40" s="1"/>
  <c r="K182" i="40" s="1"/>
  <c r="L182" i="40" s="1"/>
  <c r="I181" i="40"/>
  <c r="J181" i="40" s="1"/>
  <c r="K181" i="40" s="1"/>
  <c r="L181" i="40" s="1"/>
  <c r="I180" i="40"/>
  <c r="J180" i="40" s="1"/>
  <c r="K180" i="40" s="1"/>
  <c r="L180" i="40" s="1"/>
  <c r="E177" i="40"/>
  <c r="O181" i="40" s="1"/>
  <c r="P181" i="40" s="1"/>
  <c r="I132" i="40"/>
  <c r="J132" i="40" s="1"/>
  <c r="K132" i="40" s="1"/>
  <c r="L132" i="40" s="1"/>
  <c r="E127" i="40"/>
  <c r="E128" i="40"/>
  <c r="E129" i="40"/>
  <c r="E130" i="40"/>
  <c r="E131" i="40"/>
  <c r="E132" i="40"/>
  <c r="E133" i="40"/>
  <c r="E134" i="40"/>
  <c r="E135" i="40"/>
  <c r="E136" i="40"/>
  <c r="E137" i="40"/>
  <c r="AT124" i="40"/>
  <c r="AM124" i="40"/>
  <c r="E126" i="40"/>
  <c r="I71" i="40"/>
  <c r="I72" i="40"/>
  <c r="I75" i="40"/>
  <c r="I76" i="40"/>
  <c r="D133" i="40"/>
  <c r="D134" i="40"/>
  <c r="D135" i="40"/>
  <c r="D136" i="40"/>
  <c r="D137" i="40"/>
  <c r="I131" i="40" s="1"/>
  <c r="I193" i="40" s="1"/>
  <c r="D138" i="40"/>
  <c r="D139" i="40"/>
  <c r="D140" i="40"/>
  <c r="D141" i="40"/>
  <c r="D142" i="40"/>
  <c r="D143" i="40"/>
  <c r="AF124" i="40"/>
  <c r="D132" i="40"/>
  <c r="E123" i="40"/>
  <c r="O127" i="40" s="1"/>
  <c r="P127" i="40" s="1"/>
  <c r="D73" i="40"/>
  <c r="D74" i="40"/>
  <c r="I68" i="40" s="1"/>
  <c r="D75" i="40"/>
  <c r="D76" i="40"/>
  <c r="I70" i="40" s="1"/>
  <c r="D77" i="40"/>
  <c r="D78" i="40"/>
  <c r="D79" i="40"/>
  <c r="D80" i="40"/>
  <c r="I74" i="40" s="1"/>
  <c r="D81" i="40"/>
  <c r="D82" i="40"/>
  <c r="D83" i="40"/>
  <c r="D72" i="40"/>
  <c r="I66" i="40" s="1"/>
  <c r="AF63" i="40"/>
  <c r="R47" i="40"/>
  <c r="S47" i="40"/>
  <c r="U47" i="40" s="1"/>
  <c r="H73" i="40" s="1"/>
  <c r="R48" i="40"/>
  <c r="S48" i="40"/>
  <c r="U48" i="40" s="1"/>
  <c r="H74" i="40" s="1"/>
  <c r="R49" i="40"/>
  <c r="S49" i="40"/>
  <c r="U49" i="40" s="1"/>
  <c r="H75" i="40" s="1"/>
  <c r="R50" i="40"/>
  <c r="S50" i="40"/>
  <c r="U50" i="40" s="1"/>
  <c r="H76" i="40" s="1"/>
  <c r="R51" i="40"/>
  <c r="S51" i="40"/>
  <c r="U51" i="40" s="1"/>
  <c r="H77" i="40" s="1"/>
  <c r="O32" i="40"/>
  <c r="S32" i="40"/>
  <c r="O33" i="40"/>
  <c r="S33" i="40"/>
  <c r="O31" i="40"/>
  <c r="S31" i="40"/>
  <c r="O29" i="40"/>
  <c r="S29" i="40"/>
  <c r="O30" i="40"/>
  <c r="S30" i="40"/>
  <c r="O28" i="40"/>
  <c r="S28" i="40"/>
  <c r="R46" i="40"/>
  <c r="S46" i="40"/>
  <c r="U46" i="40" s="1"/>
  <c r="H72" i="40" s="1"/>
  <c r="S23" i="40"/>
  <c r="S24" i="40"/>
  <c r="S25" i="40"/>
  <c r="S26" i="40"/>
  <c r="S27" i="40"/>
  <c r="S22" i="40"/>
  <c r="O23" i="40"/>
  <c r="O24" i="40"/>
  <c r="O25" i="40"/>
  <c r="O26" i="40"/>
  <c r="O27" i="40"/>
  <c r="O22" i="40"/>
  <c r="R40" i="40"/>
  <c r="D184" i="43"/>
  <c r="H173" i="43" s="1"/>
  <c r="I173" i="43" s="1"/>
  <c r="J173" i="43" s="1"/>
  <c r="K173" i="43" s="1"/>
  <c r="L173" i="43" s="1"/>
  <c r="D183" i="43"/>
  <c r="D182" i="43"/>
  <c r="D181" i="43"/>
  <c r="H170" i="43" s="1"/>
  <c r="I170" i="43" s="1"/>
  <c r="J170" i="43" s="1"/>
  <c r="K170" i="43" s="1"/>
  <c r="L170" i="43" s="1"/>
  <c r="D175" i="43"/>
  <c r="H169" i="43" s="1"/>
  <c r="I169" i="43" s="1"/>
  <c r="J169" i="43" s="1"/>
  <c r="K169" i="43" s="1"/>
  <c r="L169" i="43" s="1"/>
  <c r="L174" i="43" s="1"/>
  <c r="D174" i="43"/>
  <c r="H168" i="43" s="1"/>
  <c r="I168" i="43" s="1"/>
  <c r="J168" i="43" s="1"/>
  <c r="K168" i="43" s="1"/>
  <c r="L168" i="43" s="1"/>
  <c r="D173" i="43"/>
  <c r="H167" i="43" s="1"/>
  <c r="I167" i="43" s="1"/>
  <c r="J167" i="43" s="1"/>
  <c r="K167" i="43" s="1"/>
  <c r="L167" i="43" s="1"/>
  <c r="H172" i="43"/>
  <c r="I172" i="43" s="1"/>
  <c r="J172" i="43" s="1"/>
  <c r="K172" i="43" s="1"/>
  <c r="L172" i="43" s="1"/>
  <c r="D172" i="43"/>
  <c r="I171" i="43"/>
  <c r="J171" i="43" s="1"/>
  <c r="K171" i="43" s="1"/>
  <c r="L171" i="43" s="1"/>
  <c r="H171" i="43"/>
  <c r="D171" i="43"/>
  <c r="H165" i="43" s="1"/>
  <c r="I165" i="43" s="1"/>
  <c r="J165" i="43" s="1"/>
  <c r="K165" i="43" s="1"/>
  <c r="L165" i="43" s="1"/>
  <c r="D170" i="43"/>
  <c r="D169" i="43"/>
  <c r="H163" i="43" s="1"/>
  <c r="I163" i="43" s="1"/>
  <c r="J163" i="43" s="1"/>
  <c r="K163" i="43" s="1"/>
  <c r="L163" i="43" s="1"/>
  <c r="D168" i="43"/>
  <c r="H162" i="43" s="1"/>
  <c r="I162" i="43" s="1"/>
  <c r="J162" i="43" s="1"/>
  <c r="K162" i="43" s="1"/>
  <c r="L162" i="43" s="1"/>
  <c r="H166" i="43"/>
  <c r="I166" i="43" s="1"/>
  <c r="J166" i="43" s="1"/>
  <c r="K166" i="43" s="1"/>
  <c r="L166" i="43" s="1"/>
  <c r="H164" i="43"/>
  <c r="I164" i="43" s="1"/>
  <c r="J164" i="43" s="1"/>
  <c r="K164" i="43" s="1"/>
  <c r="L164" i="43" s="1"/>
  <c r="E163" i="43"/>
  <c r="E140" i="43"/>
  <c r="D110" i="43"/>
  <c r="D109" i="43"/>
  <c r="D108" i="43"/>
  <c r="D107" i="43"/>
  <c r="D106" i="43"/>
  <c r="D105" i="43"/>
  <c r="H99" i="43" s="1"/>
  <c r="I99" i="43" s="1"/>
  <c r="H104" i="43"/>
  <c r="I104" i="43" s="1"/>
  <c r="D104" i="43"/>
  <c r="H103" i="43"/>
  <c r="I103" i="43" s="1"/>
  <c r="D103" i="43"/>
  <c r="H102" i="43"/>
  <c r="I102" i="43" s="1"/>
  <c r="D102" i="43"/>
  <c r="H101" i="43"/>
  <c r="I101" i="43" s="1"/>
  <c r="D101" i="43"/>
  <c r="H100" i="43"/>
  <c r="I100" i="43" s="1"/>
  <c r="D100" i="43"/>
  <c r="D99" i="43"/>
  <c r="J98" i="43"/>
  <c r="K98" i="43" s="1"/>
  <c r="L98" i="43" s="1"/>
  <c r="K202" i="43" s="1"/>
  <c r="I98" i="43"/>
  <c r="I144" i="43" s="1"/>
  <c r="H98" i="43"/>
  <c r="H97" i="43"/>
  <c r="H96" i="43"/>
  <c r="I95" i="43"/>
  <c r="I141" i="43" s="1"/>
  <c r="H95" i="43"/>
  <c r="H94" i="43"/>
  <c r="E94" i="43"/>
  <c r="H93" i="43"/>
  <c r="O72" i="43"/>
  <c r="P72" i="43" s="1"/>
  <c r="J72" i="43"/>
  <c r="E71" i="43"/>
  <c r="D64" i="43"/>
  <c r="D63" i="43"/>
  <c r="D62" i="43"/>
  <c r="D61" i="43"/>
  <c r="D60" i="43"/>
  <c r="H54" i="43" s="1"/>
  <c r="I54" i="43" s="1"/>
  <c r="D59" i="43"/>
  <c r="H58" i="43"/>
  <c r="I58" i="43" s="1"/>
  <c r="D58" i="43"/>
  <c r="H57" i="43"/>
  <c r="I57" i="43" s="1"/>
  <c r="D57" i="43"/>
  <c r="H51" i="43" s="1"/>
  <c r="H56" i="43"/>
  <c r="I56" i="43" s="1"/>
  <c r="D56" i="43"/>
  <c r="H55" i="43"/>
  <c r="I55" i="43" s="1"/>
  <c r="D55" i="43"/>
  <c r="D54" i="43"/>
  <c r="H53" i="43"/>
  <c r="I53" i="43" s="1"/>
  <c r="D53" i="43"/>
  <c r="H52" i="43"/>
  <c r="I50" i="43"/>
  <c r="J50" i="43" s="1"/>
  <c r="K50" i="43" s="1"/>
  <c r="L50" i="43" s="1"/>
  <c r="H75" i="43" s="1"/>
  <c r="K75" i="43" s="1"/>
  <c r="M75" i="43" s="1"/>
  <c r="N75" i="43" s="1"/>
  <c r="H50" i="43"/>
  <c r="H49" i="43"/>
  <c r="H48" i="43"/>
  <c r="E48" i="43"/>
  <c r="I47" i="43"/>
  <c r="J47" i="43" s="1"/>
  <c r="K47" i="43" s="1"/>
  <c r="L47" i="43" s="1"/>
  <c r="H72" i="43" s="1"/>
  <c r="K72" i="43" s="1"/>
  <c r="M72" i="43" s="1"/>
  <c r="N72" i="43" s="1"/>
  <c r="H47" i="43"/>
  <c r="F38" i="43"/>
  <c r="F37" i="43"/>
  <c r="T36" i="43"/>
  <c r="U36" i="43" s="1"/>
  <c r="S36" i="43"/>
  <c r="L36" i="43"/>
  <c r="M36" i="43" s="1"/>
  <c r="K36" i="43"/>
  <c r="F36" i="43"/>
  <c r="I52" i="43" s="1"/>
  <c r="T35" i="43"/>
  <c r="U35" i="43" s="1"/>
  <c r="S35" i="43"/>
  <c r="L35" i="43"/>
  <c r="M35" i="43" s="1"/>
  <c r="K35" i="43"/>
  <c r="G35" i="43"/>
  <c r="F35" i="43"/>
  <c r="I97" i="43" s="1"/>
  <c r="T34" i="43"/>
  <c r="U34" i="43" s="1"/>
  <c r="S34" i="43"/>
  <c r="L34" i="43"/>
  <c r="M34" i="43" s="1"/>
  <c r="K34" i="43"/>
  <c r="F34" i="43"/>
  <c r="G34" i="43" s="1"/>
  <c r="T33" i="43"/>
  <c r="U33" i="43" s="1"/>
  <c r="S33" i="43"/>
  <c r="L33" i="43"/>
  <c r="M33" i="43" s="1"/>
  <c r="K33" i="43"/>
  <c r="G33" i="43"/>
  <c r="F33" i="43"/>
  <c r="I49" i="43" s="1"/>
  <c r="T32" i="43"/>
  <c r="U32" i="43" s="1"/>
  <c r="S32" i="43"/>
  <c r="L32" i="43"/>
  <c r="M32" i="43" s="1"/>
  <c r="K32" i="43"/>
  <c r="F32" i="43"/>
  <c r="I94" i="43" s="1"/>
  <c r="T31" i="43"/>
  <c r="U31" i="43" s="1"/>
  <c r="S31" i="43"/>
  <c r="L31" i="43"/>
  <c r="M31" i="43" s="1"/>
  <c r="K31" i="43"/>
  <c r="G31" i="43"/>
  <c r="F31" i="43"/>
  <c r="I93" i="43" s="1"/>
  <c r="D305" i="40"/>
  <c r="H299" i="40" s="1"/>
  <c r="I299" i="40" s="1"/>
  <c r="J299" i="40" s="1"/>
  <c r="K299" i="40" s="1"/>
  <c r="L299" i="40" s="1"/>
  <c r="D321" i="40"/>
  <c r="H310" i="40" s="1"/>
  <c r="I310" i="40" s="1"/>
  <c r="D320" i="40"/>
  <c r="H309" i="40" s="1"/>
  <c r="I309" i="40" s="1"/>
  <c r="D319" i="40"/>
  <c r="H308" i="40" s="1"/>
  <c r="I308" i="40" s="1"/>
  <c r="D318" i="40"/>
  <c r="H307" i="40" s="1"/>
  <c r="I307" i="40" s="1"/>
  <c r="D312" i="40"/>
  <c r="H306" i="40" s="1"/>
  <c r="D311" i="40"/>
  <c r="H305" i="40" s="1"/>
  <c r="I305" i="40" s="1"/>
  <c r="D310" i="40"/>
  <c r="H304" i="40" s="1"/>
  <c r="I304" i="40" s="1"/>
  <c r="J304" i="40" s="1"/>
  <c r="K304" i="40" s="1"/>
  <c r="L304" i="40" s="1"/>
  <c r="D309" i="40"/>
  <c r="H303" i="40" s="1"/>
  <c r="I303" i="40" s="1"/>
  <c r="J303" i="40" s="1"/>
  <c r="K303" i="40" s="1"/>
  <c r="L303" i="40" s="1"/>
  <c r="D308" i="40"/>
  <c r="H302" i="40" s="1"/>
  <c r="I302" i="40" s="1"/>
  <c r="J302" i="40" s="1"/>
  <c r="K302" i="40" s="1"/>
  <c r="L302" i="40" s="1"/>
  <c r="D307" i="40"/>
  <c r="H301" i="40" s="1"/>
  <c r="I301" i="40" s="1"/>
  <c r="J301" i="40" s="1"/>
  <c r="K301" i="40" s="1"/>
  <c r="L301" i="40" s="1"/>
  <c r="D306" i="40"/>
  <c r="H300" i="40" s="1"/>
  <c r="I300" i="40" s="1"/>
  <c r="J300" i="40" s="1"/>
  <c r="K300" i="40" s="1"/>
  <c r="L300" i="40" s="1"/>
  <c r="E300" i="40"/>
  <c r="E277" i="40"/>
  <c r="E67" i="40"/>
  <c r="O70" i="40" s="1"/>
  <c r="P70" i="40" s="1"/>
  <c r="E231" i="40"/>
  <c r="E99" i="40"/>
  <c r="D247" i="40"/>
  <c r="H241" i="40" s="1"/>
  <c r="I241" i="40" s="1"/>
  <c r="J241" i="40" s="1"/>
  <c r="K241" i="40" s="1"/>
  <c r="L241" i="40" s="1"/>
  <c r="R235" i="40" s="1"/>
  <c r="D246" i="40"/>
  <c r="H240" i="40" s="1"/>
  <c r="I240" i="40" s="1"/>
  <c r="J240" i="40" s="1"/>
  <c r="K240" i="40" s="1"/>
  <c r="L240" i="40" s="1"/>
  <c r="K344" i="40" s="1"/>
  <c r="D245" i="40"/>
  <c r="H239" i="40" s="1"/>
  <c r="I239" i="40" s="1"/>
  <c r="I285" i="40" s="1"/>
  <c r="D244" i="40"/>
  <c r="H238" i="40" s="1"/>
  <c r="I238" i="40" s="1"/>
  <c r="J238" i="40" s="1"/>
  <c r="K238" i="40" s="1"/>
  <c r="L238" i="40" s="1"/>
  <c r="K342" i="40" s="1"/>
  <c r="D243" i="40"/>
  <c r="H237" i="40" s="1"/>
  <c r="I237" i="40" s="1"/>
  <c r="J237" i="40" s="1"/>
  <c r="K237" i="40" s="1"/>
  <c r="L237" i="40" s="1"/>
  <c r="K341" i="40" s="1"/>
  <c r="D242" i="40"/>
  <c r="H236" i="40" s="1"/>
  <c r="I236" i="40" s="1"/>
  <c r="J236" i="40" s="1"/>
  <c r="K236" i="40" s="1"/>
  <c r="L236" i="40" s="1"/>
  <c r="K340" i="40" s="1"/>
  <c r="D241" i="40"/>
  <c r="H235" i="40" s="1"/>
  <c r="D240" i="40"/>
  <c r="H234" i="40" s="1"/>
  <c r="D239" i="40"/>
  <c r="H233" i="40" s="1"/>
  <c r="D238" i="40"/>
  <c r="H232" i="40" s="1"/>
  <c r="D237" i="40"/>
  <c r="H231" i="40" s="1"/>
  <c r="D236" i="40"/>
  <c r="H230" i="40" s="1"/>
  <c r="AT160" i="41"/>
  <c r="BF158" i="41"/>
  <c r="BG158" i="41" s="1"/>
  <c r="BE158" i="41"/>
  <c r="AY158" i="41"/>
  <c r="AZ158" i="41" s="1"/>
  <c r="AX158" i="41"/>
  <c r="AT158" i="41"/>
  <c r="AV158" i="41" s="1"/>
  <c r="BA158" i="41" s="1"/>
  <c r="BB158" i="41" s="1"/>
  <c r="AS158" i="41"/>
  <c r="BE157" i="41"/>
  <c r="BF157" i="41" s="1"/>
  <c r="BG157" i="41" s="1"/>
  <c r="AX157" i="41"/>
  <c r="AT157" i="41"/>
  <c r="AY157" i="41" s="1"/>
  <c r="AZ157" i="41" s="1"/>
  <c r="AS157" i="41"/>
  <c r="BE156" i="41"/>
  <c r="BF156" i="41" s="1"/>
  <c r="BG156" i="41" s="1"/>
  <c r="AX156" i="41"/>
  <c r="AT156" i="41"/>
  <c r="AY156" i="41" s="1"/>
  <c r="AZ156" i="41" s="1"/>
  <c r="AS156" i="41"/>
  <c r="X156" i="41"/>
  <c r="BE155" i="41"/>
  <c r="BF155" i="41" s="1"/>
  <c r="BG155" i="41" s="1"/>
  <c r="AX155" i="41"/>
  <c r="AV155" i="41"/>
  <c r="BA155" i="41" s="1"/>
  <c r="BB155" i="41" s="1"/>
  <c r="AT155" i="41"/>
  <c r="AY155" i="41" s="1"/>
  <c r="AZ155" i="41" s="1"/>
  <c r="AS155" i="41"/>
  <c r="X155" i="41"/>
  <c r="I155" i="41"/>
  <c r="BE154" i="41"/>
  <c r="BF154" i="41" s="1"/>
  <c r="BG154" i="41" s="1"/>
  <c r="BH154" i="41" s="1"/>
  <c r="AX154" i="41"/>
  <c r="AY154" i="41" s="1"/>
  <c r="AZ154" i="41" s="1"/>
  <c r="AV154" i="41"/>
  <c r="AV159" i="41" s="1"/>
  <c r="AT154" i="41"/>
  <c r="AT159" i="41" s="1"/>
  <c r="AS154" i="41"/>
  <c r="X154" i="41"/>
  <c r="BF153" i="41"/>
  <c r="BG153" i="41" s="1"/>
  <c r="BE153" i="41"/>
  <c r="AX153" i="41"/>
  <c r="AV153" i="41"/>
  <c r="BA153" i="41" s="1"/>
  <c r="BB153" i="41" s="1"/>
  <c r="AT153" i="41"/>
  <c r="AY153" i="41" s="1"/>
  <c r="AZ153" i="41" s="1"/>
  <c r="AS153" i="41"/>
  <c r="X153" i="41"/>
  <c r="BE152" i="41"/>
  <c r="BF152" i="41" s="1"/>
  <c r="BG152" i="41" s="1"/>
  <c r="AX152" i="41"/>
  <c r="AT152" i="41"/>
  <c r="AY152" i="41" s="1"/>
  <c r="AZ152" i="41" s="1"/>
  <c r="AS152" i="41"/>
  <c r="X152" i="41"/>
  <c r="AT151" i="41"/>
  <c r="AS151" i="41"/>
  <c r="X151" i="41"/>
  <c r="AT150" i="41"/>
  <c r="AS150" i="41"/>
  <c r="X150" i="41"/>
  <c r="AT149" i="41"/>
  <c r="AS149" i="41"/>
  <c r="X149" i="41"/>
  <c r="AT148" i="41"/>
  <c r="AS148" i="41"/>
  <c r="X148" i="41"/>
  <c r="AT147" i="41"/>
  <c r="AS147" i="41"/>
  <c r="X147" i="41"/>
  <c r="X146" i="41"/>
  <c r="AN145" i="41"/>
  <c r="X145" i="41"/>
  <c r="AT144" i="41"/>
  <c r="AC143" i="41"/>
  <c r="BG123" i="41"/>
  <c r="BF123" i="41"/>
  <c r="BE123" i="41"/>
  <c r="AX123" i="41"/>
  <c r="AK123" i="41"/>
  <c r="BE122" i="41"/>
  <c r="BF122" i="41" s="1"/>
  <c r="BG122" i="41" s="1"/>
  <c r="AX122" i="41"/>
  <c r="AK122" i="41"/>
  <c r="H122" i="41"/>
  <c r="I122" i="41" s="1"/>
  <c r="M122" i="41" s="1"/>
  <c r="BE121" i="41"/>
  <c r="BF121" i="41" s="1"/>
  <c r="BG121" i="41" s="1"/>
  <c r="AX121" i="41"/>
  <c r="AK121" i="41"/>
  <c r="H121" i="41"/>
  <c r="I121" i="41" s="1"/>
  <c r="M121" i="41" s="1"/>
  <c r="BE120" i="41"/>
  <c r="BF120" i="41" s="1"/>
  <c r="BG120" i="41" s="1"/>
  <c r="AX120" i="41"/>
  <c r="AK120" i="41"/>
  <c r="BE119" i="41"/>
  <c r="BF119" i="41" s="1"/>
  <c r="BG119" i="41" s="1"/>
  <c r="AX119" i="41"/>
  <c r="AK119" i="41"/>
  <c r="I119" i="41"/>
  <c r="BF118" i="41"/>
  <c r="BG118" i="41" s="1"/>
  <c r="BE118" i="41"/>
  <c r="AX118" i="41"/>
  <c r="AK118" i="41"/>
  <c r="J118" i="41"/>
  <c r="K118" i="41" s="1"/>
  <c r="L118" i="41" s="1"/>
  <c r="I118" i="41"/>
  <c r="M118" i="41" s="1"/>
  <c r="H118" i="41"/>
  <c r="BF117" i="41"/>
  <c r="BG117" i="41" s="1"/>
  <c r="BE117" i="41"/>
  <c r="AX117" i="41"/>
  <c r="AK117" i="41"/>
  <c r="M116" i="41"/>
  <c r="H113" i="41"/>
  <c r="I113" i="41" s="1"/>
  <c r="AF112" i="41"/>
  <c r="N91" i="41"/>
  <c r="N89" i="41"/>
  <c r="N86" i="41"/>
  <c r="N83" i="41"/>
  <c r="N81" i="41"/>
  <c r="I80" i="41"/>
  <c r="I56" i="41"/>
  <c r="J56" i="41" s="1"/>
  <c r="K56" i="41" s="1"/>
  <c r="L56" i="41" s="1"/>
  <c r="I55" i="41"/>
  <c r="J55" i="41" s="1"/>
  <c r="K55" i="41" s="1"/>
  <c r="L55" i="41" s="1"/>
  <c r="K54" i="41"/>
  <c r="L54" i="41" s="1"/>
  <c r="G89" i="41" s="1"/>
  <c r="J89" i="41" s="1"/>
  <c r="L89" i="41" s="1"/>
  <c r="M89" i="41" s="1"/>
  <c r="J54" i="41"/>
  <c r="I54" i="41"/>
  <c r="AF121" i="41" s="1"/>
  <c r="I53" i="41"/>
  <c r="N88" i="41" s="1"/>
  <c r="J52" i="41"/>
  <c r="K52" i="41" s="1"/>
  <c r="L52" i="41" s="1"/>
  <c r="I52" i="41"/>
  <c r="H119" i="41" s="1"/>
  <c r="J51" i="41"/>
  <c r="K51" i="41" s="1"/>
  <c r="L51" i="41" s="1"/>
  <c r="I51" i="41"/>
  <c r="AF118" i="41" s="1"/>
  <c r="I50" i="41"/>
  <c r="AF117" i="41" s="1"/>
  <c r="I49" i="41"/>
  <c r="H116" i="41" s="1"/>
  <c r="I116" i="41" s="1"/>
  <c r="J116" i="41" s="1"/>
  <c r="K116" i="41" s="1"/>
  <c r="L116" i="41" s="1"/>
  <c r="I48" i="41"/>
  <c r="I46" i="41"/>
  <c r="AF113" i="41" s="1"/>
  <c r="I45" i="41"/>
  <c r="N80" i="41" s="1"/>
  <c r="R36" i="41"/>
  <c r="R35" i="41"/>
  <c r="AF34" i="41"/>
  <c r="AG34" i="41" s="1"/>
  <c r="AE34" i="41"/>
  <c r="Y34" i="41"/>
  <c r="X34" i="41"/>
  <c r="W34" i="41"/>
  <c r="R34" i="41"/>
  <c r="S34" i="41" s="1"/>
  <c r="AF33" i="41"/>
  <c r="AG33" i="41" s="1"/>
  <c r="AE33" i="41"/>
  <c r="Y33" i="41"/>
  <c r="X33" i="41"/>
  <c r="W33" i="41"/>
  <c r="S33" i="41"/>
  <c r="R33" i="41"/>
  <c r="AF32" i="41"/>
  <c r="AG32" i="41" s="1"/>
  <c r="AE32" i="41"/>
  <c r="Y32" i="41"/>
  <c r="X32" i="41"/>
  <c r="W32" i="41"/>
  <c r="R32" i="41"/>
  <c r="S32" i="41" s="1"/>
  <c r="AF31" i="41"/>
  <c r="AG31" i="41" s="1"/>
  <c r="AE31" i="41"/>
  <c r="Y31" i="41"/>
  <c r="X31" i="41"/>
  <c r="W31" i="41"/>
  <c r="S31" i="41"/>
  <c r="R31" i="41"/>
  <c r="I47" i="41" s="1"/>
  <c r="AF30" i="41"/>
  <c r="AG30" i="41" s="1"/>
  <c r="AE30" i="41"/>
  <c r="Y30" i="41"/>
  <c r="X30" i="41"/>
  <c r="W30" i="41"/>
  <c r="R30" i="41"/>
  <c r="S30" i="41" s="1"/>
  <c r="AF29" i="41"/>
  <c r="AG29" i="41" s="1"/>
  <c r="AE29" i="41"/>
  <c r="Y29" i="41"/>
  <c r="X29" i="41"/>
  <c r="W29" i="41"/>
  <c r="S29" i="41"/>
  <c r="R29" i="41"/>
  <c r="S45" i="40"/>
  <c r="U45" i="40" s="1"/>
  <c r="H71" i="40" s="1"/>
  <c r="R45" i="40"/>
  <c r="S44" i="40"/>
  <c r="U44" i="40" s="1"/>
  <c r="H70" i="40" s="1"/>
  <c r="R44" i="40"/>
  <c r="S43" i="40"/>
  <c r="V43" i="40" s="1"/>
  <c r="H183" i="40" s="1"/>
  <c r="R43" i="40"/>
  <c r="S42" i="40"/>
  <c r="V42" i="40" s="1"/>
  <c r="H182" i="40" s="1"/>
  <c r="R42" i="40"/>
  <c r="S41" i="40"/>
  <c r="U41" i="40" s="1"/>
  <c r="H67" i="40" s="1"/>
  <c r="R41" i="40"/>
  <c r="S40" i="40"/>
  <c r="V40" i="40" s="1"/>
  <c r="H180" i="40" s="1"/>
  <c r="I232" i="40"/>
  <c r="J232" i="40" s="1"/>
  <c r="K232" i="40" s="1"/>
  <c r="L232" i="40" s="1"/>
  <c r="K336" i="40" s="1"/>
  <c r="J100" i="40"/>
  <c r="AO117" i="15"/>
  <c r="AO111" i="15"/>
  <c r="AO108" i="15"/>
  <c r="AO95" i="15"/>
  <c r="AO89" i="15"/>
  <c r="AO86" i="15"/>
  <c r="AO67" i="15"/>
  <c r="AO73" i="15"/>
  <c r="AO64" i="15"/>
  <c r="AR64" i="15"/>
  <c r="AR73" i="15"/>
  <c r="AS73" i="15" s="1"/>
  <c r="AS72" i="15"/>
  <c r="AR72" i="15"/>
  <c r="AR71" i="15"/>
  <c r="AS71" i="15" s="1"/>
  <c r="AR70" i="15"/>
  <c r="AS70" i="15" s="1"/>
  <c r="AR69" i="15"/>
  <c r="AS69" i="15" s="1"/>
  <c r="AR68" i="15"/>
  <c r="AS68" i="15" s="1"/>
  <c r="AR67" i="15"/>
  <c r="AS67" i="15" s="1"/>
  <c r="AR66" i="15"/>
  <c r="AS66" i="15" s="1"/>
  <c r="AR65" i="15"/>
  <c r="AS65" i="15" s="1"/>
  <c r="AS64" i="15"/>
  <c r="AR117" i="15"/>
  <c r="AS117" i="15" s="1"/>
  <c r="AS116" i="15"/>
  <c r="AR116" i="15"/>
  <c r="AR115" i="15"/>
  <c r="AS115" i="15" s="1"/>
  <c r="AR114" i="15"/>
  <c r="AS114" i="15" s="1"/>
  <c r="AR113" i="15"/>
  <c r="AS113" i="15" s="1"/>
  <c r="AR112" i="15"/>
  <c r="AS112" i="15" s="1"/>
  <c r="AR111" i="15"/>
  <c r="AS111" i="15" s="1"/>
  <c r="AR110" i="15"/>
  <c r="AS110" i="15" s="1"/>
  <c r="AR109" i="15"/>
  <c r="AS109" i="15" s="1"/>
  <c r="AS108" i="15"/>
  <c r="AR108" i="15"/>
  <c r="AS95" i="15"/>
  <c r="AS92" i="15"/>
  <c r="AG117" i="15"/>
  <c r="AI117" i="15" s="1"/>
  <c r="AG116" i="15"/>
  <c r="AI116" i="15" s="1"/>
  <c r="AG115" i="15"/>
  <c r="AI115" i="15" s="1"/>
  <c r="AG114" i="15"/>
  <c r="AI114" i="15" s="1"/>
  <c r="AG113" i="15"/>
  <c r="AI113" i="15" s="1"/>
  <c r="AG112" i="15"/>
  <c r="AI112" i="15" s="1"/>
  <c r="AG111" i="15"/>
  <c r="AI111" i="15" s="1"/>
  <c r="AG110" i="15"/>
  <c r="AI110" i="15" s="1"/>
  <c r="AG109" i="15"/>
  <c r="AI109" i="15" s="1"/>
  <c r="AG108" i="15"/>
  <c r="AI108" i="15" s="1"/>
  <c r="AG107" i="15"/>
  <c r="AI107" i="15" s="1"/>
  <c r="AG106" i="15"/>
  <c r="AI106" i="15" s="1"/>
  <c r="AF106" i="15"/>
  <c r="AR86" i="15"/>
  <c r="AS86" i="15" s="1"/>
  <c r="AR87" i="15"/>
  <c r="AS87" i="15" s="1"/>
  <c r="AR88" i="15"/>
  <c r="AS88" i="15" s="1"/>
  <c r="AR89" i="15"/>
  <c r="AS89" i="15" s="1"/>
  <c r="AR90" i="15"/>
  <c r="AS90" i="15" s="1"/>
  <c r="AR91" i="15"/>
  <c r="AS91" i="15" s="1"/>
  <c r="AR92" i="15"/>
  <c r="AR93" i="15"/>
  <c r="AS93" i="15" s="1"/>
  <c r="AR94" i="15"/>
  <c r="AS94" i="15" s="1"/>
  <c r="AR95" i="15"/>
  <c r="AG95" i="15"/>
  <c r="AI95" i="15" s="1"/>
  <c r="AG94" i="15"/>
  <c r="AI94" i="15" s="1"/>
  <c r="AG93" i="15"/>
  <c r="AI93" i="15" s="1"/>
  <c r="AG92" i="15"/>
  <c r="AI92" i="15" s="1"/>
  <c r="AG91" i="15"/>
  <c r="AI91" i="15" s="1"/>
  <c r="AG90" i="15"/>
  <c r="AI90" i="15" s="1"/>
  <c r="AG89" i="15"/>
  <c r="AI89" i="15" s="1"/>
  <c r="AG88" i="15"/>
  <c r="AI88" i="15" s="1"/>
  <c r="AG87" i="15"/>
  <c r="AI87" i="15" s="1"/>
  <c r="AG86" i="15"/>
  <c r="AI86" i="15" s="1"/>
  <c r="AG85" i="15"/>
  <c r="AI85" i="15" s="1"/>
  <c r="AG84" i="15"/>
  <c r="AI84" i="15" s="1"/>
  <c r="AF84" i="15"/>
  <c r="AF62" i="15"/>
  <c r="AG63" i="15" s="1"/>
  <c r="AI63" i="15" s="1"/>
  <c r="R12" i="14"/>
  <c r="S12" i="14" s="1"/>
  <c r="R13" i="14"/>
  <c r="R14" i="14"/>
  <c r="R15" i="14"/>
  <c r="R16" i="14"/>
  <c r="R17" i="14"/>
  <c r="R18" i="14"/>
  <c r="S18" i="14" s="1"/>
  <c r="R19" i="14"/>
  <c r="R20" i="14"/>
  <c r="S20" i="14" s="1"/>
  <c r="R21" i="14"/>
  <c r="S21" i="14" s="1"/>
  <c r="R22" i="14"/>
  <c r="S22" i="14" s="1"/>
  <c r="R23" i="14"/>
  <c r="S23" i="14" s="1"/>
  <c r="S13" i="14"/>
  <c r="S14" i="14"/>
  <c r="S15" i="14"/>
  <c r="S16" i="14"/>
  <c r="S17" i="14"/>
  <c r="S19" i="14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29" i="15"/>
  <c r="O73" i="40" l="1"/>
  <c r="O71" i="40"/>
  <c r="P71" i="40" s="1"/>
  <c r="I139" i="40"/>
  <c r="I140" i="40"/>
  <c r="I69" i="40"/>
  <c r="J69" i="40" s="1"/>
  <c r="K69" i="40" s="1"/>
  <c r="I194" i="40"/>
  <c r="O180" i="40"/>
  <c r="P180" i="40" s="1"/>
  <c r="O187" i="40"/>
  <c r="P187" i="40" s="1"/>
  <c r="O186" i="40"/>
  <c r="P186" i="40" s="1"/>
  <c r="I186" i="40"/>
  <c r="J186" i="40" s="1"/>
  <c r="K186" i="40" s="1"/>
  <c r="L186" i="40" s="1"/>
  <c r="O191" i="40"/>
  <c r="P191" i="40" s="1"/>
  <c r="O189" i="40"/>
  <c r="P189" i="40" s="1"/>
  <c r="O190" i="40"/>
  <c r="P190" i="40" s="1"/>
  <c r="O185" i="40"/>
  <c r="P185" i="40" s="1"/>
  <c r="O183" i="40"/>
  <c r="P183" i="40" s="1"/>
  <c r="O182" i="40"/>
  <c r="P182" i="40" s="1"/>
  <c r="I188" i="40"/>
  <c r="J188" i="40" s="1"/>
  <c r="K188" i="40" s="1"/>
  <c r="L188" i="40" s="1"/>
  <c r="I189" i="40"/>
  <c r="J189" i="40" s="1"/>
  <c r="K189" i="40" s="1"/>
  <c r="L189" i="40" s="1"/>
  <c r="O188" i="40"/>
  <c r="P188" i="40" s="1"/>
  <c r="O184" i="40"/>
  <c r="P184" i="40" s="1"/>
  <c r="I191" i="40"/>
  <c r="I190" i="40"/>
  <c r="J190" i="40" s="1"/>
  <c r="K190" i="40" s="1"/>
  <c r="L190" i="40" s="1"/>
  <c r="J187" i="40"/>
  <c r="K187" i="40" s="1"/>
  <c r="H131" i="40"/>
  <c r="H133" i="40"/>
  <c r="I126" i="40"/>
  <c r="J126" i="40" s="1"/>
  <c r="K126" i="40" s="1"/>
  <c r="L126" i="40" s="1"/>
  <c r="I136" i="40"/>
  <c r="I130" i="40"/>
  <c r="J130" i="40" s="1"/>
  <c r="K130" i="40" s="1"/>
  <c r="L130" i="40" s="1"/>
  <c r="I129" i="40"/>
  <c r="J129" i="40" s="1"/>
  <c r="K129" i="40" s="1"/>
  <c r="L129" i="40" s="1"/>
  <c r="H135" i="40"/>
  <c r="I133" i="40"/>
  <c r="I128" i="40"/>
  <c r="J128" i="40" s="1"/>
  <c r="K128" i="40" s="1"/>
  <c r="L128" i="40" s="1"/>
  <c r="I137" i="40"/>
  <c r="I199" i="40" s="1"/>
  <c r="I135" i="40"/>
  <c r="I134" i="40"/>
  <c r="J131" i="40"/>
  <c r="K131" i="40" s="1"/>
  <c r="L131" i="40" s="1"/>
  <c r="H134" i="40"/>
  <c r="H128" i="40"/>
  <c r="H127" i="40"/>
  <c r="H130" i="40"/>
  <c r="H129" i="40"/>
  <c r="H126" i="40"/>
  <c r="H137" i="40"/>
  <c r="H136" i="40"/>
  <c r="H132" i="40"/>
  <c r="I127" i="40"/>
  <c r="Q127" i="40" s="1"/>
  <c r="O126" i="40"/>
  <c r="P126" i="40" s="1"/>
  <c r="O130" i="40"/>
  <c r="P130" i="40" s="1"/>
  <c r="O137" i="40"/>
  <c r="P137" i="40" s="1"/>
  <c r="O136" i="40"/>
  <c r="P136" i="40" s="1"/>
  <c r="O135" i="40"/>
  <c r="P135" i="40" s="1"/>
  <c r="O134" i="40"/>
  <c r="P134" i="40" s="1"/>
  <c r="O133" i="40"/>
  <c r="P133" i="40" s="1"/>
  <c r="O132" i="40"/>
  <c r="P132" i="40" s="1"/>
  <c r="Q132" i="40" s="1"/>
  <c r="O131" i="40"/>
  <c r="P131" i="40" s="1"/>
  <c r="O129" i="40"/>
  <c r="P129" i="40" s="1"/>
  <c r="O128" i="40"/>
  <c r="P128" i="40" s="1"/>
  <c r="Q32" i="40"/>
  <c r="P32" i="40" s="1"/>
  <c r="Q70" i="40"/>
  <c r="O66" i="40"/>
  <c r="P66" i="40" s="1"/>
  <c r="Q66" i="40" s="1"/>
  <c r="I77" i="40"/>
  <c r="I67" i="40"/>
  <c r="O101" i="40" s="1"/>
  <c r="Q71" i="40"/>
  <c r="O69" i="40"/>
  <c r="P69" i="40" s="1"/>
  <c r="O68" i="40"/>
  <c r="P68" i="40" s="1"/>
  <c r="O67" i="40"/>
  <c r="P67" i="40" s="1"/>
  <c r="O108" i="40"/>
  <c r="J68" i="40"/>
  <c r="K68" i="40" s="1"/>
  <c r="L68" i="40" s="1"/>
  <c r="O110" i="40"/>
  <c r="O109" i="40"/>
  <c r="J73" i="40"/>
  <c r="K73" i="40" s="1"/>
  <c r="L73" i="40" s="1"/>
  <c r="J72" i="40"/>
  <c r="K72" i="40" s="1"/>
  <c r="L72" i="40" s="1"/>
  <c r="V51" i="40"/>
  <c r="H191" i="40" s="1"/>
  <c r="V47" i="40"/>
  <c r="H187" i="40" s="1"/>
  <c r="V49" i="40"/>
  <c r="H189" i="40" s="1"/>
  <c r="Q29" i="40"/>
  <c r="R29" i="40" s="1"/>
  <c r="Q31" i="40"/>
  <c r="P31" i="40" s="1"/>
  <c r="V50" i="40"/>
  <c r="H190" i="40" s="1"/>
  <c r="V48" i="40"/>
  <c r="H188" i="40" s="1"/>
  <c r="Q33" i="40"/>
  <c r="R33" i="40" s="1"/>
  <c r="Q30" i="40"/>
  <c r="R30" i="40" s="1"/>
  <c r="Q28" i="40"/>
  <c r="R28" i="40" s="1"/>
  <c r="V46" i="40"/>
  <c r="H186" i="40" s="1"/>
  <c r="Q25" i="40"/>
  <c r="P25" i="40" s="1"/>
  <c r="Q23" i="40"/>
  <c r="R23" i="40" s="1"/>
  <c r="Q27" i="40"/>
  <c r="R27" i="40" s="1"/>
  <c r="Q26" i="40"/>
  <c r="R26" i="40" s="1"/>
  <c r="Q24" i="40"/>
  <c r="R24" i="40" s="1"/>
  <c r="Q22" i="40"/>
  <c r="V45" i="40"/>
  <c r="H185" i="40" s="1"/>
  <c r="V44" i="40"/>
  <c r="H184" i="40" s="1"/>
  <c r="V41" i="40"/>
  <c r="H181" i="40" s="1"/>
  <c r="U40" i="40"/>
  <c r="H66" i="40" s="1"/>
  <c r="U43" i="40"/>
  <c r="H69" i="40" s="1"/>
  <c r="U42" i="40"/>
  <c r="H68" i="40" s="1"/>
  <c r="K345" i="40"/>
  <c r="J101" i="43"/>
  <c r="K101" i="43" s="1"/>
  <c r="L101" i="43" s="1"/>
  <c r="K205" i="43" s="1"/>
  <c r="I147" i="43"/>
  <c r="I139" i="43"/>
  <c r="J93" i="43"/>
  <c r="K93" i="43" s="1"/>
  <c r="L93" i="43" s="1"/>
  <c r="K197" i="43" s="1"/>
  <c r="I149" i="43"/>
  <c r="J103" i="43"/>
  <c r="K103" i="43" s="1"/>
  <c r="L103" i="43" s="1"/>
  <c r="K207" i="43" s="1"/>
  <c r="O82" i="43"/>
  <c r="J57" i="43"/>
  <c r="K57" i="43" s="1"/>
  <c r="L57" i="43" s="1"/>
  <c r="H82" i="43" s="1"/>
  <c r="K82" i="43" s="1"/>
  <c r="M82" i="43" s="1"/>
  <c r="N82" i="43" s="1"/>
  <c r="J141" i="43"/>
  <c r="K141" i="43" s="1"/>
  <c r="L141" i="43" s="1"/>
  <c r="M141" i="43"/>
  <c r="N141" i="43" s="1"/>
  <c r="O141" i="43" s="1"/>
  <c r="P141" i="43" s="1"/>
  <c r="I199" i="43" s="1"/>
  <c r="I150" i="43"/>
  <c r="J104" i="43"/>
  <c r="K104" i="43" s="1"/>
  <c r="L104" i="43" s="1"/>
  <c r="I145" i="43"/>
  <c r="J99" i="43"/>
  <c r="K99" i="43" s="1"/>
  <c r="L99" i="43" s="1"/>
  <c r="K203" i="43" s="1"/>
  <c r="J58" i="43"/>
  <c r="K58" i="43" s="1"/>
  <c r="L58" i="43" s="1"/>
  <c r="O83" i="43"/>
  <c r="J94" i="43"/>
  <c r="K94" i="43" s="1"/>
  <c r="L94" i="43" s="1"/>
  <c r="K198" i="43" s="1"/>
  <c r="I140" i="43"/>
  <c r="I143" i="43"/>
  <c r="J97" i="43"/>
  <c r="K97" i="43" s="1"/>
  <c r="L97" i="43" s="1"/>
  <c r="K201" i="43" s="1"/>
  <c r="J54" i="43"/>
  <c r="K54" i="43" s="1"/>
  <c r="L54" i="43" s="1"/>
  <c r="O79" i="43"/>
  <c r="M144" i="43"/>
  <c r="N144" i="43" s="1"/>
  <c r="O144" i="43" s="1"/>
  <c r="P144" i="43" s="1"/>
  <c r="I202" i="43" s="1"/>
  <c r="J144" i="43"/>
  <c r="K144" i="43" s="1"/>
  <c r="L144" i="43" s="1"/>
  <c r="J102" i="43"/>
  <c r="K102" i="43" s="1"/>
  <c r="L102" i="43" s="1"/>
  <c r="K206" i="43" s="1"/>
  <c r="I148" i="43"/>
  <c r="J55" i="43"/>
  <c r="K55" i="43" s="1"/>
  <c r="L55" i="43" s="1"/>
  <c r="H80" i="43" s="1"/>
  <c r="K80" i="43" s="1"/>
  <c r="M80" i="43" s="1"/>
  <c r="N80" i="43" s="1"/>
  <c r="O80" i="43"/>
  <c r="J56" i="43"/>
  <c r="K56" i="43" s="1"/>
  <c r="L56" i="43" s="1"/>
  <c r="H81" i="43" s="1"/>
  <c r="K81" i="43" s="1"/>
  <c r="M81" i="43" s="1"/>
  <c r="N81" i="43" s="1"/>
  <c r="O81" i="43"/>
  <c r="J49" i="43"/>
  <c r="K49" i="43" s="1"/>
  <c r="L49" i="43" s="1"/>
  <c r="H74" i="43" s="1"/>
  <c r="K74" i="43" s="1"/>
  <c r="M74" i="43" s="1"/>
  <c r="N74" i="43" s="1"/>
  <c r="O74" i="43"/>
  <c r="J100" i="43"/>
  <c r="K100" i="43" s="1"/>
  <c r="L100" i="43" s="1"/>
  <c r="I146" i="43"/>
  <c r="O77" i="43"/>
  <c r="J52" i="43"/>
  <c r="K52" i="43" s="1"/>
  <c r="L52" i="43" s="1"/>
  <c r="H77" i="43" s="1"/>
  <c r="K77" i="43" s="1"/>
  <c r="M77" i="43" s="1"/>
  <c r="N77" i="43" s="1"/>
  <c r="J53" i="43"/>
  <c r="K53" i="43" s="1"/>
  <c r="L53" i="43" s="1"/>
  <c r="H78" i="43" s="1"/>
  <c r="K78" i="43" s="1"/>
  <c r="M78" i="43" s="1"/>
  <c r="N78" i="43" s="1"/>
  <c r="O78" i="43"/>
  <c r="O75" i="43"/>
  <c r="P75" i="43" s="1"/>
  <c r="J95" i="43"/>
  <c r="K95" i="43" s="1"/>
  <c r="L95" i="43" s="1"/>
  <c r="K199" i="43" s="1"/>
  <c r="I96" i="43"/>
  <c r="I51" i="43"/>
  <c r="G32" i="43"/>
  <c r="G36" i="43"/>
  <c r="I48" i="43"/>
  <c r="S235" i="40"/>
  <c r="T235" i="40" s="1"/>
  <c r="J307" i="40"/>
  <c r="K307" i="40" s="1"/>
  <c r="L307" i="40" s="1"/>
  <c r="J308" i="40"/>
  <c r="K308" i="40" s="1"/>
  <c r="L308" i="40" s="1"/>
  <c r="J309" i="40"/>
  <c r="K309" i="40" s="1"/>
  <c r="L309" i="40" s="1"/>
  <c r="I306" i="40"/>
  <c r="J306" i="40" s="1"/>
  <c r="K306" i="40" s="1"/>
  <c r="L306" i="40" s="1"/>
  <c r="J305" i="40"/>
  <c r="K305" i="40" s="1"/>
  <c r="L305" i="40" s="1"/>
  <c r="J310" i="40"/>
  <c r="K310" i="40" s="1"/>
  <c r="L310" i="40" s="1"/>
  <c r="R238" i="40"/>
  <c r="S238" i="40" s="1"/>
  <c r="T238" i="40" s="1"/>
  <c r="U238" i="40" s="1"/>
  <c r="R236" i="40"/>
  <c r="S236" i="40" s="1"/>
  <c r="T236" i="40" s="1"/>
  <c r="U236" i="40" s="1"/>
  <c r="R239" i="40"/>
  <c r="S239" i="40" s="1"/>
  <c r="T239" i="40" s="1"/>
  <c r="U239" i="40" s="1"/>
  <c r="R240" i="40"/>
  <c r="S240" i="40" s="1"/>
  <c r="T240" i="40" s="1"/>
  <c r="U240" i="40" s="1"/>
  <c r="I286" i="40"/>
  <c r="M286" i="40" s="1"/>
  <c r="R241" i="40"/>
  <c r="S241" i="40" s="1"/>
  <c r="T241" i="40" s="1"/>
  <c r="U241" i="40" s="1"/>
  <c r="R237" i="40"/>
  <c r="S237" i="40" s="1"/>
  <c r="T237" i="40" s="1"/>
  <c r="U237" i="40" s="1"/>
  <c r="I278" i="40"/>
  <c r="I287" i="40"/>
  <c r="J287" i="40" s="1"/>
  <c r="K287" i="40" s="1"/>
  <c r="L287" i="40" s="1"/>
  <c r="I284" i="40"/>
  <c r="M284" i="40" s="1"/>
  <c r="I283" i="40"/>
  <c r="M283" i="40" s="1"/>
  <c r="I282" i="40"/>
  <c r="J239" i="40"/>
  <c r="K239" i="40" s="1"/>
  <c r="L239" i="40" s="1"/>
  <c r="K343" i="40" s="1"/>
  <c r="I230" i="40"/>
  <c r="I231" i="40"/>
  <c r="I233" i="40"/>
  <c r="I234" i="40"/>
  <c r="I235" i="40"/>
  <c r="L242" i="40"/>
  <c r="G86" i="41"/>
  <c r="J86" i="41" s="1"/>
  <c r="L86" i="41" s="1"/>
  <c r="M86" i="41" s="1"/>
  <c r="O86" i="41" s="1"/>
  <c r="G188" i="41"/>
  <c r="AG118" i="41"/>
  <c r="G192" i="41"/>
  <c r="AG122" i="41"/>
  <c r="G90" i="41"/>
  <c r="J90" i="41" s="1"/>
  <c r="L90" i="41" s="1"/>
  <c r="M90" i="41" s="1"/>
  <c r="AS122" i="41"/>
  <c r="N122" i="41"/>
  <c r="O122" i="41" s="1"/>
  <c r="P122" i="41" s="1"/>
  <c r="N165" i="41"/>
  <c r="N116" i="41"/>
  <c r="O116" i="41" s="1"/>
  <c r="P116" i="41" s="1"/>
  <c r="N159" i="41"/>
  <c r="AS116" i="41"/>
  <c r="AG119" i="41"/>
  <c r="L57" i="41"/>
  <c r="G189" i="41"/>
  <c r="G87" i="41"/>
  <c r="J87" i="41" s="1"/>
  <c r="L87" i="41" s="1"/>
  <c r="M87" i="41" s="1"/>
  <c r="J122" i="41"/>
  <c r="K122" i="41" s="1"/>
  <c r="L122" i="41" s="1"/>
  <c r="O89" i="41"/>
  <c r="G191" i="41"/>
  <c r="AG121" i="41"/>
  <c r="M119" i="41"/>
  <c r="J119" i="41"/>
  <c r="K119" i="41" s="1"/>
  <c r="L119" i="41" s="1"/>
  <c r="J48" i="41"/>
  <c r="K48" i="41" s="1"/>
  <c r="L48" i="41" s="1"/>
  <c r="H115" i="41"/>
  <c r="I115" i="41" s="1"/>
  <c r="AF115" i="41"/>
  <c r="N118" i="41"/>
  <c r="O118" i="41" s="1"/>
  <c r="P118" i="41" s="1"/>
  <c r="N161" i="41"/>
  <c r="AS118" i="41"/>
  <c r="M113" i="41"/>
  <c r="J113" i="41"/>
  <c r="K113" i="41" s="1"/>
  <c r="L113" i="41" s="1"/>
  <c r="H114" i="41"/>
  <c r="I114" i="41" s="1"/>
  <c r="N82" i="41"/>
  <c r="J47" i="41"/>
  <c r="K47" i="41" s="1"/>
  <c r="L47" i="41" s="1"/>
  <c r="AF114" i="41"/>
  <c r="AS121" i="41"/>
  <c r="N164" i="41"/>
  <c r="N121" i="41"/>
  <c r="O121" i="41" s="1"/>
  <c r="P121" i="41" s="1"/>
  <c r="G193" i="41"/>
  <c r="G91" i="41"/>
  <c r="J91" i="41" s="1"/>
  <c r="L91" i="41" s="1"/>
  <c r="M91" i="41" s="1"/>
  <c r="O91" i="41" s="1"/>
  <c r="M56" i="41"/>
  <c r="AG123" i="41"/>
  <c r="J121" i="41"/>
  <c r="K121" i="41" s="1"/>
  <c r="L121" i="41" s="1"/>
  <c r="AT161" i="41"/>
  <c r="AF116" i="41"/>
  <c r="H120" i="41"/>
  <c r="I120" i="41" s="1"/>
  <c r="J45" i="41"/>
  <c r="K45" i="41" s="1"/>
  <c r="L45" i="41" s="1"/>
  <c r="J49" i="41"/>
  <c r="K49" i="41" s="1"/>
  <c r="L49" i="41" s="1"/>
  <c r="AF123" i="41"/>
  <c r="J46" i="41"/>
  <c r="K46" i="41" s="1"/>
  <c r="L46" i="41" s="1"/>
  <c r="J50" i="41"/>
  <c r="K50" i="41" s="1"/>
  <c r="L50" i="41" s="1"/>
  <c r="M50" i="41" s="1"/>
  <c r="N84" i="41"/>
  <c r="BA154" i="41"/>
  <c r="BB154" i="41" s="1"/>
  <c r="BC154" i="41" s="1"/>
  <c r="AV156" i="41"/>
  <c r="BA156" i="41" s="1"/>
  <c r="BB156" i="41" s="1"/>
  <c r="J53" i="41"/>
  <c r="K53" i="41" s="1"/>
  <c r="L53" i="41" s="1"/>
  <c r="H117" i="41"/>
  <c r="I117" i="41" s="1"/>
  <c r="N87" i="41"/>
  <c r="H123" i="41"/>
  <c r="I123" i="41" s="1"/>
  <c r="AV152" i="41"/>
  <c r="AV157" i="41"/>
  <c r="BA157" i="41" s="1"/>
  <c r="BB157" i="41" s="1"/>
  <c r="H112" i="41"/>
  <c r="I112" i="41" s="1"/>
  <c r="AF122" i="41"/>
  <c r="AF119" i="41"/>
  <c r="N90" i="41"/>
  <c r="O90" i="41" s="1"/>
  <c r="AF120" i="41"/>
  <c r="N85" i="41"/>
  <c r="M285" i="40"/>
  <c r="AG71" i="15"/>
  <c r="AI71" i="15" s="1"/>
  <c r="AG69" i="15"/>
  <c r="AI69" i="15" s="1"/>
  <c r="AG70" i="15"/>
  <c r="AI70" i="15" s="1"/>
  <c r="AG66" i="15"/>
  <c r="AI66" i="15" s="1"/>
  <c r="AG62" i="15"/>
  <c r="AI62" i="15" s="1"/>
  <c r="AG72" i="15"/>
  <c r="AI72" i="15" s="1"/>
  <c r="AG68" i="15"/>
  <c r="AI68" i="15" s="1"/>
  <c r="AG67" i="15"/>
  <c r="AI67" i="15" s="1"/>
  <c r="AG65" i="15"/>
  <c r="AI65" i="15" s="1"/>
  <c r="AG73" i="15"/>
  <c r="AI73" i="15" s="1"/>
  <c r="AG64" i="15"/>
  <c r="AI64" i="15" s="1"/>
  <c r="O38" i="39"/>
  <c r="O39" i="39"/>
  <c r="P39" i="39" s="1"/>
  <c r="R39" i="39" s="1"/>
  <c r="S39" i="39" s="1"/>
  <c r="P60" i="39" s="1"/>
  <c r="O40" i="39"/>
  <c r="P40" i="39" s="1"/>
  <c r="R40" i="39" s="1"/>
  <c r="S40" i="39" s="1"/>
  <c r="P61" i="39" s="1"/>
  <c r="O41" i="39"/>
  <c r="P41" i="39" s="1"/>
  <c r="R41" i="39" s="1"/>
  <c r="S41" i="39" s="1"/>
  <c r="P62" i="39" s="1"/>
  <c r="O42" i="39"/>
  <c r="O43" i="39"/>
  <c r="O44" i="39"/>
  <c r="P44" i="39" s="1"/>
  <c r="O45" i="39"/>
  <c r="P45" i="39" s="1"/>
  <c r="R45" i="39" s="1"/>
  <c r="S45" i="39" s="1"/>
  <c r="P66" i="39" s="1"/>
  <c r="O46" i="39"/>
  <c r="P46" i="39" s="1"/>
  <c r="R46" i="39" s="1"/>
  <c r="S46" i="39" s="1"/>
  <c r="P67" i="39" s="1"/>
  <c r="O47" i="39"/>
  <c r="P47" i="39" s="1"/>
  <c r="R47" i="39" s="1"/>
  <c r="S47" i="39" s="1"/>
  <c r="P68" i="39" s="1"/>
  <c r="O48" i="39"/>
  <c r="P48" i="39" s="1"/>
  <c r="O37" i="39"/>
  <c r="D57" i="39"/>
  <c r="D56" i="39"/>
  <c r="D55" i="39"/>
  <c r="P38" i="39"/>
  <c r="R38" i="39" s="1"/>
  <c r="S38" i="39" s="1"/>
  <c r="P59" i="39" s="1"/>
  <c r="P42" i="39"/>
  <c r="R42" i="39" s="1"/>
  <c r="S42" i="39" s="1"/>
  <c r="P63" i="39" s="1"/>
  <c r="P43" i="39"/>
  <c r="R43" i="39" s="1"/>
  <c r="S43" i="39" s="1"/>
  <c r="P64" i="39" s="1"/>
  <c r="P37" i="39"/>
  <c r="R37" i="39" s="1"/>
  <c r="S37" i="39" s="1"/>
  <c r="P58" i="39" s="1"/>
  <c r="P36" i="39"/>
  <c r="O34" i="39"/>
  <c r="F34" i="39"/>
  <c r="F38" i="39"/>
  <c r="G38" i="39" s="1"/>
  <c r="I38" i="39" s="1"/>
  <c r="F39" i="39"/>
  <c r="G39" i="39" s="1"/>
  <c r="I39" i="39" s="1"/>
  <c r="F40" i="39"/>
  <c r="G40" i="39" s="1"/>
  <c r="I40" i="39" s="1"/>
  <c r="F41" i="39"/>
  <c r="G41" i="39" s="1"/>
  <c r="I41" i="39" s="1"/>
  <c r="F42" i="39"/>
  <c r="G42" i="39" s="1"/>
  <c r="I42" i="39" s="1"/>
  <c r="F43" i="39"/>
  <c r="G43" i="39" s="1"/>
  <c r="I43" i="39" s="1"/>
  <c r="F44" i="39"/>
  <c r="G44" i="39" s="1"/>
  <c r="I44" i="39" s="1"/>
  <c r="F45" i="39"/>
  <c r="G45" i="39" s="1"/>
  <c r="I45" i="39" s="1"/>
  <c r="F46" i="39"/>
  <c r="G46" i="39" s="1"/>
  <c r="I46" i="39" s="1"/>
  <c r="F47" i="39"/>
  <c r="G47" i="39" s="1"/>
  <c r="I47" i="39" s="1"/>
  <c r="F48" i="39"/>
  <c r="G48" i="39" s="1"/>
  <c r="I48" i="39" s="1"/>
  <c r="F37" i="39"/>
  <c r="G37" i="39" s="1"/>
  <c r="I37" i="39" s="1"/>
  <c r="F21" i="39"/>
  <c r="F22" i="39"/>
  <c r="G22" i="39" s="1"/>
  <c r="H22" i="39" s="1"/>
  <c r="F23" i="39"/>
  <c r="G23" i="39" s="1"/>
  <c r="F24" i="39"/>
  <c r="F25" i="39"/>
  <c r="G25" i="39" s="1"/>
  <c r="F26" i="39"/>
  <c r="G26" i="39" s="1"/>
  <c r="H26" i="39" s="1"/>
  <c r="F27" i="39"/>
  <c r="F28" i="39"/>
  <c r="F29" i="39"/>
  <c r="F30" i="39"/>
  <c r="G30" i="39" s="1"/>
  <c r="H30" i="39" s="1"/>
  <c r="F31" i="39"/>
  <c r="G31" i="39" s="1"/>
  <c r="F20" i="39"/>
  <c r="G20" i="39" s="1"/>
  <c r="Z31" i="39"/>
  <c r="Z30" i="39"/>
  <c r="Z29" i="39"/>
  <c r="Z28" i="39"/>
  <c r="Z27" i="39"/>
  <c r="Z26" i="39"/>
  <c r="Z25" i="39"/>
  <c r="Z24" i="39"/>
  <c r="Z23" i="39"/>
  <c r="Z22" i="39"/>
  <c r="Z21" i="39"/>
  <c r="Z20" i="39"/>
  <c r="U21" i="39"/>
  <c r="U22" i="39"/>
  <c r="U23" i="39"/>
  <c r="U24" i="39"/>
  <c r="U25" i="39"/>
  <c r="U26" i="39"/>
  <c r="U27" i="39"/>
  <c r="U28" i="39"/>
  <c r="U29" i="39"/>
  <c r="U30" i="39"/>
  <c r="U31" i="39"/>
  <c r="U20" i="39"/>
  <c r="M38" i="39"/>
  <c r="M37" i="39"/>
  <c r="M36" i="39"/>
  <c r="D38" i="39"/>
  <c r="D37" i="39"/>
  <c r="D36" i="39"/>
  <c r="G36" i="39"/>
  <c r="Q54" i="39"/>
  <c r="N54" i="39"/>
  <c r="L81" i="40" l="1"/>
  <c r="J133" i="40"/>
  <c r="K133" i="40" s="1"/>
  <c r="L133" i="40" s="1"/>
  <c r="I195" i="40"/>
  <c r="I141" i="40"/>
  <c r="J136" i="40"/>
  <c r="K136" i="40" s="1"/>
  <c r="L136" i="40" s="1"/>
  <c r="I198" i="40"/>
  <c r="J134" i="40"/>
  <c r="K134" i="40" s="1"/>
  <c r="L134" i="40" s="1"/>
  <c r="I196" i="40"/>
  <c r="J135" i="40"/>
  <c r="K135" i="40" s="1"/>
  <c r="L135" i="40" s="1"/>
  <c r="I197" i="40"/>
  <c r="J137" i="40"/>
  <c r="K137" i="40" s="1"/>
  <c r="L137" i="40" s="1"/>
  <c r="Q67" i="40"/>
  <c r="J191" i="40"/>
  <c r="K191" i="40" s="1"/>
  <c r="L191" i="40" s="1"/>
  <c r="L187" i="40"/>
  <c r="Q134" i="40"/>
  <c r="Q136" i="40"/>
  <c r="Q130" i="40"/>
  <c r="Q129" i="40"/>
  <c r="Q135" i="40"/>
  <c r="Q128" i="40"/>
  <c r="Q133" i="40"/>
  <c r="Q131" i="40"/>
  <c r="J127" i="40"/>
  <c r="K127" i="40" s="1"/>
  <c r="L127" i="40" s="1"/>
  <c r="Q126" i="40"/>
  <c r="Q137" i="40"/>
  <c r="Q69" i="40"/>
  <c r="R32" i="40"/>
  <c r="Q68" i="40"/>
  <c r="J74" i="40"/>
  <c r="K74" i="40" s="1"/>
  <c r="L74" i="40" s="1"/>
  <c r="H108" i="40" s="1"/>
  <c r="J67" i="40"/>
  <c r="K67" i="40" s="1"/>
  <c r="L67" i="40" s="1"/>
  <c r="H101" i="40" s="1"/>
  <c r="O111" i="40"/>
  <c r="J77" i="40"/>
  <c r="K77" i="40" s="1"/>
  <c r="L77" i="40" s="1"/>
  <c r="L80" i="40" s="1"/>
  <c r="H107" i="40"/>
  <c r="K107" i="40" s="1"/>
  <c r="M107" i="40" s="1"/>
  <c r="N107" i="40" s="1"/>
  <c r="P23" i="40"/>
  <c r="O103" i="40"/>
  <c r="O107" i="40"/>
  <c r="R25" i="40"/>
  <c r="J76" i="40"/>
  <c r="K76" i="40" s="1"/>
  <c r="L76" i="40" s="1"/>
  <c r="H110" i="40" s="1"/>
  <c r="P29" i="40"/>
  <c r="R31" i="40"/>
  <c r="P33" i="40"/>
  <c r="P30" i="40"/>
  <c r="P28" i="40"/>
  <c r="P27" i="40"/>
  <c r="P26" i="40"/>
  <c r="P24" i="40"/>
  <c r="P22" i="40"/>
  <c r="R22" i="40"/>
  <c r="L69" i="40"/>
  <c r="H103" i="40" s="1"/>
  <c r="K103" i="40" s="1"/>
  <c r="M103" i="40" s="1"/>
  <c r="N103" i="40" s="1"/>
  <c r="P74" i="43"/>
  <c r="J150" i="43"/>
  <c r="K150" i="43" s="1"/>
  <c r="L150" i="43" s="1"/>
  <c r="M150" i="43"/>
  <c r="N150" i="43" s="1"/>
  <c r="O150" i="43" s="1"/>
  <c r="P150" i="43" s="1"/>
  <c r="M148" i="43"/>
  <c r="N148" i="43" s="1"/>
  <c r="O148" i="43" s="1"/>
  <c r="P148" i="43" s="1"/>
  <c r="I206" i="43" s="1"/>
  <c r="J148" i="43"/>
  <c r="K148" i="43" s="1"/>
  <c r="L148" i="43" s="1"/>
  <c r="H83" i="43"/>
  <c r="K83" i="43" s="1"/>
  <c r="M83" i="43" s="1"/>
  <c r="N83" i="43" s="1"/>
  <c r="P83" i="43" s="1"/>
  <c r="M54" i="43"/>
  <c r="M55" i="43"/>
  <c r="R55" i="43"/>
  <c r="S55" i="43" s="1"/>
  <c r="T55" i="43" s="1"/>
  <c r="U55" i="43" s="1"/>
  <c r="M56" i="43"/>
  <c r="M57" i="43"/>
  <c r="M58" i="43"/>
  <c r="R52" i="43"/>
  <c r="S52" i="43" s="1"/>
  <c r="T52" i="43" s="1"/>
  <c r="U52" i="43" s="1"/>
  <c r="R53" i="43"/>
  <c r="S53" i="43" s="1"/>
  <c r="T53" i="43" s="1"/>
  <c r="U53" i="43" s="1"/>
  <c r="R54" i="43"/>
  <c r="S54" i="43" s="1"/>
  <c r="T54" i="43" s="1"/>
  <c r="U54" i="43" s="1"/>
  <c r="R56" i="43"/>
  <c r="S56" i="43" s="1"/>
  <c r="T56" i="43" s="1"/>
  <c r="U56" i="43" s="1"/>
  <c r="R57" i="43"/>
  <c r="S57" i="43" s="1"/>
  <c r="T57" i="43" s="1"/>
  <c r="U57" i="43" s="1"/>
  <c r="R58" i="43"/>
  <c r="S58" i="43" s="1"/>
  <c r="T58" i="43" s="1"/>
  <c r="U58" i="43" s="1"/>
  <c r="M53" i="43"/>
  <c r="M52" i="43"/>
  <c r="K208" i="43"/>
  <c r="M103" i="43"/>
  <c r="R104" i="43"/>
  <c r="S104" i="43" s="1"/>
  <c r="T104" i="43" s="1"/>
  <c r="U104" i="43" s="1"/>
  <c r="M104" i="43"/>
  <c r="M99" i="43"/>
  <c r="R98" i="43"/>
  <c r="S98" i="43" s="1"/>
  <c r="T98" i="43" s="1"/>
  <c r="U98" i="43" s="1"/>
  <c r="R99" i="43"/>
  <c r="S99" i="43" s="1"/>
  <c r="T99" i="43" s="1"/>
  <c r="U99" i="43" s="1"/>
  <c r="R100" i="43"/>
  <c r="S100" i="43" s="1"/>
  <c r="T100" i="43" s="1"/>
  <c r="U100" i="43" s="1"/>
  <c r="R101" i="43"/>
  <c r="S101" i="43" s="1"/>
  <c r="T101" i="43" s="1"/>
  <c r="U101" i="43" s="1"/>
  <c r="M101" i="43"/>
  <c r="R102" i="43"/>
  <c r="S102" i="43" s="1"/>
  <c r="T102" i="43" s="1"/>
  <c r="U102" i="43" s="1"/>
  <c r="R103" i="43"/>
  <c r="S103" i="43" s="1"/>
  <c r="T103" i="43" s="1"/>
  <c r="U103" i="43" s="1"/>
  <c r="M98" i="43"/>
  <c r="M100" i="43"/>
  <c r="M102" i="43"/>
  <c r="O76" i="43"/>
  <c r="J51" i="43"/>
  <c r="K51" i="43" s="1"/>
  <c r="L51" i="43" s="1"/>
  <c r="H76" i="43" s="1"/>
  <c r="K76" i="43" s="1"/>
  <c r="M76" i="43" s="1"/>
  <c r="N76" i="43" s="1"/>
  <c r="P82" i="43"/>
  <c r="J48" i="43"/>
  <c r="K48" i="43" s="1"/>
  <c r="L48" i="43" s="1"/>
  <c r="H73" i="43" s="1"/>
  <c r="K73" i="43" s="1"/>
  <c r="M73" i="43" s="1"/>
  <c r="N73" i="43" s="1"/>
  <c r="O73" i="43"/>
  <c r="P78" i="43"/>
  <c r="H79" i="43"/>
  <c r="K79" i="43" s="1"/>
  <c r="M79" i="43" s="1"/>
  <c r="N79" i="43" s="1"/>
  <c r="P79" i="43" s="1"/>
  <c r="L59" i="43"/>
  <c r="J149" i="43"/>
  <c r="K149" i="43" s="1"/>
  <c r="L149" i="43" s="1"/>
  <c r="M149" i="43"/>
  <c r="N149" i="43" s="1"/>
  <c r="O149" i="43" s="1"/>
  <c r="P149" i="43" s="1"/>
  <c r="I207" i="43" s="1"/>
  <c r="P80" i="43"/>
  <c r="P81" i="43"/>
  <c r="P77" i="43"/>
  <c r="J143" i="43"/>
  <c r="K143" i="43" s="1"/>
  <c r="L143" i="43" s="1"/>
  <c r="M143" i="43"/>
  <c r="N143" i="43" s="1"/>
  <c r="O143" i="43" s="1"/>
  <c r="P143" i="43" s="1"/>
  <c r="I201" i="43" s="1"/>
  <c r="J139" i="43"/>
  <c r="K139" i="43" s="1"/>
  <c r="L139" i="43" s="1"/>
  <c r="M139" i="43"/>
  <c r="N139" i="43" s="1"/>
  <c r="O139" i="43" s="1"/>
  <c r="P139" i="43" s="1"/>
  <c r="I197" i="43" s="1"/>
  <c r="I142" i="43"/>
  <c r="J96" i="43"/>
  <c r="K96" i="43" s="1"/>
  <c r="L96" i="43" s="1"/>
  <c r="K200" i="43" s="1"/>
  <c r="M146" i="43"/>
  <c r="N146" i="43" s="1"/>
  <c r="O146" i="43" s="1"/>
  <c r="P146" i="43" s="1"/>
  <c r="I204" i="43" s="1"/>
  <c r="J146" i="43"/>
  <c r="K146" i="43" s="1"/>
  <c r="L146" i="43" s="1"/>
  <c r="M140" i="43"/>
  <c r="N140" i="43" s="1"/>
  <c r="O140" i="43" s="1"/>
  <c r="P140" i="43" s="1"/>
  <c r="I198" i="43" s="1"/>
  <c r="J140" i="43"/>
  <c r="K140" i="43" s="1"/>
  <c r="L140" i="43" s="1"/>
  <c r="M147" i="43"/>
  <c r="N147" i="43" s="1"/>
  <c r="O147" i="43" s="1"/>
  <c r="P147" i="43" s="1"/>
  <c r="I205" i="43" s="1"/>
  <c r="J147" i="43"/>
  <c r="K147" i="43" s="1"/>
  <c r="L147" i="43" s="1"/>
  <c r="M145" i="43"/>
  <c r="N145" i="43" s="1"/>
  <c r="O145" i="43" s="1"/>
  <c r="P145" i="43" s="1"/>
  <c r="I203" i="43" s="1"/>
  <c r="J145" i="43"/>
  <c r="K145" i="43" s="1"/>
  <c r="L145" i="43" s="1"/>
  <c r="L105" i="43"/>
  <c r="K204" i="43"/>
  <c r="L311" i="40"/>
  <c r="U235" i="40"/>
  <c r="J75" i="40"/>
  <c r="K75" i="40" s="1"/>
  <c r="L75" i="40" s="1"/>
  <c r="H109" i="40" s="1"/>
  <c r="J231" i="40"/>
  <c r="K231" i="40" s="1"/>
  <c r="L231" i="40" s="1"/>
  <c r="K335" i="40" s="1"/>
  <c r="I277" i="40"/>
  <c r="J277" i="40" s="1"/>
  <c r="K277" i="40" s="1"/>
  <c r="L277" i="40" s="1"/>
  <c r="J235" i="40"/>
  <c r="K235" i="40" s="1"/>
  <c r="L235" i="40" s="1"/>
  <c r="I281" i="40"/>
  <c r="M281" i="40" s="1"/>
  <c r="J234" i="40"/>
  <c r="K234" i="40" s="1"/>
  <c r="L234" i="40" s="1"/>
  <c r="K338" i="40" s="1"/>
  <c r="I280" i="40"/>
  <c r="J230" i="40"/>
  <c r="K230" i="40" s="1"/>
  <c r="L230" i="40" s="1"/>
  <c r="K334" i="40" s="1"/>
  <c r="I276" i="40"/>
  <c r="M276" i="40" s="1"/>
  <c r="J233" i="40"/>
  <c r="K233" i="40" s="1"/>
  <c r="L233" i="40" s="1"/>
  <c r="K337" i="40" s="1"/>
  <c r="I279" i="40"/>
  <c r="J279" i="40" s="1"/>
  <c r="K279" i="40" s="1"/>
  <c r="L279" i="40" s="1"/>
  <c r="O106" i="40"/>
  <c r="J282" i="40"/>
  <c r="K282" i="40" s="1"/>
  <c r="L282" i="40" s="1"/>
  <c r="O102" i="40"/>
  <c r="J278" i="40"/>
  <c r="K278" i="40" s="1"/>
  <c r="L278" i="40" s="1"/>
  <c r="M278" i="40"/>
  <c r="H106" i="40"/>
  <c r="K106" i="40" s="1"/>
  <c r="M106" i="40" s="1"/>
  <c r="N106" i="40" s="1"/>
  <c r="N283" i="40"/>
  <c r="O283" i="40" s="1"/>
  <c r="N284" i="40"/>
  <c r="O284" i="40" s="1"/>
  <c r="AL119" i="41"/>
  <c r="AM119" i="41" s="1"/>
  <c r="AG124" i="41"/>
  <c r="AF130" i="41"/>
  <c r="G185" i="41"/>
  <c r="G83" i="41"/>
  <c r="J83" i="41" s="1"/>
  <c r="L83" i="41" s="1"/>
  <c r="M83" i="41" s="1"/>
  <c r="O83" i="41" s="1"/>
  <c r="AG115" i="41"/>
  <c r="G85" i="41"/>
  <c r="J85" i="41" s="1"/>
  <c r="L85" i="41" s="1"/>
  <c r="M85" i="41" s="1"/>
  <c r="O85" i="41" s="1"/>
  <c r="G187" i="41"/>
  <c r="AG117" i="41"/>
  <c r="AG116" i="41"/>
  <c r="G84" i="41"/>
  <c r="J84" i="41" s="1"/>
  <c r="L84" i="41" s="1"/>
  <c r="M84" i="41" s="1"/>
  <c r="O84" i="41" s="1"/>
  <c r="G186" i="41"/>
  <c r="H191" i="41"/>
  <c r="G164" i="41"/>
  <c r="J164" i="41" s="1"/>
  <c r="L164" i="41" s="1"/>
  <c r="M164" i="41" s="1"/>
  <c r="O164" i="41" s="1"/>
  <c r="AT121" i="41"/>
  <c r="M51" i="41"/>
  <c r="AG112" i="41"/>
  <c r="G80" i="41"/>
  <c r="J80" i="41" s="1"/>
  <c r="L80" i="41" s="1"/>
  <c r="M80" i="41" s="1"/>
  <c r="O80" i="41" s="1"/>
  <c r="G182" i="41"/>
  <c r="H192" i="41"/>
  <c r="G165" i="41"/>
  <c r="J165" i="41" s="1"/>
  <c r="L165" i="41" s="1"/>
  <c r="M165" i="41" s="1"/>
  <c r="O165" i="41" s="1"/>
  <c r="AT122" i="41"/>
  <c r="O161" i="41"/>
  <c r="J115" i="41"/>
  <c r="K115" i="41" s="1"/>
  <c r="L115" i="41" s="1"/>
  <c r="M115" i="41"/>
  <c r="M120" i="41"/>
  <c r="J120" i="41"/>
  <c r="K120" i="41" s="1"/>
  <c r="L120" i="41" s="1"/>
  <c r="M112" i="41"/>
  <c r="J112" i="41"/>
  <c r="K112" i="41" s="1"/>
  <c r="L112" i="41" s="1"/>
  <c r="N162" i="41"/>
  <c r="N119" i="41"/>
  <c r="O119" i="41" s="1"/>
  <c r="P119" i="41" s="1"/>
  <c r="AS119" i="41"/>
  <c r="BH119" i="41" s="1"/>
  <c r="M54" i="41"/>
  <c r="AT118" i="41"/>
  <c r="H188" i="41"/>
  <c r="G161" i="41"/>
  <c r="J161" i="41" s="1"/>
  <c r="L161" i="41" s="1"/>
  <c r="M161" i="41" s="1"/>
  <c r="AT116" i="41"/>
  <c r="G159" i="41"/>
  <c r="J159" i="41" s="1"/>
  <c r="L159" i="41" s="1"/>
  <c r="M159" i="41" s="1"/>
  <c r="O159" i="41" s="1"/>
  <c r="H186" i="41"/>
  <c r="G184" i="41"/>
  <c r="AG114" i="41"/>
  <c r="G82" i="41"/>
  <c r="J82" i="41" s="1"/>
  <c r="L82" i="41" s="1"/>
  <c r="M82" i="41" s="1"/>
  <c r="O82" i="41" s="1"/>
  <c r="AF132" i="41"/>
  <c r="AL121" i="41"/>
  <c r="AM121" i="41" s="1"/>
  <c r="M53" i="41"/>
  <c r="BA152" i="41"/>
  <c r="BB152" i="41" s="1"/>
  <c r="AV160" i="41"/>
  <c r="AV161" i="41" s="1"/>
  <c r="M123" i="41"/>
  <c r="J123" i="41"/>
  <c r="K123" i="41" s="1"/>
  <c r="L123" i="41" s="1"/>
  <c r="M55" i="41"/>
  <c r="AF129" i="41"/>
  <c r="AL118" i="41"/>
  <c r="AM118" i="41" s="1"/>
  <c r="AL122" i="41"/>
  <c r="AM122" i="41" s="1"/>
  <c r="AF133" i="41"/>
  <c r="M114" i="41"/>
  <c r="J114" i="41"/>
  <c r="K114" i="41" s="1"/>
  <c r="L114" i="41" s="1"/>
  <c r="O87" i="41"/>
  <c r="M117" i="41"/>
  <c r="J117" i="41"/>
  <c r="K117" i="41" s="1"/>
  <c r="L117" i="41" s="1"/>
  <c r="M52" i="41"/>
  <c r="AS113" i="41"/>
  <c r="N113" i="41"/>
  <c r="O113" i="41" s="1"/>
  <c r="P113" i="41" s="1"/>
  <c r="N156" i="41"/>
  <c r="AG113" i="41"/>
  <c r="G183" i="41"/>
  <c r="G81" i="41"/>
  <c r="J81" i="41" s="1"/>
  <c r="L81" i="41" s="1"/>
  <c r="M81" i="41" s="1"/>
  <c r="O81" i="41" s="1"/>
  <c r="AG120" i="41"/>
  <c r="G88" i="41"/>
  <c r="J88" i="41" s="1"/>
  <c r="L88" i="41" s="1"/>
  <c r="M88" i="41" s="1"/>
  <c r="O88" i="41" s="1"/>
  <c r="G190" i="41"/>
  <c r="AJ118" i="41"/>
  <c r="AJ120" i="41"/>
  <c r="AI118" i="41"/>
  <c r="AJ119" i="41"/>
  <c r="AF134" i="41"/>
  <c r="AJ122" i="41"/>
  <c r="AL123" i="41"/>
  <c r="AM123" i="41" s="1"/>
  <c r="AI122" i="41"/>
  <c r="AJ123" i="41"/>
  <c r="AJ117" i="41"/>
  <c r="AG109" i="41"/>
  <c r="AI117" i="41"/>
  <c r="AI120" i="41"/>
  <c r="J286" i="40"/>
  <c r="K286" i="40" s="1"/>
  <c r="L286" i="40" s="1"/>
  <c r="N285" i="40"/>
  <c r="O285" i="40" s="1"/>
  <c r="N286" i="40"/>
  <c r="O286" i="40" s="1"/>
  <c r="P286" i="40" s="1"/>
  <c r="I344" i="40" s="1"/>
  <c r="H102" i="40"/>
  <c r="J283" i="40"/>
  <c r="K283" i="40" s="1"/>
  <c r="L283" i="40" s="1"/>
  <c r="J284" i="40"/>
  <c r="K284" i="40" s="1"/>
  <c r="L284" i="40" s="1"/>
  <c r="M282" i="40"/>
  <c r="J285" i="40"/>
  <c r="K285" i="40" s="1"/>
  <c r="L285" i="40" s="1"/>
  <c r="M287" i="40"/>
  <c r="J71" i="40"/>
  <c r="K71" i="40" s="1"/>
  <c r="L71" i="40" s="1"/>
  <c r="O104" i="40"/>
  <c r="J66" i="40"/>
  <c r="K66" i="40" s="1"/>
  <c r="L66" i="40" s="1"/>
  <c r="O105" i="40"/>
  <c r="O100" i="40"/>
  <c r="J70" i="40"/>
  <c r="K70" i="40" s="1"/>
  <c r="L70" i="40" s="1"/>
  <c r="R48" i="39"/>
  <c r="S48" i="39" s="1"/>
  <c r="P69" i="39" s="1"/>
  <c r="R44" i="39"/>
  <c r="S44" i="39" s="1"/>
  <c r="P65" i="39" s="1"/>
  <c r="G27" i="39"/>
  <c r="J44" i="39" s="1"/>
  <c r="M65" i="39" s="1"/>
  <c r="J40" i="39"/>
  <c r="M61" i="39" s="1"/>
  <c r="H23" i="39"/>
  <c r="G24" i="39"/>
  <c r="H24" i="39" s="1"/>
  <c r="G28" i="39"/>
  <c r="J45" i="39" s="1"/>
  <c r="M66" i="39" s="1"/>
  <c r="H31" i="39"/>
  <c r="H25" i="39"/>
  <c r="J42" i="39"/>
  <c r="M63" i="39" s="1"/>
  <c r="H28" i="39"/>
  <c r="J41" i="39"/>
  <c r="M62" i="39" s="1"/>
  <c r="G29" i="39"/>
  <c r="G21" i="39"/>
  <c r="J47" i="39"/>
  <c r="M68" i="39" s="1"/>
  <c r="J43" i="39"/>
  <c r="M64" i="39" s="1"/>
  <c r="J39" i="39"/>
  <c r="M60" i="39" s="1"/>
  <c r="J48" i="39"/>
  <c r="M69" i="39" s="1"/>
  <c r="L79" i="40" l="1"/>
  <c r="Q73" i="40"/>
  <c r="O74" i="40"/>
  <c r="P74" i="40" s="1"/>
  <c r="Q74" i="40" s="1"/>
  <c r="O75" i="40"/>
  <c r="P75" i="40" s="1"/>
  <c r="Q75" i="40" s="1"/>
  <c r="O76" i="40"/>
  <c r="P76" i="40" s="1"/>
  <c r="Q76" i="40" s="1"/>
  <c r="O77" i="40"/>
  <c r="P77" i="40" s="1"/>
  <c r="Q77" i="40" s="1"/>
  <c r="O72" i="40"/>
  <c r="P72" i="40" s="1"/>
  <c r="Q72" i="40" s="1"/>
  <c r="H111" i="40"/>
  <c r="K111" i="40" s="1"/>
  <c r="M111" i="40" s="1"/>
  <c r="N111" i="40" s="1"/>
  <c r="P111" i="40" s="1"/>
  <c r="P107" i="40"/>
  <c r="P103" i="40"/>
  <c r="M236" i="40"/>
  <c r="O236" i="40" s="1"/>
  <c r="P236" i="40" s="1"/>
  <c r="Q236" i="40" s="1"/>
  <c r="K339" i="40"/>
  <c r="O56" i="43"/>
  <c r="P56" i="43" s="1"/>
  <c r="Q56" i="43" s="1"/>
  <c r="N56" i="43"/>
  <c r="O99" i="43"/>
  <c r="P99" i="43" s="1"/>
  <c r="Q99" i="43" s="1"/>
  <c r="N99" i="43"/>
  <c r="O58" i="43"/>
  <c r="P58" i="43" s="1"/>
  <c r="Q58" i="43" s="1"/>
  <c r="N58" i="43"/>
  <c r="P73" i="43"/>
  <c r="N104" i="43"/>
  <c r="O104" i="43"/>
  <c r="P104" i="43" s="1"/>
  <c r="Q104" i="43" s="1"/>
  <c r="N55" i="43"/>
  <c r="O55" i="43"/>
  <c r="P55" i="43" s="1"/>
  <c r="Q55" i="43" s="1"/>
  <c r="O101" i="43"/>
  <c r="P101" i="43" s="1"/>
  <c r="Q101" i="43" s="1"/>
  <c r="N101" i="43"/>
  <c r="O54" i="43"/>
  <c r="P54" i="43" s="1"/>
  <c r="Q54" i="43" s="1"/>
  <c r="N54" i="43"/>
  <c r="M142" i="43"/>
  <c r="N142" i="43" s="1"/>
  <c r="O142" i="43" s="1"/>
  <c r="P142" i="43" s="1"/>
  <c r="I200" i="43" s="1"/>
  <c r="J142" i="43"/>
  <c r="K142" i="43" s="1"/>
  <c r="L142" i="43" s="1"/>
  <c r="O103" i="43"/>
  <c r="P103" i="43" s="1"/>
  <c r="Q103" i="43" s="1"/>
  <c r="N103" i="43"/>
  <c r="P76" i="43"/>
  <c r="N52" i="43"/>
  <c r="O52" i="43"/>
  <c r="P52" i="43" s="1"/>
  <c r="Q52" i="43" s="1"/>
  <c r="O57" i="43"/>
  <c r="P57" i="43" s="1"/>
  <c r="Q57" i="43" s="1"/>
  <c r="N57" i="43"/>
  <c r="O102" i="43"/>
  <c r="P102" i="43" s="1"/>
  <c r="Q102" i="43" s="1"/>
  <c r="N102" i="43"/>
  <c r="N53" i="43"/>
  <c r="O53" i="43"/>
  <c r="P53" i="43" s="1"/>
  <c r="Q53" i="43" s="1"/>
  <c r="Q144" i="43"/>
  <c r="I208" i="43"/>
  <c r="Q148" i="43"/>
  <c r="V150" i="43"/>
  <c r="W150" i="43" s="1"/>
  <c r="X150" i="43" s="1"/>
  <c r="Y150" i="43" s="1"/>
  <c r="V149" i="43"/>
  <c r="W149" i="43" s="1"/>
  <c r="X149" i="43" s="1"/>
  <c r="Y149" i="43" s="1"/>
  <c r="V148" i="43"/>
  <c r="W148" i="43" s="1"/>
  <c r="X148" i="43" s="1"/>
  <c r="Y148" i="43" s="1"/>
  <c r="V147" i="43"/>
  <c r="W147" i="43" s="1"/>
  <c r="X147" i="43" s="1"/>
  <c r="Y147" i="43" s="1"/>
  <c r="V146" i="43"/>
  <c r="W146" i="43" s="1"/>
  <c r="X146" i="43" s="1"/>
  <c r="Y146" i="43" s="1"/>
  <c r="Q150" i="43"/>
  <c r="V145" i="43"/>
  <c r="W145" i="43" s="1"/>
  <c r="X145" i="43" s="1"/>
  <c r="Y145" i="43" s="1"/>
  <c r="Q149" i="43"/>
  <c r="V144" i="43"/>
  <c r="W144" i="43" s="1"/>
  <c r="X144" i="43" s="1"/>
  <c r="Y144" i="43" s="1"/>
  <c r="Q147" i="43"/>
  <c r="Q146" i="43"/>
  <c r="Q145" i="43"/>
  <c r="N100" i="43"/>
  <c r="O100" i="43"/>
  <c r="P100" i="43" s="1"/>
  <c r="Q100" i="43" s="1"/>
  <c r="O98" i="43"/>
  <c r="P98" i="43" s="1"/>
  <c r="Q98" i="43" s="1"/>
  <c r="N98" i="43"/>
  <c r="M241" i="40"/>
  <c r="N241" i="40" s="1"/>
  <c r="M238" i="40"/>
  <c r="O238" i="40" s="1"/>
  <c r="P238" i="40" s="1"/>
  <c r="Q238" i="40" s="1"/>
  <c r="M277" i="40"/>
  <c r="N277" i="40" s="1"/>
  <c r="O277" i="40" s="1"/>
  <c r="P277" i="40" s="1"/>
  <c r="I335" i="40" s="1"/>
  <c r="M237" i="40"/>
  <c r="N237" i="40" s="1"/>
  <c r="P106" i="40"/>
  <c r="M279" i="40"/>
  <c r="N279" i="40" s="1"/>
  <c r="O279" i="40" s="1"/>
  <c r="M235" i="40"/>
  <c r="O235" i="40" s="1"/>
  <c r="P235" i="40" s="1"/>
  <c r="Q235" i="40" s="1"/>
  <c r="M239" i="40"/>
  <c r="M240" i="40"/>
  <c r="P283" i="40"/>
  <c r="I341" i="40" s="1"/>
  <c r="P285" i="40"/>
  <c r="I343" i="40" s="1"/>
  <c r="N278" i="40"/>
  <c r="O278" i="40" s="1"/>
  <c r="P284" i="40"/>
  <c r="I342" i="40" s="1"/>
  <c r="K110" i="40"/>
  <c r="M110" i="40" s="1"/>
  <c r="N110" i="40" s="1"/>
  <c r="P110" i="40" s="1"/>
  <c r="K101" i="40"/>
  <c r="M101" i="40" s="1"/>
  <c r="N101" i="40" s="1"/>
  <c r="P101" i="40" s="1"/>
  <c r="K102" i="40"/>
  <c r="M102" i="40" s="1"/>
  <c r="N102" i="40" s="1"/>
  <c r="P102" i="40" s="1"/>
  <c r="K108" i="40"/>
  <c r="M108" i="40" s="1"/>
  <c r="N108" i="40" s="1"/>
  <c r="P108" i="40" s="1"/>
  <c r="K109" i="40"/>
  <c r="M109" i="40" s="1"/>
  <c r="N109" i="40" s="1"/>
  <c r="P109" i="40" s="1"/>
  <c r="N287" i="40"/>
  <c r="O287" i="40" s="1"/>
  <c r="P287" i="40" s="1"/>
  <c r="I345" i="40" s="1"/>
  <c r="N282" i="40"/>
  <c r="O282" i="40" s="1"/>
  <c r="P282" i="40" s="1"/>
  <c r="I340" i="40" s="1"/>
  <c r="N163" i="41"/>
  <c r="N120" i="41"/>
  <c r="O120" i="41" s="1"/>
  <c r="P120" i="41" s="1"/>
  <c r="AS120" i="41"/>
  <c r="AF128" i="41"/>
  <c r="AG128" i="41" s="1"/>
  <c r="AL117" i="41"/>
  <c r="AM117" i="41" s="1"/>
  <c r="AS133" i="41"/>
  <c r="AY122" i="41"/>
  <c r="AZ122" i="41" s="1"/>
  <c r="AS112" i="41"/>
  <c r="N112" i="41"/>
  <c r="O112" i="41" s="1"/>
  <c r="P112" i="41" s="1"/>
  <c r="N155" i="41"/>
  <c r="AF131" i="41"/>
  <c r="AL120" i="41"/>
  <c r="AM120" i="41" s="1"/>
  <c r="N160" i="41"/>
  <c r="N117" i="41"/>
  <c r="O117" i="41" s="1"/>
  <c r="P117" i="41" s="1"/>
  <c r="AS117" i="41"/>
  <c r="AY118" i="41"/>
  <c r="AZ118" i="41" s="1"/>
  <c r="AS129" i="41"/>
  <c r="N158" i="41"/>
  <c r="AS115" i="41"/>
  <c r="N115" i="41"/>
  <c r="O115" i="41" s="1"/>
  <c r="P115" i="41" s="1"/>
  <c r="AS114" i="41"/>
  <c r="N157" i="41"/>
  <c r="N114" i="41"/>
  <c r="O114" i="41" s="1"/>
  <c r="P114" i="41" s="1"/>
  <c r="N123" i="41"/>
  <c r="O123" i="41" s="1"/>
  <c r="P123" i="41" s="1"/>
  <c r="AS123" i="41"/>
  <c r="N166" i="41"/>
  <c r="O156" i="41"/>
  <c r="AI121" i="41"/>
  <c r="G162" i="41"/>
  <c r="J162" i="41" s="1"/>
  <c r="L162" i="41" s="1"/>
  <c r="M162" i="41" s="1"/>
  <c r="O162" i="41" s="1"/>
  <c r="AT119" i="41"/>
  <c r="H189" i="41"/>
  <c r="AI123" i="41"/>
  <c r="G156" i="41"/>
  <c r="J156" i="41" s="1"/>
  <c r="L156" i="41" s="1"/>
  <c r="M156" i="41" s="1"/>
  <c r="H183" i="41"/>
  <c r="AT113" i="41"/>
  <c r="AI119" i="41"/>
  <c r="AN119" i="41" s="1"/>
  <c r="AO119" i="41" s="1"/>
  <c r="AP119" i="41" s="1"/>
  <c r="AJ121" i="41"/>
  <c r="AY121" i="41"/>
  <c r="AZ121" i="41" s="1"/>
  <c r="AS132" i="41"/>
  <c r="H104" i="40"/>
  <c r="J280" i="40"/>
  <c r="K280" i="40" s="1"/>
  <c r="L280" i="40" s="1"/>
  <c r="M280" i="40"/>
  <c r="J281" i="40"/>
  <c r="K281" i="40" s="1"/>
  <c r="L281" i="40" s="1"/>
  <c r="J276" i="40"/>
  <c r="K276" i="40" s="1"/>
  <c r="L276" i="40" s="1"/>
  <c r="H100" i="40"/>
  <c r="K100" i="40" s="1"/>
  <c r="M100" i="40" s="1"/>
  <c r="N100" i="40" s="1"/>
  <c r="P100" i="40" s="1"/>
  <c r="H27" i="39"/>
  <c r="H21" i="39"/>
  <c r="J38" i="39"/>
  <c r="M59" i="39" s="1"/>
  <c r="H29" i="39"/>
  <c r="J46" i="39"/>
  <c r="M67" i="39" s="1"/>
  <c r="N236" i="40" l="1"/>
  <c r="N238" i="40"/>
  <c r="S144" i="43"/>
  <c r="T144" i="43" s="1"/>
  <c r="U144" i="43" s="1"/>
  <c r="R144" i="43"/>
  <c r="S149" i="43"/>
  <c r="T149" i="43" s="1"/>
  <c r="U149" i="43" s="1"/>
  <c r="R149" i="43"/>
  <c r="S148" i="43"/>
  <c r="T148" i="43" s="1"/>
  <c r="U148" i="43" s="1"/>
  <c r="R148" i="43"/>
  <c r="R147" i="43"/>
  <c r="S147" i="43"/>
  <c r="T147" i="43" s="1"/>
  <c r="U147" i="43" s="1"/>
  <c r="S145" i="43"/>
  <c r="T145" i="43" s="1"/>
  <c r="U145" i="43" s="1"/>
  <c r="R145" i="43"/>
  <c r="S146" i="43"/>
  <c r="T146" i="43" s="1"/>
  <c r="U146" i="43" s="1"/>
  <c r="R146" i="43"/>
  <c r="S150" i="43"/>
  <c r="T150" i="43" s="1"/>
  <c r="U150" i="43" s="1"/>
  <c r="R150" i="43"/>
  <c r="O241" i="40"/>
  <c r="P241" i="40" s="1"/>
  <c r="Q241" i="40" s="1"/>
  <c r="V281" i="40"/>
  <c r="W281" i="40" s="1"/>
  <c r="X281" i="40" s="1"/>
  <c r="Y281" i="40" s="1"/>
  <c r="V287" i="40"/>
  <c r="W287" i="40" s="1"/>
  <c r="X287" i="40" s="1"/>
  <c r="Y287" i="40" s="1"/>
  <c r="V282" i="40"/>
  <c r="W282" i="40" s="1"/>
  <c r="X282" i="40" s="1"/>
  <c r="Y282" i="40" s="1"/>
  <c r="V286" i="40"/>
  <c r="W286" i="40" s="1"/>
  <c r="X286" i="40" s="1"/>
  <c r="Y286" i="40" s="1"/>
  <c r="V285" i="40"/>
  <c r="W285" i="40" s="1"/>
  <c r="X285" i="40" s="1"/>
  <c r="Y285" i="40" s="1"/>
  <c r="V284" i="40"/>
  <c r="W284" i="40" s="1"/>
  <c r="X284" i="40" s="1"/>
  <c r="Y284" i="40" s="1"/>
  <c r="V283" i="40"/>
  <c r="W283" i="40" s="1"/>
  <c r="X283" i="40" s="1"/>
  <c r="Y283" i="40" s="1"/>
  <c r="O237" i="40"/>
  <c r="P237" i="40" s="1"/>
  <c r="Q237" i="40" s="1"/>
  <c r="H105" i="40"/>
  <c r="K105" i="40" s="1"/>
  <c r="M105" i="40" s="1"/>
  <c r="N105" i="40" s="1"/>
  <c r="P105" i="40" s="1"/>
  <c r="N240" i="40"/>
  <c r="O240" i="40"/>
  <c r="P240" i="40" s="1"/>
  <c r="Q240" i="40" s="1"/>
  <c r="N239" i="40"/>
  <c r="O239" i="40"/>
  <c r="P239" i="40" s="1"/>
  <c r="Q239" i="40" s="1"/>
  <c r="N235" i="40"/>
  <c r="P278" i="40"/>
  <c r="I336" i="40" s="1"/>
  <c r="P279" i="40"/>
  <c r="I337" i="40" s="1"/>
  <c r="K104" i="40"/>
  <c r="M104" i="40" s="1"/>
  <c r="N104" i="40" s="1"/>
  <c r="P104" i="40" s="1"/>
  <c r="G155" i="41"/>
  <c r="J155" i="41" s="1"/>
  <c r="L155" i="41" s="1"/>
  <c r="M155" i="41" s="1"/>
  <c r="H182" i="41"/>
  <c r="AT112" i="41"/>
  <c r="G160" i="41"/>
  <c r="J160" i="41" s="1"/>
  <c r="L160" i="41" s="1"/>
  <c r="M160" i="41" s="1"/>
  <c r="O160" i="41" s="1"/>
  <c r="AT117" i="41"/>
  <c r="H187" i="41"/>
  <c r="AY119" i="41"/>
  <c r="AZ119" i="41" s="1"/>
  <c r="AS130" i="41"/>
  <c r="AT124" i="41"/>
  <c r="H184" i="41"/>
  <c r="AT114" i="41"/>
  <c r="G157" i="41"/>
  <c r="J157" i="41" s="1"/>
  <c r="L157" i="41" s="1"/>
  <c r="M157" i="41" s="1"/>
  <c r="O157" i="41" s="1"/>
  <c r="O155" i="41"/>
  <c r="H185" i="41"/>
  <c r="AT115" i="41"/>
  <c r="G158" i="41"/>
  <c r="J158" i="41" s="1"/>
  <c r="L158" i="41" s="1"/>
  <c r="M158" i="41" s="1"/>
  <c r="O158" i="41" s="1"/>
  <c r="H193" i="41"/>
  <c r="Q117" i="41"/>
  <c r="Q118" i="41"/>
  <c r="AT123" i="41"/>
  <c r="Q120" i="41"/>
  <c r="Q122" i="41"/>
  <c r="Q119" i="41"/>
  <c r="Q121" i="41"/>
  <c r="G166" i="41"/>
  <c r="J166" i="41" s="1"/>
  <c r="L166" i="41" s="1"/>
  <c r="M166" i="41" s="1"/>
  <c r="O166" i="41" s="1"/>
  <c r="Q123" i="41"/>
  <c r="AF127" i="41"/>
  <c r="AG129" i="41" s="1"/>
  <c r="H190" i="41"/>
  <c r="G163" i="41"/>
  <c r="J163" i="41" s="1"/>
  <c r="L163" i="41" s="1"/>
  <c r="M163" i="41" s="1"/>
  <c r="O163" i="41" s="1"/>
  <c r="AT120" i="41"/>
  <c r="N281" i="40"/>
  <c r="O281" i="40" s="1"/>
  <c r="N280" i="40"/>
  <c r="O280" i="40" s="1"/>
  <c r="N276" i="40"/>
  <c r="O276" i="40" s="1"/>
  <c r="G58" i="39"/>
  <c r="K57" i="39"/>
  <c r="S57" i="39"/>
  <c r="I31" i="39"/>
  <c r="J31" i="39" s="1"/>
  <c r="F69" i="39" s="1"/>
  <c r="I30" i="39"/>
  <c r="J30" i="39" s="1"/>
  <c r="F68" i="39" s="1"/>
  <c r="I29" i="39"/>
  <c r="J29" i="39" s="1"/>
  <c r="F67" i="39" s="1"/>
  <c r="I28" i="39"/>
  <c r="J28" i="39" s="1"/>
  <c r="F66" i="39" s="1"/>
  <c r="I27" i="39"/>
  <c r="J27" i="39" s="1"/>
  <c r="F65" i="39" s="1"/>
  <c r="I26" i="39"/>
  <c r="J26" i="39" s="1"/>
  <c r="F64" i="39" s="1"/>
  <c r="I25" i="39"/>
  <c r="J25" i="39" s="1"/>
  <c r="F63" i="39" s="1"/>
  <c r="I24" i="39"/>
  <c r="J24" i="39" s="1"/>
  <c r="F62" i="39" s="1"/>
  <c r="I23" i="39"/>
  <c r="J23" i="39" s="1"/>
  <c r="F61" i="39" s="1"/>
  <c r="I22" i="39"/>
  <c r="J22" i="39" s="1"/>
  <c r="F60" i="39" s="1"/>
  <c r="I21" i="39"/>
  <c r="J21" i="39" s="1"/>
  <c r="F59" i="39" s="1"/>
  <c r="P276" i="40" l="1"/>
  <c r="I334" i="40" s="1"/>
  <c r="P280" i="40"/>
  <c r="I338" i="40" s="1"/>
  <c r="P281" i="40"/>
  <c r="I339" i="40" s="1"/>
  <c r="AH129" i="41"/>
  <c r="AG130" i="41"/>
  <c r="AS128" i="41"/>
  <c r="AT128" i="41" s="1"/>
  <c r="AY117" i="41"/>
  <c r="AZ117" i="41" s="1"/>
  <c r="AW122" i="41"/>
  <c r="AS134" i="41"/>
  <c r="AS127" i="41" s="1"/>
  <c r="AY123" i="41"/>
  <c r="AZ123" i="41" s="1"/>
  <c r="AV122" i="41"/>
  <c r="BA122" i="41" s="1"/>
  <c r="BB122" i="41" s="1"/>
  <c r="AW123" i="41"/>
  <c r="AV123" i="41"/>
  <c r="BA123" i="41" s="1"/>
  <c r="BB123" i="41" s="1"/>
  <c r="AV118" i="41"/>
  <c r="BA118" i="41" s="1"/>
  <c r="BB118" i="41" s="1"/>
  <c r="AW117" i="41"/>
  <c r="AV119" i="41"/>
  <c r="BA119" i="41" s="1"/>
  <c r="BB119" i="41" s="1"/>
  <c r="BC119" i="41" s="1"/>
  <c r="AV117" i="41"/>
  <c r="BA117" i="41" s="1"/>
  <c r="BB117" i="41" s="1"/>
  <c r="AV120" i="41"/>
  <c r="BA120" i="41" s="1"/>
  <c r="BB120" i="41" s="1"/>
  <c r="AW119" i="41"/>
  <c r="AW118" i="41"/>
  <c r="AW120" i="41"/>
  <c r="AT109" i="41"/>
  <c r="AW121" i="41"/>
  <c r="AV121" i="41"/>
  <c r="BA121" i="41" s="1"/>
  <c r="BB121" i="41" s="1"/>
  <c r="AS131" i="41"/>
  <c r="AY120" i="41"/>
  <c r="AZ120" i="41" s="1"/>
  <c r="Q69" i="39"/>
  <c r="R69" i="39" s="1"/>
  <c r="Q58" i="39"/>
  <c r="H68" i="39"/>
  <c r="J68" i="39" s="1"/>
  <c r="H62" i="39"/>
  <c r="J62" i="39" s="1"/>
  <c r="K62" i="39" s="1"/>
  <c r="H66" i="39"/>
  <c r="J66" i="39" s="1"/>
  <c r="K66" i="39" s="1"/>
  <c r="H59" i="39"/>
  <c r="J59" i="39" s="1"/>
  <c r="K59" i="39" s="1"/>
  <c r="H63" i="39"/>
  <c r="J63" i="39" s="1"/>
  <c r="K63" i="39" s="1"/>
  <c r="H67" i="39"/>
  <c r="J67" i="39" s="1"/>
  <c r="K67" i="39" s="1"/>
  <c r="K68" i="39"/>
  <c r="N61" i="39"/>
  <c r="O61" i="39" s="1"/>
  <c r="N65" i="39"/>
  <c r="O65" i="39" s="1"/>
  <c r="N69" i="39"/>
  <c r="O69" i="39" s="1"/>
  <c r="S69" i="39" s="1"/>
  <c r="H64" i="39"/>
  <c r="J64" i="39" s="1"/>
  <c r="K64" i="39" s="1"/>
  <c r="H69" i="39"/>
  <c r="J69" i="39" s="1"/>
  <c r="K69" i="39" s="1"/>
  <c r="R58" i="39"/>
  <c r="Q62" i="39"/>
  <c r="R62" i="39" s="1"/>
  <c r="Q66" i="39"/>
  <c r="R66" i="39" s="1"/>
  <c r="H60" i="39"/>
  <c r="J60" i="39" s="1"/>
  <c r="K60" i="39" s="1"/>
  <c r="H65" i="39"/>
  <c r="J65" i="39" s="1"/>
  <c r="K65" i="39" s="1"/>
  <c r="Q59" i="39"/>
  <c r="R59" i="39" s="1"/>
  <c r="Q63" i="39"/>
  <c r="R63" i="39" s="1"/>
  <c r="Q67" i="39"/>
  <c r="R67" i="39" s="1"/>
  <c r="H61" i="39"/>
  <c r="J61" i="39" s="1"/>
  <c r="K61" i="39" s="1"/>
  <c r="N60" i="39"/>
  <c r="O60" i="39" s="1"/>
  <c r="N64" i="39"/>
  <c r="O64" i="39" s="1"/>
  <c r="N68" i="39"/>
  <c r="O68" i="39" s="1"/>
  <c r="Q60" i="39"/>
  <c r="R60" i="39" s="1"/>
  <c r="N62" i="39"/>
  <c r="O62" i="39" s="1"/>
  <c r="Q64" i="39"/>
  <c r="R64" i="39" s="1"/>
  <c r="N66" i="39"/>
  <c r="O66" i="39" s="1"/>
  <c r="Q68" i="39"/>
  <c r="R68" i="39" s="1"/>
  <c r="N59" i="39"/>
  <c r="O59" i="39" s="1"/>
  <c r="Q61" i="39"/>
  <c r="R61" i="39" s="1"/>
  <c r="N63" i="39"/>
  <c r="O63" i="39" s="1"/>
  <c r="Q65" i="39"/>
  <c r="R65" i="39" s="1"/>
  <c r="N67" i="39"/>
  <c r="O67" i="39" s="1"/>
  <c r="Q281" i="40" l="1"/>
  <c r="Q282" i="40"/>
  <c r="Q287" i="40"/>
  <c r="Q284" i="40"/>
  <c r="Q283" i="40"/>
  <c r="R283" i="40" s="1"/>
  <c r="Q286" i="40"/>
  <c r="Q285" i="40"/>
  <c r="AT129" i="41"/>
  <c r="AG131" i="41"/>
  <c r="AH130" i="41"/>
  <c r="S63" i="39"/>
  <c r="S59" i="39"/>
  <c r="S60" i="39"/>
  <c r="S62" i="39"/>
  <c r="S66" i="39"/>
  <c r="S61" i="39"/>
  <c r="S65" i="39"/>
  <c r="S68" i="39"/>
  <c r="S64" i="39"/>
  <c r="S67" i="39"/>
  <c r="R284" i="40" l="1"/>
  <c r="S284" i="40"/>
  <c r="T284" i="40" s="1"/>
  <c r="U284" i="40" s="1"/>
  <c r="R286" i="40"/>
  <c r="S286" i="40"/>
  <c r="T286" i="40" s="1"/>
  <c r="U286" i="40" s="1"/>
  <c r="R287" i="40"/>
  <c r="S287" i="40"/>
  <c r="T287" i="40" s="1"/>
  <c r="U287" i="40" s="1"/>
  <c r="R281" i="40"/>
  <c r="S281" i="40"/>
  <c r="T281" i="40" s="1"/>
  <c r="U281" i="40" s="1"/>
  <c r="R285" i="40"/>
  <c r="S285" i="40"/>
  <c r="T285" i="40" s="1"/>
  <c r="U285" i="40" s="1"/>
  <c r="S283" i="40"/>
  <c r="T283" i="40" s="1"/>
  <c r="U283" i="40" s="1"/>
  <c r="R282" i="40"/>
  <c r="S282" i="40"/>
  <c r="T282" i="40" s="1"/>
  <c r="U282" i="40" s="1"/>
  <c r="AH131" i="41"/>
  <c r="AG132" i="41"/>
  <c r="AT130" i="41"/>
  <c r="AU129" i="41"/>
  <c r="W56" i="38"/>
  <c r="W57" i="38"/>
  <c r="W58" i="38"/>
  <c r="W59" i="38"/>
  <c r="W60" i="38"/>
  <c r="W61" i="38"/>
  <c r="W62" i="38"/>
  <c r="W63" i="38"/>
  <c r="W64" i="38"/>
  <c r="W65" i="38"/>
  <c r="W66" i="38"/>
  <c r="W55" i="38"/>
  <c r="U59" i="15"/>
  <c r="M61" i="15"/>
  <c r="O54" i="38"/>
  <c r="AT131" i="41" l="1"/>
  <c r="AU130" i="41"/>
  <c r="AG133" i="41"/>
  <c r="AH132" i="41"/>
  <c r="I55" i="38"/>
  <c r="I33" i="38"/>
  <c r="I32" i="38"/>
  <c r="I31" i="38"/>
  <c r="I30" i="38"/>
  <c r="I29" i="38"/>
  <c r="I28" i="38"/>
  <c r="I27" i="38"/>
  <c r="I26" i="38"/>
  <c r="I25" i="38"/>
  <c r="I24" i="38"/>
  <c r="I23" i="38"/>
  <c r="J23" i="38" s="1"/>
  <c r="K23" i="38" s="1"/>
  <c r="I22" i="38"/>
  <c r="J22" i="38" s="1"/>
  <c r="K22" i="38" s="1"/>
  <c r="AG134" i="41" l="1"/>
  <c r="AH134" i="41" s="1"/>
  <c r="AH133" i="41"/>
  <c r="AU131" i="41"/>
  <c r="AT132" i="41"/>
  <c r="J27" i="38"/>
  <c r="K27" i="38" s="1"/>
  <c r="L27" i="38" s="1"/>
  <c r="G60" i="38" s="1"/>
  <c r="J60" i="38" s="1"/>
  <c r="L60" i="38" s="1"/>
  <c r="M60" i="38" s="1"/>
  <c r="O60" i="38" s="1"/>
  <c r="J31" i="38"/>
  <c r="K31" i="38" s="1"/>
  <c r="L31" i="38" s="1"/>
  <c r="G64" i="38" s="1"/>
  <c r="J64" i="38" s="1"/>
  <c r="L64" i="38" s="1"/>
  <c r="M64" i="38" s="1"/>
  <c r="O64" i="38" s="1"/>
  <c r="J24" i="38"/>
  <c r="K24" i="38" s="1"/>
  <c r="L24" i="38" s="1"/>
  <c r="G57" i="38" s="1"/>
  <c r="J57" i="38" s="1"/>
  <c r="L57" i="38" s="1"/>
  <c r="M57" i="38" s="1"/>
  <c r="O57" i="38" s="1"/>
  <c r="J28" i="38"/>
  <c r="K28" i="38" s="1"/>
  <c r="L28" i="38" s="1"/>
  <c r="G61" i="38" s="1"/>
  <c r="J61" i="38" s="1"/>
  <c r="L61" i="38" s="1"/>
  <c r="M61" i="38" s="1"/>
  <c r="O61" i="38" s="1"/>
  <c r="J32" i="38"/>
  <c r="K32" i="38" s="1"/>
  <c r="L32" i="38" s="1"/>
  <c r="G65" i="38" s="1"/>
  <c r="J65" i="38" s="1"/>
  <c r="L65" i="38" s="1"/>
  <c r="M65" i="38" s="1"/>
  <c r="O65" i="38" s="1"/>
  <c r="J25" i="38"/>
  <c r="K25" i="38" s="1"/>
  <c r="L25" i="38" s="1"/>
  <c r="G58" i="38" s="1"/>
  <c r="J58" i="38" s="1"/>
  <c r="L58" i="38" s="1"/>
  <c r="M58" i="38" s="1"/>
  <c r="O58" i="38" s="1"/>
  <c r="J29" i="38"/>
  <c r="K29" i="38" s="1"/>
  <c r="L29" i="38" s="1"/>
  <c r="G62" i="38" s="1"/>
  <c r="J62" i="38" s="1"/>
  <c r="L62" i="38" s="1"/>
  <c r="M62" i="38" s="1"/>
  <c r="O62" i="38" s="1"/>
  <c r="J33" i="38"/>
  <c r="K33" i="38" s="1"/>
  <c r="L33" i="38" s="1"/>
  <c r="G66" i="38" s="1"/>
  <c r="J66" i="38" s="1"/>
  <c r="L66" i="38" s="1"/>
  <c r="M66" i="38" s="1"/>
  <c r="O66" i="38" s="1"/>
  <c r="J26" i="38"/>
  <c r="K26" i="38" s="1"/>
  <c r="L26" i="38" s="1"/>
  <c r="G59" i="38" s="1"/>
  <c r="J59" i="38" s="1"/>
  <c r="L59" i="38" s="1"/>
  <c r="M59" i="38" s="1"/>
  <c r="O59" i="38" s="1"/>
  <c r="J30" i="38"/>
  <c r="K30" i="38" s="1"/>
  <c r="L30" i="38" s="1"/>
  <c r="G63" i="38" s="1"/>
  <c r="J63" i="38" s="1"/>
  <c r="L63" i="38" s="1"/>
  <c r="M63" i="38" s="1"/>
  <c r="O63" i="38" s="1"/>
  <c r="L23" i="38"/>
  <c r="G56" i="38" s="1"/>
  <c r="J56" i="38" s="1"/>
  <c r="L56" i="38" s="1"/>
  <c r="M56" i="38" s="1"/>
  <c r="O56" i="38" s="1"/>
  <c r="L22" i="38"/>
  <c r="G55" i="38" s="1"/>
  <c r="J55" i="38" s="1"/>
  <c r="L55" i="38" s="1"/>
  <c r="M55" i="38" s="1"/>
  <c r="O55" i="38" s="1"/>
  <c r="AT133" i="41" l="1"/>
  <c r="AU132" i="41"/>
  <c r="I29" i="15"/>
  <c r="I30" i="15"/>
  <c r="J30" i="15" s="1"/>
  <c r="I31" i="15"/>
  <c r="J31" i="15" s="1"/>
  <c r="I32" i="15"/>
  <c r="J32" i="15" s="1"/>
  <c r="I33" i="15"/>
  <c r="J33" i="15" s="1"/>
  <c r="I34" i="15"/>
  <c r="J34" i="15" s="1"/>
  <c r="K34" i="15" s="1"/>
  <c r="I35" i="15"/>
  <c r="J35" i="15" s="1"/>
  <c r="I36" i="15"/>
  <c r="J36" i="15" s="1"/>
  <c r="I37" i="15"/>
  <c r="J37" i="15" s="1"/>
  <c r="I38" i="15"/>
  <c r="J38" i="15" s="1"/>
  <c r="I39" i="15"/>
  <c r="J39" i="15" s="1"/>
  <c r="I40" i="15"/>
  <c r="J40" i="15" s="1"/>
  <c r="AT134" i="41" l="1"/>
  <c r="AU134" i="41" s="1"/>
  <c r="AU133" i="41"/>
  <c r="J29" i="15"/>
  <c r="K29" i="15" s="1"/>
  <c r="G62" i="15" s="1"/>
  <c r="I62" i="15"/>
  <c r="S65" i="15" l="1"/>
  <c r="T65" i="15" s="1"/>
  <c r="S69" i="15"/>
  <c r="T69" i="15" s="1"/>
  <c r="S73" i="15"/>
  <c r="T73" i="15" s="1"/>
  <c r="P65" i="15"/>
  <c r="Q65" i="15" s="1"/>
  <c r="P69" i="15"/>
  <c r="Q69" i="15" s="1"/>
  <c r="P73" i="15"/>
  <c r="Q73" i="15" s="1"/>
  <c r="S66" i="15"/>
  <c r="T66" i="15" s="1"/>
  <c r="S70" i="15"/>
  <c r="T70" i="15" s="1"/>
  <c r="S62" i="15"/>
  <c r="T62" i="15" s="1"/>
  <c r="P66" i="15"/>
  <c r="Q66" i="15" s="1"/>
  <c r="P70" i="15"/>
  <c r="Q70" i="15" s="1"/>
  <c r="P62" i="15"/>
  <c r="Q62" i="15" s="1"/>
  <c r="J62" i="15"/>
  <c r="L62" i="15" s="1"/>
  <c r="M62" i="15" s="1"/>
  <c r="S63" i="15"/>
  <c r="T63" i="15" s="1"/>
  <c r="S67" i="15"/>
  <c r="T67" i="15" s="1"/>
  <c r="S71" i="15"/>
  <c r="T71" i="15" s="1"/>
  <c r="P63" i="15"/>
  <c r="Q63" i="15" s="1"/>
  <c r="P67" i="15"/>
  <c r="Q67" i="15" s="1"/>
  <c r="P71" i="15"/>
  <c r="Q71" i="15" s="1"/>
  <c r="S64" i="15"/>
  <c r="T64" i="15" s="1"/>
  <c r="S68" i="15"/>
  <c r="T68" i="15" s="1"/>
  <c r="S72" i="15"/>
  <c r="T72" i="15" s="1"/>
  <c r="P64" i="15"/>
  <c r="Q64" i="15" s="1"/>
  <c r="P68" i="15"/>
  <c r="Q68" i="15" s="1"/>
  <c r="P72" i="15"/>
  <c r="Q72" i="15" s="1"/>
  <c r="U62" i="15" l="1"/>
  <c r="U66" i="15"/>
  <c r="U70" i="15"/>
  <c r="U73" i="15"/>
  <c r="U64" i="15"/>
  <c r="U67" i="15"/>
  <c r="U72" i="15"/>
  <c r="U68" i="15"/>
  <c r="U65" i="15"/>
  <c r="U69" i="15"/>
  <c r="U63" i="15"/>
  <c r="U71" i="15"/>
  <c r="K30" i="15" l="1"/>
  <c r="G63" i="15" s="1"/>
  <c r="J63" i="15" s="1"/>
  <c r="K31" i="15"/>
  <c r="G64" i="15" s="1"/>
  <c r="J64" i="15" s="1"/>
  <c r="K32" i="15"/>
  <c r="G65" i="15" s="1"/>
  <c r="J65" i="15" s="1"/>
  <c r="K33" i="15"/>
  <c r="G66" i="15" s="1"/>
  <c r="J66" i="15" s="1"/>
  <c r="G67" i="15"/>
  <c r="J67" i="15" s="1"/>
  <c r="K35" i="15"/>
  <c r="G68" i="15" s="1"/>
  <c r="J68" i="15" s="1"/>
  <c r="K36" i="15"/>
  <c r="G69" i="15" s="1"/>
  <c r="J69" i="15" s="1"/>
  <c r="K37" i="15"/>
  <c r="G70" i="15" s="1"/>
  <c r="J70" i="15" s="1"/>
  <c r="K38" i="15"/>
  <c r="G71" i="15" s="1"/>
  <c r="J71" i="15" s="1"/>
  <c r="K39" i="15"/>
  <c r="G72" i="15" s="1"/>
  <c r="J72" i="15" s="1"/>
  <c r="K40" i="15"/>
  <c r="G73" i="15" s="1"/>
  <c r="J73" i="15" s="1"/>
  <c r="I30" i="11" l="1"/>
  <c r="L73" i="15" l="1"/>
  <c r="M73" i="15" s="1"/>
  <c r="L63" i="15"/>
  <c r="M63" i="15" s="1"/>
  <c r="L64" i="15"/>
  <c r="M64" i="15" s="1"/>
  <c r="L65" i="15"/>
  <c r="M65" i="15" s="1"/>
  <c r="L66" i="15"/>
  <c r="M66" i="15" s="1"/>
  <c r="L68" i="15"/>
  <c r="M68" i="15" s="1"/>
  <c r="L69" i="15"/>
  <c r="M69" i="15" s="1"/>
  <c r="L70" i="15"/>
  <c r="M70" i="15" s="1"/>
  <c r="I30" i="14"/>
  <c r="J30" i="14" s="1"/>
  <c r="J21" i="14"/>
  <c r="D21" i="14"/>
  <c r="E21" i="14" s="1"/>
  <c r="J20" i="14"/>
  <c r="D20" i="14"/>
  <c r="E20" i="14" s="1"/>
  <c r="J19" i="14"/>
  <c r="D19" i="14"/>
  <c r="E19" i="14" s="1"/>
  <c r="J18" i="14"/>
  <c r="D18" i="14"/>
  <c r="E18" i="14" s="1"/>
  <c r="J17" i="14"/>
  <c r="D17" i="14"/>
  <c r="E17" i="14" s="1"/>
  <c r="J16" i="14"/>
  <c r="D16" i="14"/>
  <c r="E16" i="14" s="1"/>
  <c r="J15" i="14"/>
  <c r="D15" i="14"/>
  <c r="E15" i="14" s="1"/>
  <c r="J14" i="14"/>
  <c r="D14" i="14"/>
  <c r="E14" i="14" s="1"/>
  <c r="K13" i="14"/>
  <c r="J13" i="14"/>
  <c r="C13" i="14"/>
  <c r="D13" i="14" s="1"/>
  <c r="E13" i="14" s="1"/>
  <c r="J12" i="14"/>
  <c r="D12" i="14"/>
  <c r="E12" i="14" s="1"/>
  <c r="L67" i="15" l="1"/>
  <c r="M67" i="15" s="1"/>
  <c r="L72" i="15"/>
  <c r="M72" i="15" s="1"/>
  <c r="L71" i="15"/>
  <c r="M71" i="15" s="1"/>
  <c r="J46" i="14"/>
  <c r="J44" i="14"/>
  <c r="J42" i="14"/>
  <c r="J40" i="14"/>
  <c r="J38" i="14"/>
  <c r="J36" i="14"/>
  <c r="J45" i="14"/>
  <c r="J43" i="14"/>
  <c r="J41" i="14"/>
  <c r="J39" i="14"/>
  <c r="J37" i="14"/>
  <c r="J35" i="14"/>
  <c r="J30" i="11"/>
  <c r="D21" i="11"/>
  <c r="J35" i="11" l="1"/>
  <c r="L35" i="11" s="1"/>
  <c r="J40" i="11" l="1"/>
  <c r="L40" i="11" s="1"/>
  <c r="J36" i="11"/>
  <c r="L36" i="11" s="1"/>
  <c r="J37" i="11"/>
  <c r="L37" i="11" s="1"/>
  <c r="J38" i="11"/>
  <c r="L38" i="11" s="1"/>
  <c r="J39" i="11"/>
  <c r="L39" i="11" s="1"/>
  <c r="J41" i="11"/>
  <c r="L41" i="11" s="1"/>
  <c r="J42" i="11"/>
  <c r="L42" i="11" s="1"/>
  <c r="J43" i="11"/>
  <c r="L43" i="11" s="1"/>
  <c r="J44" i="11"/>
  <c r="L44" i="11" s="1"/>
  <c r="J45" i="11"/>
  <c r="L45" i="11" s="1"/>
  <c r="J46" i="11"/>
  <c r="L46" i="11" s="1"/>
  <c r="D12" i="11" l="1"/>
  <c r="E12" i="11" s="1"/>
  <c r="J12" i="11"/>
  <c r="J14" i="11"/>
  <c r="J15" i="11"/>
  <c r="J16" i="11"/>
  <c r="J17" i="11"/>
  <c r="J18" i="11"/>
  <c r="J19" i="11"/>
  <c r="J20" i="11"/>
  <c r="J21" i="11"/>
  <c r="K13" i="11"/>
  <c r="J13" i="11" s="1"/>
  <c r="C13" i="11"/>
  <c r="D16" i="11"/>
  <c r="E16" i="11" s="1"/>
  <c r="D20" i="11"/>
  <c r="E20" i="11" s="1"/>
  <c r="E21" i="11"/>
  <c r="D19" i="11"/>
  <c r="E19" i="11" s="1"/>
  <c r="D18" i="11"/>
  <c r="E18" i="11" s="1"/>
  <c r="D17" i="11"/>
  <c r="E17" i="11" s="1"/>
  <c r="D15" i="11"/>
  <c r="E15" i="11" s="1"/>
  <c r="D14" i="11"/>
  <c r="E14" i="11" s="1"/>
  <c r="D13" i="11" l="1"/>
  <c r="E13" i="11" s="1"/>
  <c r="J37" i="39"/>
  <c r="M58" i="39" l="1"/>
  <c r="N58" i="39" s="1"/>
  <c r="O58" i="39" s="1"/>
  <c r="S58" i="39" s="1"/>
  <c r="H20" i="39"/>
  <c r="I20" i="39" s="1"/>
  <c r="J20" i="39" l="1"/>
  <c r="F58" i="39" s="1"/>
  <c r="H58" i="39" l="1"/>
  <c r="J58" i="39" s="1"/>
  <c r="K58" i="39" s="1"/>
</calcChain>
</file>

<file path=xl/sharedStrings.xml><?xml version="1.0" encoding="utf-8"?>
<sst xmlns="http://schemas.openxmlformats.org/spreadsheetml/2006/main" count="1865" uniqueCount="490">
  <si>
    <t xml:space="preserve"> spr rate</t>
  </si>
  <si>
    <t xml:space="preserve"> mWheel</t>
  </si>
  <si>
    <t xml:space="preserve"> ips</t>
  </si>
  <si>
    <t>ro</t>
  </si>
  <si>
    <t>r zeta</t>
  </si>
  <si>
    <t>r coeff</t>
  </si>
  <si>
    <t xml:space="preserve"> lev ratio at 100tr</t>
  </si>
  <si>
    <t xml:space="preserve"> Can you help? </t>
  </si>
  <si>
    <t>For example</t>
  </si>
  <si>
    <t xml:space="preserve"> desired zeta</t>
  </si>
  <si>
    <t xml:space="preserve"> current output</t>
  </si>
  <si>
    <t xml:space="preserve"> desired output</t>
  </si>
  <si>
    <t xml:space="preserve"> I would like to work this equation backwards and input the lev ratio, spring rate, mWheel and desired zeta value to calculate the required rebound force to get zeta.</t>
  </si>
  <si>
    <t xml:space="preserve"> 12-25-17</t>
  </si>
  <si>
    <t>Find damping coefficient needed to get target zeta value</t>
  </si>
  <si>
    <t>Inputs</t>
  </si>
  <si>
    <t>LR.foale</t>
  </si>
  <si>
    <t>K.spring</t>
  </si>
  <si>
    <t>M.wheel</t>
  </si>
  <si>
    <t>[-]</t>
  </si>
  <si>
    <t>[kg/mm]</t>
  </si>
  <si>
    <t>Target zeta</t>
  </si>
  <si>
    <t>zeta=</t>
  </si>
  <si>
    <t>Calculate damping coeff for target zeta</t>
  </si>
  <si>
    <t>k.spring</t>
  </si>
  <si>
    <t>[lbf/ft]</t>
  </si>
  <si>
    <t>c.damp</t>
  </si>
  <si>
    <t>[lbf-s/in]</t>
  </si>
  <si>
    <t>[lbm]</t>
  </si>
  <si>
    <t>Target damping curve</t>
  </si>
  <si>
    <t>u.shaft</t>
  </si>
  <si>
    <t>[in/s]</t>
  </si>
  <si>
    <t>F.damp</t>
  </si>
  <si>
    <t>[lbf]</t>
  </si>
  <si>
    <t xml:space="preserve"> This is calvin's original</t>
  </si>
  <si>
    <t>ips</t>
  </si>
  <si>
    <t>Target czeta</t>
  </si>
  <si>
    <t xml:space="preserve"> &lt;-- this needs to be divided by 2 for forks to work</t>
  </si>
  <si>
    <t/>
  </si>
  <si>
    <t>SHOCK</t>
  </si>
  <si>
    <t>FORK</t>
  </si>
  <si>
    <t>drag</t>
  </si>
  <si>
    <t xml:space="preserve"> c-zeta</t>
  </si>
  <si>
    <t xml:space="preserve"> 1)</t>
  </si>
  <si>
    <t xml:space="preserve"> 2)</t>
  </si>
  <si>
    <t xml:space="preserve"> 3)</t>
  </si>
  <si>
    <t xml:space="preserve"> 4)</t>
  </si>
  <si>
    <t xml:space="preserve"> 5)</t>
  </si>
  <si>
    <t xml:space="preserve"> 6)</t>
  </si>
  <si>
    <t xml:space="preserve"> zeta_backwards_fkc_fkr.xlsx</t>
  </si>
  <si>
    <t xml:space="preserve"> Fork c-zeta worked backwards is based on three excel files,   fkc_target_nu_bv_mv_comp.xlsx,    zeta_backwards_fkc_fkr.xlsx,    zeta_fkc_aver_33tests.xlsx</t>
  </si>
  <si>
    <t xml:space="preserve"> Calvin, I would like to work this equation backwards and input the lev ratio, spring rate, mWheel and desired zeta value to calculate the required rebound force to get zeta.</t>
  </si>
  <si>
    <t xml:space="preserve"> ORGINAL FORMULAS FROM CALVIN</t>
  </si>
  <si>
    <t xml:space="preserve"> To use this page, enter the correct lev ratio, spring and zeta values from 1-70 ips.</t>
  </si>
  <si>
    <t xml:space="preserve"> Calculate desired c-zeta numbers and enter in column H.</t>
  </si>
  <si>
    <t xml:space="preserve"> The program reverse engineers the oall comp force needed for the spring.</t>
  </si>
  <si>
    <t xml:space="preserve">     We usually take an existing good fork test and use those calculated c-zeta values.</t>
  </si>
  <si>
    <t xml:space="preserve">     Then we can set up a new bike and account for the different rider weight and spring rate.</t>
  </si>
  <si>
    <t>c-zeta</t>
  </si>
  <si>
    <t>m.wheel</t>
  </si>
  <si>
    <t>c-zeta=</t>
  </si>
  <si>
    <t>lev.ratio</t>
  </si>
  <si>
    <t>spr.rate</t>
  </si>
  <si>
    <t xml:space="preserve"> c-zeta from above (3210)</t>
  </si>
  <si>
    <t>c.damp ( / 2)</t>
  </si>
  <si>
    <t>Formula to reverse engineer bv comp force, in this example</t>
  </si>
  <si>
    <t>Enter lev.ratio -  spr.rate -  m.wheel</t>
  </si>
  <si>
    <t xml:space="preserve">    k.spring = spr.rate x 2.20462 x 25.4 x 12</t>
  </si>
  <si>
    <t xml:space="preserve">    c.damp = ( c.zeta x lev.ratio . SQRT (4 x m.wheel x k.spring / 32.2) / 12 )   / 2</t>
  </si>
  <si>
    <t>Calculate bv comp force, in this example</t>
  </si>
  <si>
    <t xml:space="preserve">    bv force = ( vel x c.damp )</t>
  </si>
  <si>
    <t>Formula to calculate c-zeta</t>
  </si>
  <si>
    <t xml:space="preserve">  (fixed number)</t>
  </si>
  <si>
    <t xml:space="preserve"> 3-26-19</t>
  </si>
  <si>
    <t xml:space="preserve"> c-zeta = SQRT ( 12 x 32.2 x d.coeff^2 ) / ( 4 x m.wheel x (spr.rate x 56) x lev.ratio^2 ))</t>
  </si>
  <si>
    <t>Calculate k.spring</t>
  </si>
  <si>
    <t>Calculate c.damp</t>
  </si>
  <si>
    <t>Get c-zeta from database, or in this case we will use c-zeta from above</t>
  </si>
  <si>
    <t xml:space="preserve">     .87    .54    .46    .40    .36    .25    .18    .16    .16    .16    .16    .16 </t>
  </si>
  <si>
    <t xml:space="preserve"> c-zeta from zeta_aver_fk_comp TABLE</t>
  </si>
  <si>
    <t>for target zeta</t>
  </si>
  <si>
    <t>Target damping</t>
  </si>
  <si>
    <t>curve</t>
  </si>
  <si>
    <t>This reverse engineers</t>
  </si>
  <si>
    <t>the comp numbers</t>
  </si>
  <si>
    <t xml:space="preserve"> mv</t>
  </si>
  <si>
    <t xml:space="preserve"> bv force</t>
  </si>
  <si>
    <t>bv</t>
  </si>
  <si>
    <t xml:space="preserve"> mv force</t>
  </si>
  <si>
    <t>bv+mv</t>
  </si>
  <si>
    <t xml:space="preserve"> tab for additional c-zeta curves</t>
  </si>
  <si>
    <t>co</t>
  </si>
  <si>
    <t>Because we removed 2 lbs to calculate c-zeta, this table takes the</t>
  </si>
  <si>
    <t>reverse engineered oall force and adds back the 2 lbs.</t>
  </si>
  <si>
    <t xml:space="preserve"> remove 2 lbs drag</t>
  </si>
  <si>
    <t>-drag</t>
  </si>
  <si>
    <t>These are the original numbers from  zeta_aver_fk_comp TABLE</t>
  </si>
  <si>
    <t xml:space="preserve"> add back</t>
  </si>
  <si>
    <t>+drag</t>
  </si>
  <si>
    <t xml:space="preserve"> This shows how to  create c-zeta from co wogas and to reverse engineer the bv force and mv force</t>
  </si>
  <si>
    <r>
      <t xml:space="preserve"> this c-zeta curve is </t>
    </r>
    <r>
      <rPr>
        <i/>
        <sz val="11"/>
        <color rgb="FFC00000"/>
        <rFont val="Calibri"/>
        <family val="2"/>
      </rPr>
      <t>aver b x 1.0</t>
    </r>
    <r>
      <rPr>
        <sz val="11"/>
        <color theme="1"/>
        <rFont val="Calibri"/>
        <family val="2"/>
      </rPr>
      <t xml:space="preserve"> from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rgb="FFC00000"/>
        <rFont val="Calibri"/>
        <family val="2"/>
      </rPr>
      <t>zeta_aver_fk_comp</t>
    </r>
    <r>
      <rPr>
        <sz val="11"/>
        <color theme="1"/>
        <rFont val="Calibri"/>
        <family val="2"/>
      </rPr>
      <t xml:space="preserve"> TABLE as of 3-25-19 (which came from (2050) 15yz250 and (2151) 13yz250</t>
    </r>
  </si>
  <si>
    <t xml:space="preserve"> We have two c-zeta curves.    _a  from (3210) &amp; (3211)    -AND-    _b from (2052) &amp; (2151)</t>
  </si>
  <si>
    <t>First, this is how to create a c-zeta damping target (curve) from co wogas</t>
  </si>
  <si>
    <t xml:space="preserve"> We are using    _a  c-zeta numbers in this example</t>
  </si>
  <si>
    <t xml:space="preserve"> These are the force numbers from DFF,    i.e. the numbers are half of SFF    -AND/OR-    SFF numbers are double DFF</t>
  </si>
  <si>
    <t xml:space="preserve"> We want the c-zeta damping target to be based on damping forces WITHOUT drag forces  (even ctg drag forces are very high in forks)</t>
  </si>
  <si>
    <t xml:space="preserve"> At low velocities (1-5ips) drag forces account for roughly half the comp force.   1ips=71%. 2ips=58%, 3ips=49%, 4ips=43%, 5ips=38%</t>
  </si>
  <si>
    <t xml:space="preserve"> THEREFORE we will remove drag before calculating c-zeta, and add it back in when reverse engineering.</t>
  </si>
  <si>
    <t xml:space="preserve"> oall comp from  various sources</t>
  </si>
  <si>
    <t xml:space="preserve"> This can be found in  fkc_target_nu_bv_mv_comp.xlsx.</t>
  </si>
  <si>
    <t>c-zeta from zeta_aver_fk_comp TABLE</t>
  </si>
  <si>
    <t xml:space="preserve"> (damp coeff)</t>
  </si>
  <si>
    <t>calculate k.spring</t>
  </si>
  <si>
    <t xml:space="preserve"> and c.damp</t>
  </si>
  <si>
    <t xml:space="preserve"> _a bv</t>
  </si>
  <si>
    <t xml:space="preserve"> _b bv</t>
  </si>
  <si>
    <t xml:space="preserve"> from     fkc_targetnu_bv_mv_comp.xlsx</t>
  </si>
  <si>
    <t xml:space="preserve"> _a mv</t>
  </si>
  <si>
    <t xml:space="preserve"> _b mv</t>
  </si>
  <si>
    <t>FORK COMPRESSION</t>
  </si>
  <si>
    <t>FORK REBOUND</t>
  </si>
  <si>
    <t xml:space="preserve"> This shows how to  create r-zeta from ro wogas and to reverse engineer the reb force</t>
  </si>
  <si>
    <t xml:space="preserve"> Fork r-zeta worked backwards is based the fact we want r-zeta to be .70.  We do have options for  .50   .55   .60   .65   .70,  but r-zeta IS NOT based on existing good tests.  It is based on the concept.</t>
  </si>
  <si>
    <t>First, this is how to create a r-zeta damping target (curve) from ro wogas</t>
  </si>
  <si>
    <t xml:space="preserve"> We have one r-zeta curves based on the concept we want r-zeta = .70.  We do have options for .50, .55, .60, .65, .70 but r-zeta is linear, not a curve like c-zeta</t>
  </si>
  <si>
    <t xml:space="preserve"> Fork r-zeta is linear.  Shock c-zeta is based on a curve.</t>
  </si>
  <si>
    <t xml:space="preserve"> The idea is to create c-zeta damping targets.  Shock c-zeta is based on a curve.  Fork r-zeta is not.</t>
  </si>
  <si>
    <t>r.damp</t>
  </si>
  <si>
    <t>r-zeta</t>
  </si>
  <si>
    <t xml:space="preserve"> Rebound zeta is based on force from both forks.</t>
  </si>
  <si>
    <t xml:space="preserve"> THEREFORE we must double the DFF numbers when comparing r-zeta.</t>
  </si>
  <si>
    <t xml:space="preserve">IMPORTANT  </t>
  </si>
  <si>
    <t>Rebound zeta is based on full force from both forks, unlike compression zeta which is based on the comp force from one DFF fork.   Also see c-zeta comments.</t>
  </si>
  <si>
    <t>x 2</t>
  </si>
  <si>
    <t xml:space="preserve"> .55</t>
  </si>
  <si>
    <t xml:space="preserve"> +drag</t>
  </si>
  <si>
    <t>half</t>
  </si>
  <si>
    <t>Think about this more later.</t>
  </si>
  <si>
    <t>r0</t>
  </si>
  <si>
    <t>Reverse engineer bv+mv force</t>
  </si>
  <si>
    <t xml:space="preserve"> - 0 drag</t>
  </si>
  <si>
    <t xml:space="preserve"> - 2 drag</t>
  </si>
  <si>
    <t xml:space="preserve"> % diff</t>
  </si>
  <si>
    <t>We compared r-zeta with and without removing 2 lbs drag.   There isa 4-6 % difference.  See cell R52.</t>
  </si>
  <si>
    <t>There is a 4-6% difference, but we can't build a fork and get the rebound numbers this close.  THEREFORE the difference is not enough to worry about.</t>
  </si>
  <si>
    <t xml:space="preserve"> CONCLUSION --&gt;</t>
  </si>
  <si>
    <t>These new numbers are entered in vdb and look ok for now.</t>
  </si>
  <si>
    <t>Compression zeta is based on the force from one DFF fork.  Rebound zeta is based on full force from both forks.  We reasoned that since</t>
  </si>
  <si>
    <t>we made up c-zeta we will just use force from single DFF.</t>
  </si>
  <si>
    <t>--&gt; If you create c-zeta from a specific test, the final c-zeta target numbers will be different than the original test numbers, because we</t>
  </si>
  <si>
    <t>the reverse engineered oall force and adds back the 2 lbs.</t>
  </si>
  <si>
    <t>Because we removed 2 lbs to calculate c-zeta, this table takes</t>
  </si>
  <si>
    <t>This table calculates c-zeta for bv and mv, adds them together</t>
  </si>
  <si>
    <t>and -2 lbs drag. These numbersshould match those in column M.</t>
  </si>
  <si>
    <t>smoothed the original numbers with trendline.</t>
  </si>
  <si>
    <t xml:space="preserve">  c-zeta with  2 lbs drag removed</t>
  </si>
  <si>
    <t>both with 2 lb drag</t>
  </si>
  <si>
    <t>c-zeta from above</t>
  </si>
  <si>
    <t xml:space="preserve"> oall comp from --&gt;</t>
  </si>
  <si>
    <t xml:space="preserve"> aver a x 1.0</t>
  </si>
  <si>
    <t xml:space="preserve"> aver b x 1.0</t>
  </si>
  <si>
    <t>copy to select correct mv &amp; mv c-zeta below</t>
  </si>
  <si>
    <t xml:space="preserve"> tab for original c-zeta curve</t>
  </si>
  <si>
    <t>aver a x 1.0</t>
  </si>
  <si>
    <t>aver b x 1.0</t>
  </si>
  <si>
    <t xml:space="preserve"> Reverse engineer bv + mv force</t>
  </si>
  <si>
    <t xml:space="preserve"> calculate k.spring</t>
  </si>
  <si>
    <t xml:space="preserve"> reverse engineer</t>
  </si>
  <si>
    <t xml:space="preserve"> the comp numbers</t>
  </si>
  <si>
    <t xml:space="preserve"> co wogas</t>
  </si>
  <si>
    <t xml:space="preserve"> drag</t>
  </si>
  <si>
    <t>bv force</t>
  </si>
  <si>
    <t>mv force</t>
  </si>
  <si>
    <t>bv c-zeta</t>
  </si>
  <si>
    <t>mv c-zeta</t>
  </si>
  <si>
    <t>bv+mv+drag</t>
  </si>
  <si>
    <t>x increment</t>
  </si>
  <si>
    <t xml:space="preserve"> Calculate c-zeta for co wogas</t>
  </si>
  <si>
    <t>co wogas</t>
  </si>
  <si>
    <t xml:space="preserve"> Calculate c-zeta for bv force</t>
  </si>
  <si>
    <t xml:space="preserve"> Calculate c-zeta for mv force</t>
  </si>
  <si>
    <t xml:space="preserve"> +2lbs drag</t>
  </si>
  <si>
    <t xml:space="preserve"> qk check</t>
  </si>
  <si>
    <t xml:space="preserve">    copy either to row 6</t>
  </si>
  <si>
    <t xml:space="preserve"> Reverse engineer co wogas</t>
  </si>
  <si>
    <t>and -2 lbs drag. These numbers should match those in column M.</t>
  </si>
  <si>
    <t xml:space="preserve"> We made this copy so we could put all the formulas in a small, condensed area for easier viewing.</t>
  </si>
  <si>
    <t xml:space="preserve">    stiff+4 =  x 1.754</t>
  </si>
  <si>
    <t xml:space="preserve">    soft-4 = x .570</t>
  </si>
  <si>
    <t>mv</t>
  </si>
  <si>
    <t xml:space="preserve">  these numbers will match only if 2 lbs drag is subtracted in cell H21</t>
  </si>
  <si>
    <t xml:space="preserve"> </t>
  </si>
  <si>
    <t xml:space="preserve"> 4-1-19</t>
  </si>
  <si>
    <t>I actually do account for the drag. My first description wasn’t accurate. I actually take the bv force and mv force as calculated from the pressure data. I create a c-zeta curve on those two</t>
  </si>
  <si>
    <t>forces. When scaling for a change in spring rate I use c-zeta to reverse engineer the new bv and mv force numbers, then add 2 lbs drag. This way I am only scaling the damping force. </t>
  </si>
  <si>
    <t>I also scale for different types of riding. For example, SX needs more compression and it has to come from the damping. This goes to my compression scale of soft-aver-stiff, with 15% increase</t>
  </si>
  <si>
    <t>from soft to aver, aver to stiff, etc. The good fork setting is average. Supermoto needs stiff+6, which is a 15% increase 7 times. Can’t increase drag so it all has to come from the damping.</t>
  </si>
  <si>
    <t>Summary: I am basically removing the drag when scaling for a change in spring rate or type of riding. </t>
  </si>
  <si>
    <t xml:space="preserve">  See -goodcopy tab</t>
  </si>
  <si>
    <t xml:space="preserve">   Fork c-zeta worked backwards is based on two excel files,  fkc_targetnu_bv_mv_comp.xlsx,    zeta_backwards_fk.xlsx</t>
  </si>
  <si>
    <t xml:space="preserve">   Fork c-zeta 'aver' is based on the original fkc target numbers from a single DFF.</t>
  </si>
  <si>
    <t xml:space="preserve">  Use this goodcopy</t>
  </si>
  <si>
    <t>co-zeta</t>
  </si>
  <si>
    <t xml:space="preserve"> bv-zeta</t>
  </si>
  <si>
    <t xml:space="preserve"> mv-zeta</t>
  </si>
  <si>
    <t xml:space="preserve"> CALCULATE R-ZETA FOR COMPARISON</t>
  </si>
  <si>
    <t>double</t>
  </si>
  <si>
    <t xml:space="preserve"> 5-5-23</t>
  </si>
  <si>
    <t xml:space="preserve"> This example is for VDB</t>
  </si>
  <si>
    <t xml:space="preserve">  openLevRatioFk__change_press_a_reb_targ.php</t>
  </si>
  <si>
    <t>end</t>
  </si>
  <si>
    <t>Reverse engineer rebound force</t>
  </si>
  <si>
    <t>m.chassis</t>
  </si>
  <si>
    <t xml:space="preserve"> curve</t>
  </si>
  <si>
    <t xml:space="preserve">Target damping </t>
  </si>
  <si>
    <t>[kg]</t>
  </si>
  <si>
    <t>reb force</t>
  </si>
  <si>
    <t>Desired r-zeta</t>
  </si>
  <si>
    <t xml:space="preserve">  (3883f)   2022 SEF F 450</t>
  </si>
  <si>
    <t xml:space="preserve"> zeta_backwards_fkc_fkr.xlsx  </t>
  </si>
  <si>
    <t xml:space="preserve"> Reverse engineered rebound force</t>
  </si>
  <si>
    <t xml:space="preserve">  Actual rebound force from</t>
  </si>
  <si>
    <t xml:space="preserve"> from r-zeta curve.</t>
  </si>
  <si>
    <t xml:space="preserve"> img_example_rzeta_02.png  </t>
  </si>
  <si>
    <t xml:space="preserve">  Example comparing r-zeta value</t>
  </si>
  <si>
    <t>The beauty of it is, it doesn't have to be a linear change.</t>
  </si>
  <si>
    <t xml:space="preserve">  of .55 at 60-70ips and compare </t>
  </si>
  <si>
    <t xml:space="preserve">  to actual rebound force from </t>
  </si>
  <si>
    <t xml:space="preserve">  the previous example.</t>
  </si>
  <si>
    <t xml:space="preserve">  Ignore 1-2ips</t>
  </si>
  <si>
    <t xml:space="preserve"> img_example_rzeta_03.png  </t>
  </si>
  <si>
    <t xml:space="preserve"> img_example_rzeta_04.png  </t>
  </si>
  <si>
    <t xml:space="preserve">  Example using r-zeta curve</t>
  </si>
  <si>
    <t xml:space="preserve">  This curve has lighter low speed rebound</t>
  </si>
  <si>
    <t xml:space="preserve">  than the previous example.</t>
  </si>
  <si>
    <t xml:space="preserve">  that dips in the middle.  </t>
  </si>
  <si>
    <t xml:space="preserve">  2020 SEF F 450.</t>
  </si>
  <si>
    <t xml:space="preserve"> 2-1-24</t>
  </si>
  <si>
    <t xml:space="preserve"> dips in middle</t>
  </si>
  <si>
    <t xml:space="preserve"> .50-.70</t>
  </si>
  <si>
    <t xml:space="preserve"> .55-.70</t>
  </si>
  <si>
    <t xml:space="preserve"> .60-.70</t>
  </si>
  <si>
    <t xml:space="preserve"> We were looking for r-zeta that dips in the middle, or dips at 20-30ips.</t>
  </si>
  <si>
    <t xml:space="preserve"> We had something in vdb, but it was old liner .50-.70, for example, that happened to dip when 2.5 chrome tube drag is added.</t>
  </si>
  <si>
    <t xml:space="preserve"> But that's no good as it dipped at 10ips AND, we don't use the 2.5 chrtd anymore for analysis</t>
  </si>
  <si>
    <t xml:space="preserve"> 2-1-24  we are adding r-zeta that dips at 20-30ips</t>
  </si>
  <si>
    <t xml:space="preserve">  all comments related to this have this red font color</t>
  </si>
  <si>
    <t xml:space="preserve"> 2-1-24   FIRST</t>
  </si>
  <si>
    <t>First we look at 4182f and use those approx reb numbers to create a curve that  "drops at 20-30ips"  on the graph.</t>
  </si>
  <si>
    <t xml:space="preserve">  We can fine tune later, for now we need something quick for Alan Stelzig reb analysis.</t>
  </si>
  <si>
    <t>r-10</t>
  </si>
  <si>
    <t xml:space="preserve">    --&gt; copy the actual numbers from susanto excel</t>
  </si>
  <si>
    <t xml:space="preserve">  We are using 4182 because it has the usual reb numbers and has a "drops at 20-30ips" curve that looks about right, once we tweak the reb numbers.</t>
  </si>
  <si>
    <t xml:space="preserve">    And with this reb we can see the numbers needed at 3-10-30-70ips, and manually tweak them and keep the numbers within the actual  "they are always going to fall in this general area", and can't be radical like calvin suggests</t>
  </si>
  <si>
    <t>Don't adjust 1-2ips</t>
  </si>
  <si>
    <t xml:space="preserve"> 2 ips --&gt;</t>
  </si>
  <si>
    <t xml:space="preserve"> 1 ips --&gt;</t>
  </si>
  <si>
    <t>A quick look at all reb numbers shows they are usually    2.2 - 2.8 at 1ips    and     3.4 - 4.1 at 2ips.</t>
  </si>
  <si>
    <t xml:space="preserve"> 3ips</t>
  </si>
  <si>
    <t>vdb reb</t>
  </si>
  <si>
    <t>factor</t>
  </si>
  <si>
    <t>we want reb</t>
  </si>
  <si>
    <t>We use the % comparison to right and sorted the list of actual reb number in vdb  quickLookFk_dynofork_rebound.php  ---&gt;</t>
  </si>
  <si>
    <t>sorted, the vdb list said</t>
  </si>
  <si>
    <t xml:space="preserve"> 10ips</t>
  </si>
  <si>
    <t>First, we have a stiffer reb than usual on 4182f, and the kyb25 reb pist seems to have higher number at than the list so we'll go up a set% from what we see in the vdb list</t>
  </si>
  <si>
    <t xml:space="preserve"> 30ips</t>
  </si>
  <si>
    <t xml:space="preserve"> 70ips</t>
  </si>
  <si>
    <t>Second we will use above created r-zeta numbers and reverse engineer reb force</t>
  </si>
  <si>
    <t xml:space="preserve">  Because I don’t remember it being this simple, </t>
  </si>
  <si>
    <t xml:space="preserve"> put the above numbers here and divide to check</t>
  </si>
  <si>
    <t>Simple as that, we'll put these numbers in the  zetakf_targetnu  TABLE</t>
  </si>
  <si>
    <t xml:space="preserve"> So we copied this from    rzeta_bkwd_fkr_USE     and will do a will quickly create new r-zezeta number to enter in database table  zetakf_targetnu </t>
  </si>
  <si>
    <t xml:space="preserve">PLUS, we deleted anything that looked like we don't need.  You can always look at other tab </t>
  </si>
  <si>
    <t xml:space="preserve"> See line 90 where we copy everything down and make r-zeta for .70</t>
  </si>
  <si>
    <t xml:space="preserve"> This is r-zeta .79 at 70ips</t>
  </si>
  <si>
    <t>END</t>
  </si>
  <si>
    <t xml:space="preserve"> 2-1-24   THIRD</t>
  </si>
  <si>
    <t xml:space="preserve"> We'll just multiply reb force by a factor to create similar curve for r-zeta .70 at 70ips</t>
  </si>
  <si>
    <t xml:space="preserve"> multiply by factor to reduce r-zeta and keep same shape curve</t>
  </si>
  <si>
    <t xml:space="preserve"> 4</t>
  </si>
  <si>
    <t xml:space="preserve"> 4029f</t>
  </si>
  <si>
    <t xml:space="preserve"> 4182f</t>
  </si>
  <si>
    <t xml:space="preserve"> 4205f</t>
  </si>
  <si>
    <t xml:space="preserve"> 4179f</t>
  </si>
  <si>
    <t xml:space="preserve"> 4181f</t>
  </si>
  <si>
    <t xml:space="preserve"> This is r-zeta .70 at 70ips</t>
  </si>
  <si>
    <t>dip-70</t>
  </si>
  <si>
    <t>ro wogas</t>
  </si>
  <si>
    <t>    ips    </t>
  </si>
  <si>
    <t>[lbs]</t>
  </si>
  <si>
    <t>[actual]</t>
  </si>
  <si>
    <t>[target]</t>
  </si>
  <si>
    <t>[% diff]</t>
  </si>
  <si>
    <t>target</t>
  </si>
  <si>
    <t>actual</t>
  </si>
  <si>
    <t>didn't  manually</t>
  </si>
  <si>
    <t>tweak</t>
  </si>
  <si>
    <t xml:space="preserve"> This is r-zeta .80 at 70ips</t>
  </si>
  <si>
    <t xml:space="preserve"> 2-1-24   SECOND</t>
  </si>
  <si>
    <t>We copied this from above.   It has r-zeta .80</t>
  </si>
  <si>
    <t xml:space="preserve"> 4205f from above</t>
  </si>
  <si>
    <t>dd</t>
  </si>
  <si>
    <t>HERE ARE NUMBERS FROM BOTH TO PUT IN DATABASE TABLE</t>
  </si>
  <si>
    <t xml:space="preserve"> dip-80</t>
  </si>
  <si>
    <t xml:space="preserve"> 4ips</t>
  </si>
  <si>
    <t xml:space="preserve"> 5ips</t>
  </si>
  <si>
    <t xml:space="preserve"> 3 ips --&gt;</t>
  </si>
  <si>
    <t xml:space="preserve"> 4 ips --&gt;</t>
  </si>
  <si>
    <t xml:space="preserve"> 5 ips --&gt;</t>
  </si>
  <si>
    <t xml:space="preserve"> 1ips</t>
  </si>
  <si>
    <t xml:space="preserve"> 2ips</t>
  </si>
  <si>
    <t>low</t>
  </si>
  <si>
    <t>high</t>
  </si>
  <si>
    <t>%</t>
  </si>
  <si>
    <t>aver</t>
  </si>
  <si>
    <t xml:space="preserve"> x .87</t>
  </si>
  <si>
    <t xml:space="preserve"> 10 ips --&gt;</t>
  </si>
  <si>
    <t xml:space="preserve"> scrolling to middle of view many reb pg</t>
  </si>
  <si>
    <t>enterd this vdb database table</t>
  </si>
  <si>
    <t xml:space="preserve"> 2-3-24</t>
  </si>
  <si>
    <t xml:space="preserve"> I45</t>
  </si>
  <si>
    <t xml:space="preserve"> This table is for phpBB</t>
  </si>
  <si>
    <t xml:space="preserve"> 3744f</t>
  </si>
  <si>
    <t xml:space="preserve"> k.spr</t>
  </si>
  <si>
    <t>rev engineer</t>
  </si>
  <si>
    <t xml:space="preserve"> interpo</t>
  </si>
  <si>
    <t xml:space="preserve"> lb dip</t>
  </si>
  <si>
    <t>ss</t>
  </si>
  <si>
    <t xml:space="preserve"> 3616f</t>
  </si>
  <si>
    <t>r-zeta dip 30/70</t>
  </si>
  <si>
    <t xml:space="preserve"> 3613f</t>
  </si>
  <si>
    <t>straiten</t>
  </si>
  <si>
    <t xml:space="preserve"> reb curve dips in the middle</t>
  </si>
  <si>
    <t xml:space="preserve"> The dip at 20-30ips can be seen in r-zeta by compareing r-zeta at 10 and 30ips.  </t>
  </si>
  <si>
    <t xml:space="preserve">    If it dips, 30ips r-zeta is less than 10</t>
  </si>
  <si>
    <t xml:space="preserve"> The dip IS ALSO in relatio to a r-zeta .70 reb curve.</t>
  </si>
  <si>
    <t xml:space="preserve"> So we copied this TAB from    rzeta_bkwd_fkr_USE     and will do a will quickly create new r-zezeta number to enter in database table  zetakf_targetnu </t>
  </si>
  <si>
    <t xml:space="preserve"> Use 4182f  with 18.12 HS shim</t>
  </si>
  <si>
    <t xml:space="preserve"> Use/compare with 4205f with 20.12 HS shim</t>
  </si>
  <si>
    <t xml:space="preserve"> Use/compare with 4206f with 20.15 HS shim</t>
  </si>
  <si>
    <t xml:space="preserve"> List of all tests we might look at</t>
  </si>
  <si>
    <t xml:space="preserve"> Reb force at 1-5ips is not consistant with r-zeta 70</t>
  </si>
  <si>
    <t xml:space="preserve"> We used the  [view multiple reb]  from the compare tab</t>
  </si>
  <si>
    <t xml:space="preserve"> We'll use this to get best guess baseline for reb force at 1-5ips.</t>
  </si>
  <si>
    <t>copied from susanto</t>
  </si>
  <si>
    <t xml:space="preserve"> * -1</t>
  </si>
  <si>
    <t>quick check</t>
  </si>
  <si>
    <t>with above</t>
  </si>
  <si>
    <t xml:space="preserve"> 4025f</t>
  </si>
  <si>
    <t xml:space="preserve"> This is a one time deal for 1-5ips</t>
  </si>
  <si>
    <t xml:space="preserve"> 4183f</t>
  </si>
  <si>
    <t xml:space="preserve"> We'll copy 4182f down and adjust down to r-zeta with a factor</t>
  </si>
  <si>
    <t>copied  from 4182f</t>
  </si>
  <si>
    <t xml:space="preserve"> / 70ips</t>
  </si>
  <si>
    <t xml:space="preserve"> for %</t>
  </si>
  <si>
    <t xml:space="preserve"> k.spring</t>
  </si>
  <si>
    <t>strait</t>
  </si>
  <si>
    <t>lb dip</t>
  </si>
  <si>
    <t>as if</t>
  </si>
  <si>
    <t>r-zeta at</t>
  </si>
  <si>
    <t>strait vs</t>
  </si>
  <si>
    <t xml:space="preserve"> 3823f</t>
  </si>
  <si>
    <t xml:space="preserve"> use 3823f</t>
  </si>
  <si>
    <t xml:space="preserve"> Use 3823f and set target to r-zeta .70 for a graph showing linear reb force for phpbb</t>
  </si>
  <si>
    <t xml:space="preserve"> 3823f  target</t>
  </si>
  <si>
    <t>settings</t>
  </si>
  <si>
    <t> rec_id</t>
  </si>
  <si>
    <t> 4207</t>
  </si>
  <si>
    <t> date</t>
  </si>
  <si>
    <t> 2-3-24</t>
  </si>
  <si>
    <t> name</t>
  </si>
  <si>
    <t>  </t>
  </si>
  <si>
    <t> bike</t>
  </si>
  <si>
    <t> 2022 SXF 350</t>
  </si>
  <si>
    <t>   </t>
  </si>
  <si>
    <t> file type</t>
  </si>
  <si>
    <t> Dyno Test</t>
  </si>
  <si>
    <t> related tests</t>
  </si>
  <si>
    <t> mv pist desc</t>
  </si>
  <si>
    <t> k25-56bld</t>
  </si>
  <si>
    <t>     bleed</t>
  </si>
  <si>
    <t> 1 - #56 </t>
  </si>
  <si>
    <t>       prel reb</t>
  </si>
  <si>
    <t> +0007 cvx stk </t>
  </si>
  <si>
    <t>     cup/b</t>
  </si>
  <si>
    <t> kyb_leafspr_11 </t>
  </si>
  <si>
    <t> mv stem</t>
  </si>
  <si>
    <t>comm</t>
  </si>
  <si>
    <t>3823f</t>
  </si>
  <si>
    <t>1.100-6-100-sdg-pt</t>
  </si>
  <si>
    <t>bc16-r16</t>
  </si>
  <si>
    <t>reb</t>
  </si>
  <si>
    <t>made up stack </t>
  </si>
  <si>
    <t>for linear reb  </t>
  </si>
  <si>
    <t>4 - 20.1 </t>
  </si>
  <si>
    <t>13.10 </t>
  </si>
  <si>
    <t>20.1 </t>
  </si>
  <si>
    <t>18.1 </t>
  </si>
  <si>
    <t>16.1 </t>
  </si>
  <si>
    <t>15.15 </t>
  </si>
  <si>
    <t>14.15 </t>
  </si>
  <si>
    <t>16.15 </t>
  </si>
  <si>
    <t>12.15 </t>
  </si>
  <si>
    <t>11.2 b </t>
  </si>
  <si>
    <t>16.2 f </t>
  </si>
  <si>
    <t>16x1.5w kyb0000 </t>
  </si>
  <si>
    <t>02.PVP</t>
  </si>
  <si>
    <t>19sxf350-pctg</t>
  </si>
  <si>
    <t>manually create r-zeta curve for phpbb</t>
  </si>
  <si>
    <t>linear r-zeta</t>
  </si>
  <si>
    <t>proposed reb</t>
  </si>
  <si>
    <t>straight</t>
  </si>
  <si>
    <t xml:space="preserve"> 2-3-24  We copied this to PSP and put in vdb phpbb_images</t>
  </si>
  <si>
    <t xml:space="preserve">    </t>
  </si>
  <si>
    <t>proposed r-zeta dips at 30ips</t>
  </si>
  <si>
    <t xml:space="preserve"> TAB FOR R-ZETA AND REB FORCE GRAPHS</t>
  </si>
  <si>
    <t>linear reb</t>
  </si>
  <si>
    <t>strait reb</t>
  </si>
  <si>
    <t xml:space="preserve"> See below for the r-zeta curve to put in vdb</t>
  </si>
  <si>
    <t xml:space="preserve"> We will use 4182f to create the r-zeta curve that dips at 20-30ips, </t>
  </si>
  <si>
    <t xml:space="preserve"> --&gt;  see below for something to print</t>
  </si>
  <si>
    <t xml:space="preserve"> dip-70</t>
  </si>
  <si>
    <t xml:space="preserve"> r-zeta curve    dip-70</t>
  </si>
  <si>
    <t xml:space="preserve"> r-zeta curve    dip-79</t>
  </si>
  <si>
    <t xml:space="preserve"> dip-79</t>
  </si>
  <si>
    <t xml:space="preserve"> See below</t>
  </si>
  <si>
    <t>copied from vdb</t>
  </si>
  <si>
    <t xml:space="preserve"> We are looking for r-zeta that dips in the middle, or dips at 20-30ips.</t>
  </si>
  <si>
    <t xml:space="preserve"> A dip at 10ips implies the 20ips r-zeta number is less than 10.</t>
  </si>
  <si>
    <t xml:space="preserve">    If it dips, 30ips r-zeta is less than 20</t>
  </si>
  <si>
    <t xml:space="preserve"> BUT the dip IS ALSO in relation to a r-zeta .70 reb curve.</t>
  </si>
  <si>
    <t xml:space="preserve"> SUMMARY:  the curve dips at 20-30, but can start with r-zeta less than .70</t>
  </si>
  <si>
    <t>low-high factor</t>
  </si>
  <si>
    <t>pg aver</t>
  </si>
  <si>
    <t xml:space="preserve"> scrolling to middle of [view multiple reb] pg</t>
  </si>
  <si>
    <t xml:space="preserve"> 2   2.8   3.6</t>
  </si>
  <si>
    <t xml:space="preserve"> redid 2-4-24   good</t>
  </si>
  <si>
    <t xml:space="preserve"> 4.3    5.65    7</t>
  </si>
  <si>
    <t xml:space="preserve"> 17.1    19.5    24.8</t>
  </si>
  <si>
    <t xml:space="preserve"> 20 ips --&gt;</t>
  </si>
  <si>
    <t xml:space="preserve"> 30 ips --&gt;</t>
  </si>
  <si>
    <t xml:space="preserve"> 40 ips --&gt;</t>
  </si>
  <si>
    <t xml:space="preserve"> 50  ips --&gt;</t>
  </si>
  <si>
    <t xml:space="preserve"> 60 ips --&gt;</t>
  </si>
  <si>
    <t xml:space="preserve"> 70 ips --&gt;</t>
  </si>
  <si>
    <t xml:space="preserve"> r-zeta 10/70</t>
  </si>
  <si>
    <t xml:space="preserve"> r-zeta 30/70</t>
  </si>
  <si>
    <t xml:space="preserve"> They start getting high at 30-50ips</t>
  </si>
  <si>
    <t xml:space="preserve"> We will look at   [view multiple reb - kyb]  and come up with the test that most closely matches what we want</t>
  </si>
  <si>
    <t xml:space="preserve"> We want</t>
  </si>
  <si>
    <t>The numbers to the right are eyeball averages from  [view multiple reb - kyb]</t>
  </si>
  <si>
    <t xml:space="preserve">   1-5ips</t>
  </si>
  <si>
    <t xml:space="preserve"> same as to the righ</t>
  </si>
  <si>
    <t xml:space="preserve">   10ips</t>
  </si>
  <si>
    <t xml:space="preserve"> 19.6 - 20.4</t>
  </si>
  <si>
    <t xml:space="preserve">   30ips</t>
  </si>
  <si>
    <t xml:space="preserve"> 63.5   +/-</t>
  </si>
  <si>
    <t xml:space="preserve">   70ips</t>
  </si>
  <si>
    <t xml:space="preserve"> 151.7 for r-zeta .70</t>
  </si>
  <si>
    <t xml:space="preserve"> 3506f</t>
  </si>
  <si>
    <t xml:space="preserve"> from Showa conv forks</t>
  </si>
  <si>
    <t>  [reb numbers are positive for coping purposes]</t>
  </si>
  <si>
    <t xml:space="preserve"> consider 3506f to be with LOW reb force 1-10ips</t>
  </si>
  <si>
    <t xml:space="preserve"> 3593f</t>
  </si>
  <si>
    <t>r-zeta 10/70</t>
  </si>
  <si>
    <t>r-zeta dip  30/70</t>
  </si>
  <si>
    <t>- # is dip</t>
  </si>
  <si>
    <t xml:space="preserve"> adj down for spr diff</t>
  </si>
  <si>
    <t>view</t>
  </si>
  <si>
    <t xml:space="preserve"> LOW</t>
  </si>
  <si>
    <t>AVER</t>
  </si>
  <si>
    <t xml:space="preserve"> 3618f</t>
  </si>
  <si>
    <t xml:space="preserve"> 3882f</t>
  </si>
  <si>
    <t>HIGH</t>
  </si>
  <si>
    <t xml:space="preserve"> @1-10</t>
  </si>
  <si>
    <t xml:space="preserve"> 3955f</t>
  </si>
  <si>
    <t xml:space="preserve"> 2-5-24</t>
  </si>
  <si>
    <t xml:space="preserve"> PUT THIS IN VDB</t>
  </si>
  <si>
    <t xml:space="preserve"> AS STARTING POINT</t>
  </si>
  <si>
    <t>dip-59-70</t>
  </si>
  <si>
    <t xml:space="preserve"> 3952</t>
  </si>
  <si>
    <t xml:space="preserve"> 3621f</t>
  </si>
  <si>
    <t xml:space="preserve"> 10ips = 18.2</t>
  </si>
  <si>
    <t xml:space="preserve"> 10ips = 21.6</t>
  </si>
  <si>
    <t xml:space="preserve"> 10ips = 19.9</t>
  </si>
  <si>
    <t>dip-64-70</t>
  </si>
  <si>
    <t>eyeball</t>
  </si>
  <si>
    <t xml:space="preserve"> this reb force at 30ips for 20.54 is not goint to happen</t>
  </si>
  <si>
    <t>dip-70-70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</si>
</sst>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03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theme="5" tint="-0.249977111117893"/>
      <name val="Trebuchet MS"/>
      <family val="2"/>
    </font>
    <font>
      <b/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i/>
      <sz val="11"/>
      <color rgb="FFC00000"/>
      <name val="Calibri"/>
      <family val="2"/>
    </font>
    <font>
      <i/>
      <sz val="11"/>
      <color theme="1"/>
      <name val="Calibri"/>
      <family val="2"/>
    </font>
    <font>
      <b/>
      <sz val="11"/>
      <color theme="9" tint="-0.249977111117893"/>
      <name val="Calibri"/>
      <family val="2"/>
    </font>
    <font>
      <sz val="11"/>
      <color rgb="FFBC5908"/>
      <name val="Calibri"/>
      <family val="2"/>
    </font>
    <font>
      <sz val="11"/>
      <color rgb="FF0070C0"/>
      <name val="Calibri"/>
      <family val="2"/>
    </font>
    <font>
      <u/>
      <sz val="11"/>
      <color theme="1"/>
      <name val="Calibri"/>
      <family val="2"/>
    </font>
    <font>
      <sz val="11"/>
      <name val="Calibri"/>
      <family val="2"/>
    </font>
    <font>
      <sz val="11"/>
      <color theme="5" tint="-0.249977111117893"/>
      <name val="Calibri"/>
      <family val="2"/>
    </font>
    <font>
      <u/>
      <sz val="11"/>
      <color rgb="FFBC5908"/>
      <name val="Calibri"/>
      <family val="2"/>
    </font>
    <font>
      <sz val="11"/>
      <color theme="5"/>
      <name val="Calibri"/>
      <family val="2"/>
    </font>
    <font>
      <u/>
      <sz val="11"/>
      <color theme="5"/>
      <name val="Calibri"/>
      <family val="2"/>
    </font>
    <font>
      <b/>
      <sz val="11"/>
      <color rgb="FF0070C0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rgb="FF0070C0"/>
      <name val="Trebuchet MS"/>
      <family val="2"/>
    </font>
    <font>
      <sz val="8"/>
      <color theme="1"/>
      <name val="Trebuchet MS"/>
      <family val="2"/>
    </font>
    <font>
      <sz val="11"/>
      <color theme="1" tint="0.249977111117893"/>
      <name val="Calibri"/>
      <family val="2"/>
    </font>
    <font>
      <sz val="8"/>
      <color theme="1" tint="0.249977111117893"/>
      <name val="Trebuchet MS"/>
      <family val="2"/>
    </font>
    <font>
      <b/>
      <sz val="9"/>
      <color theme="1" tint="0.249977111117893"/>
      <name val="Trebuchet MS"/>
      <family val="2"/>
    </font>
    <font>
      <b/>
      <sz val="8"/>
      <color theme="1"/>
      <name val="Trebuchet MS"/>
      <family val="2"/>
    </font>
    <font>
      <sz val="7"/>
      <color theme="1" tint="0.249977111117893"/>
      <name val="Trebuchet MS"/>
      <family val="2"/>
    </font>
    <font>
      <sz val="10"/>
      <color rgb="FFC00000"/>
      <name val="Trebuchet MS"/>
      <family val="2"/>
    </font>
    <font>
      <sz val="8"/>
      <color theme="1" tint="0.249977111117893"/>
      <name val="Calibri"/>
      <family val="2"/>
    </font>
    <font>
      <sz val="9"/>
      <color theme="4" tint="0.39997558519241921"/>
      <name val="Trebuchet MS"/>
      <family val="2"/>
    </font>
    <font>
      <sz val="9"/>
      <color theme="0" tint="-0.34998626667073579"/>
      <name val="Trebuchet MS"/>
      <family val="2"/>
    </font>
    <font>
      <sz val="8"/>
      <color theme="0" tint="-0.34998626667073579"/>
      <name val="Trebuchet MS"/>
      <family val="2"/>
    </font>
    <font>
      <sz val="8"/>
      <color theme="5"/>
      <name val="Trebuchet MS"/>
      <family val="2"/>
    </font>
    <font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2"/>
      <color rgb="FFC00000"/>
      <name val="Calibri"/>
      <family val="2"/>
    </font>
    <font>
      <u/>
      <sz val="12"/>
      <color rgb="FFC00000"/>
      <name val="Calibri"/>
      <family val="2"/>
    </font>
    <font>
      <u/>
      <sz val="11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theme="8" tint="-0.249977111117893"/>
      <name val="Calibri"/>
      <family val="2"/>
    </font>
    <font>
      <u/>
      <sz val="11"/>
      <color theme="8" tint="-0.249977111117893"/>
      <name val="Calibri"/>
      <family val="2"/>
    </font>
    <font>
      <b/>
      <sz val="13"/>
      <color rgb="FFC00000"/>
      <name val="Calibri"/>
      <family val="2"/>
      <scheme val="minor"/>
    </font>
    <font>
      <sz val="13"/>
      <color rgb="FFC00000"/>
      <name val="Calibri"/>
      <family val="2"/>
      <scheme val="minor"/>
    </font>
    <font>
      <sz val="13"/>
      <color theme="1"/>
      <name val="Arial"/>
      <family val="2"/>
    </font>
    <font>
      <sz val="13"/>
      <color rgb="FFC00000"/>
      <name val="Arial"/>
      <family val="2"/>
    </font>
    <font>
      <b/>
      <sz val="13"/>
      <color rgb="FFC00000"/>
      <name val="Calibri"/>
      <family val="2"/>
    </font>
    <font>
      <sz val="14"/>
      <color rgb="FFC00000"/>
      <name val="Calibri"/>
      <family val="2"/>
    </font>
    <font>
      <sz val="11"/>
      <color theme="0" tint="-0.34998626667073579"/>
      <name val="Calibri"/>
      <family val="2"/>
    </font>
    <font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rgb="FF000000"/>
      <name val="Trebuchet MS"/>
      <family val="2"/>
    </font>
    <font>
      <sz val="11"/>
      <color rgb="FFC00000"/>
      <name val="Calibri"/>
      <family val="2"/>
      <scheme val="minor"/>
    </font>
    <font>
      <b/>
      <sz val="9"/>
      <color rgb="FF000000"/>
      <name val="Trebuchet MS"/>
      <family val="2"/>
    </font>
    <font>
      <b/>
      <sz val="9"/>
      <color rgb="FF808080"/>
      <name val="Trebuchet MS"/>
      <family val="2"/>
    </font>
    <font>
      <b/>
      <sz val="8"/>
      <color rgb="FFC95E58"/>
      <name val="Trebuchet MS"/>
      <family val="2"/>
    </font>
    <font>
      <sz val="8"/>
      <color rgb="FF808080"/>
      <name val="Trebuchet MS"/>
      <family val="2"/>
    </font>
    <font>
      <sz val="8"/>
      <color rgb="FFC95E58"/>
      <name val="Trebuchet MS"/>
      <family val="2"/>
    </font>
    <font>
      <b/>
      <sz val="11"/>
      <color theme="5"/>
      <name val="Calibri"/>
      <family val="2"/>
    </font>
    <font>
      <sz val="8"/>
      <name val="Arial"/>
      <family val="2"/>
    </font>
    <font>
      <sz val="10"/>
      <color rgb="FFC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rgb="FF0070C0"/>
      <name val="Trebuchet MS"/>
      <family val="2"/>
    </font>
    <font>
      <sz val="10"/>
      <color theme="1" tint="0.499984740745262"/>
      <name val="Arial"/>
      <family val="2"/>
    </font>
    <font>
      <sz val="8"/>
      <color rgb="FF4A4A4A"/>
      <name val="Trebuchet MS"/>
      <family val="2"/>
    </font>
    <font>
      <sz val="12"/>
      <color rgb="FF0070C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 tint="0.499984740745262"/>
      <name val="Calibri"/>
      <family val="2"/>
    </font>
    <font>
      <b/>
      <sz val="12"/>
      <color theme="5"/>
      <name val="Calibri"/>
      <family val="2"/>
    </font>
    <font>
      <sz val="12"/>
      <color theme="5"/>
      <name val="Calibri"/>
      <family val="2"/>
    </font>
    <font>
      <u/>
      <sz val="12"/>
      <name val="Calibri"/>
      <family val="2"/>
    </font>
    <font>
      <i/>
      <sz val="12"/>
      <name val="Calibri"/>
      <family val="2"/>
    </font>
    <font>
      <sz val="12"/>
      <color theme="6" tint="-0.249977111117893"/>
      <name val="Calibri"/>
      <family val="2"/>
    </font>
    <font>
      <u/>
      <sz val="12"/>
      <color theme="5"/>
      <name val="Calibri"/>
      <family val="2"/>
    </font>
    <font>
      <u/>
      <sz val="8"/>
      <color rgb="FFB6B6B6"/>
      <name val="Trebuchet MS"/>
      <family val="2"/>
    </font>
    <font>
      <sz val="14"/>
      <color theme="5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5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EFE8DA"/>
        <bgColor indexed="64"/>
      </patternFill>
    </fill>
    <fill>
      <patternFill patternType="solid">
        <fgColor rgb="FFE6DBC4"/>
        <bgColor indexed="64"/>
      </patternFill>
    </fill>
    <fill>
      <patternFill patternType="solid">
        <fgColor rgb="FFEFE7DA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BB489"/>
      </left>
      <right style="thin">
        <color rgb="FFCBB489"/>
      </right>
      <top style="thin">
        <color rgb="FFCBB489"/>
      </top>
      <bottom style="thin">
        <color rgb="FFCBB489"/>
      </bottom>
      <diagonal/>
    </border>
    <border>
      <left style="thin">
        <color rgb="FFCBB489"/>
      </left>
      <right/>
      <top style="thin">
        <color rgb="FFCBB489"/>
      </top>
      <bottom/>
      <diagonal/>
    </border>
    <border>
      <left/>
      <right style="thin">
        <color rgb="FFCBB489"/>
      </right>
      <top style="thin">
        <color rgb="FFCBB489"/>
      </top>
      <bottom/>
      <diagonal/>
    </border>
    <border>
      <left style="thin">
        <color rgb="FFCBB489"/>
      </left>
      <right/>
      <top/>
      <bottom style="thin">
        <color rgb="FFCBB489"/>
      </bottom>
      <diagonal/>
    </border>
    <border>
      <left/>
      <right style="thin">
        <color rgb="FFCBB489"/>
      </right>
      <top/>
      <bottom style="thin">
        <color rgb="FFCBB489"/>
      </bottom>
      <diagonal/>
    </border>
    <border>
      <left/>
      <right/>
      <top style="thin">
        <color rgb="FFCBB489"/>
      </top>
      <bottom/>
      <diagonal/>
    </border>
    <border>
      <left/>
      <right/>
      <top/>
      <bottom style="thin">
        <color rgb="FFCBB489"/>
      </bottom>
      <diagonal/>
    </border>
    <border>
      <left style="thin">
        <color rgb="FFCBB489"/>
      </left>
      <right/>
      <top/>
      <bottom/>
      <diagonal/>
    </border>
    <border>
      <left/>
      <right style="thin">
        <color rgb="FFCBB489"/>
      </right>
      <top/>
      <bottom/>
      <diagonal/>
    </border>
    <border>
      <left style="thin">
        <color rgb="FFCBB489"/>
      </left>
      <right/>
      <top style="thin">
        <color rgb="FFCBB489"/>
      </top>
      <bottom style="thin">
        <color rgb="FFCBB489"/>
      </bottom>
      <diagonal/>
    </border>
    <border>
      <left/>
      <right/>
      <top style="thin">
        <color rgb="FFCBB489"/>
      </top>
      <bottom style="thin">
        <color rgb="FFCBB489"/>
      </bottom>
      <diagonal/>
    </border>
    <border>
      <left/>
      <right style="thin">
        <color rgb="FFCBB489"/>
      </right>
      <top style="thin">
        <color rgb="FFCBB489"/>
      </top>
      <bottom style="thin">
        <color rgb="FFCBB489"/>
      </bottom>
      <diagonal/>
    </border>
    <border>
      <left style="thin">
        <color rgb="FFCBB489"/>
      </left>
      <right style="thin">
        <color rgb="FFF7F2EA"/>
      </right>
      <top style="thin">
        <color rgb="FFCBB489"/>
      </top>
      <bottom style="thin">
        <color rgb="FFF7F2EA"/>
      </bottom>
      <diagonal/>
    </border>
    <border>
      <left style="thin">
        <color rgb="FFF7F2EA"/>
      </left>
      <right style="thin">
        <color rgb="FFCBB489"/>
      </right>
      <top style="thin">
        <color rgb="FFCBB489"/>
      </top>
      <bottom style="thin">
        <color rgb="FFF7F2EA"/>
      </bottom>
      <diagonal/>
    </border>
    <border>
      <left style="thin">
        <color rgb="FFCBB489"/>
      </left>
      <right style="thin">
        <color rgb="FFF7F2EA"/>
      </right>
      <top style="thin">
        <color rgb="FFF7F2EA"/>
      </top>
      <bottom style="thin">
        <color rgb="FFF7F2EA"/>
      </bottom>
      <diagonal/>
    </border>
    <border>
      <left style="thin">
        <color rgb="FFF7F2EA"/>
      </left>
      <right style="thin">
        <color rgb="FFCBB489"/>
      </right>
      <top style="thin">
        <color rgb="FFF7F2EA"/>
      </top>
      <bottom style="thin">
        <color rgb="FFF7F2EA"/>
      </bottom>
      <diagonal/>
    </border>
    <border>
      <left style="thin">
        <color rgb="FFCBB489"/>
      </left>
      <right style="thin">
        <color rgb="FFF7F2EA"/>
      </right>
      <top style="thin">
        <color rgb="FFF7F2EA"/>
      </top>
      <bottom style="thin">
        <color rgb="FFCBB489"/>
      </bottom>
      <diagonal/>
    </border>
    <border>
      <left style="thin">
        <color rgb="FFF7F2EA"/>
      </left>
      <right style="thin">
        <color rgb="FFCBB489"/>
      </right>
      <top style="thin">
        <color rgb="FFF7F2EA"/>
      </top>
      <bottom style="thin">
        <color rgb="FFCBB489"/>
      </bottom>
      <diagonal/>
    </border>
    <border>
      <left style="thin">
        <color rgb="FFF7F2EA"/>
      </left>
      <right/>
      <top style="thin">
        <color rgb="FFF7F2EA"/>
      </top>
      <bottom style="thin">
        <color rgb="FFF7F2EA"/>
      </bottom>
      <diagonal/>
    </border>
    <border>
      <left style="thin">
        <color rgb="FFF7F2EA"/>
      </left>
      <right/>
      <top style="thin">
        <color rgb="FFF7F2EA"/>
      </top>
      <bottom style="thin">
        <color rgb="FFCBB489"/>
      </bottom>
      <diagonal/>
    </border>
    <border>
      <left/>
      <right style="thin">
        <color rgb="FFCBB489"/>
      </right>
      <top style="thin">
        <color rgb="FFF7F2EA"/>
      </top>
      <bottom style="thin">
        <color rgb="FFF7F2EA"/>
      </bottom>
      <diagonal/>
    </border>
    <border>
      <left/>
      <right style="thin">
        <color rgb="FFCBB489"/>
      </right>
      <top style="thin">
        <color rgb="FFF7F2EA"/>
      </top>
      <bottom style="thin">
        <color rgb="FFCBB489"/>
      </bottom>
      <diagonal/>
    </border>
    <border>
      <left/>
      <right/>
      <top style="thin">
        <color rgb="FFCBB489"/>
      </top>
      <bottom style="thin">
        <color indexed="64"/>
      </bottom>
      <diagonal/>
    </border>
    <border>
      <left style="thin">
        <color rgb="FFF7F2EA"/>
      </left>
      <right/>
      <top/>
      <bottom style="thin">
        <color rgb="FFF7F2E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F9F5F0"/>
      </left>
      <right style="thin">
        <color rgb="FFF9F5F0"/>
      </right>
      <top style="thin">
        <color rgb="FFF9F5F0"/>
      </top>
      <bottom style="thin">
        <color rgb="FFF9F5F0"/>
      </bottom>
      <diagonal/>
    </border>
    <border>
      <left style="thin">
        <color rgb="FFF9F5F0"/>
      </left>
      <right/>
      <top style="thin">
        <color rgb="FFF9F5F0"/>
      </top>
      <bottom style="thin">
        <color rgb="FFF9F5F0"/>
      </bottom>
      <diagonal/>
    </border>
    <border>
      <left/>
      <right style="thin">
        <color rgb="FFF9F5F0"/>
      </right>
      <top style="thin">
        <color rgb="FFF9F5F0"/>
      </top>
      <bottom style="thin">
        <color rgb="FFF9F5F0"/>
      </bottom>
      <diagonal/>
    </border>
    <border>
      <left style="thin">
        <color rgb="FFF9F5F0"/>
      </left>
      <right style="thin">
        <color rgb="FFF9F5F0"/>
      </right>
      <top style="thin">
        <color rgb="FFF9F5F0"/>
      </top>
      <bottom/>
      <diagonal/>
    </border>
    <border>
      <left style="thin">
        <color rgb="FFF9F5F0"/>
      </left>
      <right style="thin">
        <color rgb="FFF9F5F0"/>
      </right>
      <top/>
      <bottom style="thin">
        <color rgb="FFF9F5F0"/>
      </bottom>
      <diagonal/>
    </border>
    <border>
      <left/>
      <right style="thin">
        <color rgb="FFF9F5F0"/>
      </right>
      <top style="thin">
        <color rgb="FFF9F5F0"/>
      </top>
      <bottom/>
      <diagonal/>
    </border>
    <border>
      <left/>
      <right style="thin">
        <color rgb="FFF9F5F0"/>
      </right>
      <top/>
      <bottom/>
      <diagonal/>
    </border>
    <border>
      <left/>
      <right/>
      <top style="thin">
        <color rgb="FFF9F5F0"/>
      </top>
      <bottom/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rgb="FFF9F5F0"/>
      </bottom>
      <diagonal/>
    </border>
    <border>
      <left/>
      <right style="thin">
        <color rgb="FFF9F5F0"/>
      </right>
      <top style="thin">
        <color theme="6" tint="-0.249977111117893"/>
      </top>
      <bottom style="thin">
        <color rgb="FFF9F5F0"/>
      </bottom>
      <diagonal/>
    </border>
    <border>
      <left style="thin">
        <color rgb="FFF9F5F0"/>
      </left>
      <right style="thin">
        <color theme="6" tint="-0.249977111117893"/>
      </right>
      <top style="thin">
        <color theme="6" tint="-0.249977111117893"/>
      </top>
      <bottom style="thin">
        <color rgb="FFF9F5F0"/>
      </bottom>
      <diagonal/>
    </border>
    <border>
      <left style="thin">
        <color theme="6" tint="-0.249977111117893"/>
      </left>
      <right style="thin">
        <color rgb="FFF9F5F0"/>
      </right>
      <top style="thin">
        <color rgb="FFF9F5F0"/>
      </top>
      <bottom style="thin">
        <color rgb="FFF9F5F0"/>
      </bottom>
      <diagonal/>
    </border>
    <border>
      <left style="thin">
        <color rgb="FFF9F5F0"/>
      </left>
      <right style="thin">
        <color theme="6" tint="-0.249977111117893"/>
      </right>
      <top style="thin">
        <color rgb="FFF9F5F0"/>
      </top>
      <bottom style="thin">
        <color rgb="FFF9F5F0"/>
      </bottom>
      <diagonal/>
    </border>
    <border>
      <left style="thin">
        <color theme="6" tint="-0.249977111117893"/>
      </left>
      <right style="thin">
        <color rgb="FFF9F5F0"/>
      </right>
      <top style="thin">
        <color rgb="FFF9F5F0"/>
      </top>
      <bottom/>
      <diagonal/>
    </border>
    <border>
      <left style="thin">
        <color theme="6" tint="-0.249977111117893"/>
      </left>
      <right style="thin">
        <color rgb="FFF9F5F0"/>
      </right>
      <top/>
      <bottom style="thin">
        <color rgb="FFF9F5F0"/>
      </bottom>
      <diagonal/>
    </border>
    <border>
      <left style="thin">
        <color theme="6" tint="-0.249977111117893"/>
      </left>
      <right/>
      <top style="thin">
        <color rgb="FFF9F5F0"/>
      </top>
      <bottom style="thin">
        <color rgb="FFF9F5F0"/>
      </bottom>
      <diagonal/>
    </border>
    <border>
      <left style="thin">
        <color theme="6" tint="-0.249977111117893"/>
      </left>
      <right/>
      <top style="thin">
        <color rgb="FFF9F5F0"/>
      </top>
      <bottom/>
      <diagonal/>
    </border>
    <border>
      <left style="thin">
        <color theme="6" tint="-0.249977111117893"/>
      </left>
      <right style="thin">
        <color rgb="FFF9F5F0"/>
      </right>
      <top style="thin">
        <color theme="6" tint="-0.249977111117893"/>
      </top>
      <bottom style="thin">
        <color rgb="FFF9F5F0"/>
      </bottom>
      <diagonal/>
    </border>
    <border>
      <left style="thin">
        <color rgb="FFF9F5F0"/>
      </left>
      <right style="thin">
        <color rgb="FFF9F5F0"/>
      </right>
      <top style="thin">
        <color theme="6" tint="-0.249977111117893"/>
      </top>
      <bottom style="thin">
        <color rgb="FFF9F5F0"/>
      </bottom>
      <diagonal/>
    </border>
    <border>
      <left/>
      <right style="thin">
        <color theme="6" tint="-0.249977111117893"/>
      </right>
      <top style="thin">
        <color rgb="FFF9F5F0"/>
      </top>
      <bottom/>
      <diagonal/>
    </border>
    <border>
      <left style="thin">
        <color theme="6" tint="-0.249977111117893"/>
      </left>
      <right/>
      <top/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rgb="FFF9F5F0"/>
      </left>
      <right style="thin">
        <color theme="6" tint="-0.249977111117893"/>
      </right>
      <top style="thin">
        <color rgb="FFF9F5F0"/>
      </top>
      <bottom style="thin">
        <color theme="6" tint="-0.249977111117893"/>
      </bottom>
      <diagonal/>
    </border>
    <border>
      <left style="thin">
        <color rgb="FFF9F5F0"/>
      </left>
      <right style="thin">
        <color rgb="FFF9F5F0"/>
      </right>
      <top/>
      <bottom/>
      <diagonal/>
    </border>
    <border>
      <left/>
      <right style="thin">
        <color rgb="FFF9F5F0"/>
      </right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F9F5F0"/>
      </top>
      <bottom style="thin">
        <color rgb="FFF9F5F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930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0" fillId="2" borderId="0" xfId="0" applyFill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2" borderId="0" xfId="0" applyNumberFormat="1" applyFont="1" applyFill="1" applyAlignment="1">
      <alignment horizontal="center"/>
    </xf>
    <xf numFmtId="165" fontId="11" fillId="0" borderId="0" xfId="0" applyNumberFormat="1" applyFont="1" applyAlignment="1">
      <alignment horizontal="center" vertical="center" wrapText="1"/>
    </xf>
    <xf numFmtId="165" fontId="11" fillId="2" borderId="0" xfId="0" applyNumberFormat="1" applyFont="1" applyFill="1" applyAlignment="1">
      <alignment horizontal="center" vertical="center" wrapText="1"/>
    </xf>
    <xf numFmtId="0" fontId="12" fillId="0" borderId="0" xfId="0" quotePrefix="1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2" fontId="10" fillId="0" borderId="0" xfId="0" applyNumberFormat="1" applyFont="1"/>
    <xf numFmtId="0" fontId="13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3" fillId="4" borderId="1" xfId="0" applyFont="1" applyFill="1" applyBorder="1"/>
    <xf numFmtId="0" fontId="0" fillId="0" borderId="5" xfId="0" applyBorder="1"/>
    <xf numFmtId="0" fontId="0" fillId="0" borderId="6" xfId="0" applyBorder="1"/>
    <xf numFmtId="0" fontId="13" fillId="0" borderId="7" xfId="0" applyFont="1" applyBorder="1"/>
    <xf numFmtId="0" fontId="14" fillId="0" borderId="0" xfId="0" applyFont="1"/>
    <xf numFmtId="0" fontId="0" fillId="0" borderId="8" xfId="0" applyBorder="1" applyAlignment="1">
      <alignment horizontal="center"/>
    </xf>
    <xf numFmtId="0" fontId="13" fillId="0" borderId="9" xfId="0" applyFont="1" applyBorder="1"/>
    <xf numFmtId="0" fontId="14" fillId="0" borderId="10" xfId="0" applyFont="1" applyBorder="1"/>
    <xf numFmtId="0" fontId="0" fillId="0" borderId="11" xfId="0" applyBorder="1" applyAlignment="1">
      <alignment horizontal="center"/>
    </xf>
    <xf numFmtId="0" fontId="13" fillId="4" borderId="2" xfId="0" applyFont="1" applyFill="1" applyBorder="1"/>
    <xf numFmtId="0" fontId="0" fillId="4" borderId="4" xfId="0" applyFill="1" applyBorder="1"/>
    <xf numFmtId="0" fontId="0" fillId="0" borderId="11" xfId="0" applyBorder="1"/>
    <xf numFmtId="0" fontId="13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8" xfId="0" applyBorder="1"/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5" fillId="0" borderId="0" xfId="0" applyFont="1"/>
    <xf numFmtId="164" fontId="13" fillId="6" borderId="0" xfId="0" applyNumberFormat="1" applyFont="1" applyFill="1" applyAlignment="1">
      <alignment horizontal="center"/>
    </xf>
    <xf numFmtId="2" fontId="0" fillId="0" borderId="0" xfId="0" applyNumberFormat="1"/>
    <xf numFmtId="0" fontId="0" fillId="0" borderId="0" xfId="0" quotePrefix="1" applyAlignment="1">
      <alignment horizontal="fill"/>
    </xf>
    <xf numFmtId="0" fontId="13" fillId="0" borderId="0" xfId="0" applyFont="1"/>
    <xf numFmtId="0" fontId="16" fillId="0" borderId="0" xfId="0" quotePrefix="1" applyFont="1" applyAlignment="1">
      <alignment horizontal="left"/>
    </xf>
    <xf numFmtId="0" fontId="18" fillId="0" borderId="0" xfId="0" applyFont="1"/>
    <xf numFmtId="0" fontId="17" fillId="0" borderId="0" xfId="0" applyFont="1"/>
    <xf numFmtId="0" fontId="20" fillId="5" borderId="6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8" fillId="0" borderId="0" xfId="0" applyFont="1"/>
    <xf numFmtId="0" fontId="19" fillId="0" borderId="0" xfId="0" applyFont="1" applyAlignment="1">
      <alignment horizontal="center"/>
    </xf>
    <xf numFmtId="0" fontId="23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  <xf numFmtId="0" fontId="26" fillId="0" borderId="0" xfId="0" quotePrefix="1" applyFont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3" xfId="0" applyFont="1" applyBorder="1"/>
    <xf numFmtId="0" fontId="19" fillId="3" borderId="2" xfId="0" quotePrefix="1" applyFont="1" applyFill="1" applyBorder="1" applyAlignment="1">
      <alignment horizontal="left"/>
    </xf>
    <xf numFmtId="0" fontId="8" fillId="3" borderId="3" xfId="0" applyFont="1" applyFill="1" applyBorder="1"/>
    <xf numFmtId="0" fontId="8" fillId="3" borderId="4" xfId="0" applyFont="1" applyFill="1" applyBorder="1"/>
    <xf numFmtId="0" fontId="19" fillId="0" borderId="0" xfId="0" quotePrefix="1" applyFont="1" applyAlignment="1">
      <alignment horizontal="left"/>
    </xf>
    <xf numFmtId="0" fontId="27" fillId="0" borderId="0" xfId="0" applyFont="1" applyAlignment="1">
      <alignment horizontal="right" indent="1"/>
    </xf>
    <xf numFmtId="0" fontId="27" fillId="0" borderId="0" xfId="0" quotePrefix="1" applyFont="1" applyAlignment="1">
      <alignment horizontal="left"/>
    </xf>
    <xf numFmtId="0" fontId="8" fillId="0" borderId="0" xfId="0" quotePrefix="1" applyFont="1" applyAlignment="1">
      <alignment horizontal="center"/>
    </xf>
    <xf numFmtId="0" fontId="8" fillId="0" borderId="4" xfId="0" applyFont="1" applyBorder="1"/>
    <xf numFmtId="0" fontId="8" fillId="0" borderId="2" xfId="0" applyFont="1" applyBorder="1"/>
    <xf numFmtId="0" fontId="19" fillId="4" borderId="12" xfId="0" quotePrefix="1" applyFont="1" applyFill="1" applyBorder="1" applyAlignment="1">
      <alignment horizontal="left"/>
    </xf>
    <xf numFmtId="0" fontId="8" fillId="4" borderId="6" xfId="0" applyFont="1" applyFill="1" applyBorder="1"/>
    <xf numFmtId="0" fontId="8" fillId="4" borderId="0" xfId="0" applyFont="1" applyFill="1"/>
    <xf numFmtId="0" fontId="8" fillId="4" borderId="0" xfId="0" quotePrefix="1" applyFont="1" applyFill="1" applyAlignment="1">
      <alignment horizontal="center"/>
    </xf>
    <xf numFmtId="0" fontId="8" fillId="3" borderId="5" xfId="0" quotePrefix="1" applyFont="1" applyFill="1" applyBorder="1" applyAlignment="1">
      <alignment horizontal="right"/>
    </xf>
    <xf numFmtId="165" fontId="8" fillId="3" borderId="6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28" fillId="0" borderId="0" xfId="0" applyFont="1"/>
    <xf numFmtId="0" fontId="29" fillId="4" borderId="0" xfId="0" applyFont="1" applyFill="1" applyAlignment="1">
      <alignment horizontal="center"/>
    </xf>
    <xf numFmtId="0" fontId="29" fillId="4" borderId="0" xfId="0" quotePrefix="1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8" fillId="0" borderId="0" xfId="0" quotePrefix="1" applyFont="1" applyAlignment="1">
      <alignment horizontal="right"/>
    </xf>
    <xf numFmtId="165" fontId="8" fillId="0" borderId="8" xfId="0" applyNumberFormat="1" applyFont="1" applyBorder="1" applyAlignment="1">
      <alignment horizontal="center" vertical="center" wrapText="1"/>
    </xf>
    <xf numFmtId="0" fontId="19" fillId="0" borderId="7" xfId="0" quotePrefix="1" applyFont="1" applyBorder="1" applyAlignment="1">
      <alignment horizontal="left"/>
    </xf>
    <xf numFmtId="0" fontId="25" fillId="0" borderId="0" xfId="0" applyFont="1"/>
    <xf numFmtId="0" fontId="30" fillId="0" borderId="8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2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165" fontId="31" fillId="3" borderId="0" xfId="0" applyNumberFormat="1" applyFont="1" applyFill="1" applyAlignment="1">
      <alignment horizontal="center" vertical="center" wrapText="1"/>
    </xf>
    <xf numFmtId="0" fontId="8" fillId="6" borderId="0" xfId="0" quotePrefix="1" applyFont="1" applyFill="1" applyAlignment="1">
      <alignment horizontal="right"/>
    </xf>
    <xf numFmtId="165" fontId="8" fillId="6" borderId="8" xfId="0" applyNumberFormat="1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31" fillId="0" borderId="0" xfId="0" applyNumberFormat="1" applyFont="1" applyAlignment="1">
      <alignment horizontal="center" vertical="center" wrapText="1"/>
    </xf>
    <xf numFmtId="0" fontId="19" fillId="0" borderId="9" xfId="0" quotePrefix="1" applyFont="1" applyBorder="1" applyAlignment="1">
      <alignment horizontal="left"/>
    </xf>
    <xf numFmtId="0" fontId="25" fillId="0" borderId="10" xfId="0" applyFont="1" applyBorder="1"/>
    <xf numFmtId="0" fontId="8" fillId="0" borderId="11" xfId="0" applyFont="1" applyBorder="1" applyAlignment="1">
      <alignment horizontal="center"/>
    </xf>
    <xf numFmtId="0" fontId="8" fillId="6" borderId="0" xfId="0" applyFont="1" applyFill="1" applyAlignment="1">
      <alignment horizontal="center"/>
    </xf>
    <xf numFmtId="2" fontId="28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165" fontId="8" fillId="6" borderId="0" xfId="0" applyNumberFormat="1" applyFont="1" applyFill="1" applyAlignment="1">
      <alignment horizontal="center"/>
    </xf>
    <xf numFmtId="165" fontId="31" fillId="6" borderId="0" xfId="0" applyNumberFormat="1" applyFont="1" applyFill="1" applyAlignment="1">
      <alignment horizontal="center" vertical="center" wrapText="1"/>
    </xf>
    <xf numFmtId="0" fontId="8" fillId="6" borderId="10" xfId="0" quotePrefix="1" applyFont="1" applyFill="1" applyBorder="1" applyAlignment="1">
      <alignment horizontal="right"/>
    </xf>
    <xf numFmtId="165" fontId="8" fillId="6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indent="1"/>
    </xf>
    <xf numFmtId="0" fontId="19" fillId="3" borderId="2" xfId="0" applyFont="1" applyFill="1" applyBorder="1"/>
    <xf numFmtId="0" fontId="26" fillId="0" borderId="0" xfId="0" applyFont="1"/>
    <xf numFmtId="0" fontId="32" fillId="0" borderId="0" xfId="0" applyFont="1"/>
    <xf numFmtId="0" fontId="30" fillId="0" borderId="0" xfId="0" quotePrefix="1" applyFont="1" applyAlignment="1">
      <alignment horizontal="left"/>
    </xf>
    <xf numFmtId="0" fontId="19" fillId="0" borderId="0" xfId="0" applyFont="1"/>
    <xf numFmtId="0" fontId="19" fillId="5" borderId="12" xfId="0" quotePrefix="1" applyFont="1" applyFill="1" applyBorder="1" applyAlignment="1">
      <alignment horizontal="left"/>
    </xf>
    <xf numFmtId="0" fontId="8" fillId="5" borderId="5" xfId="0" applyFont="1" applyFill="1" applyBorder="1"/>
    <xf numFmtId="0" fontId="8" fillId="5" borderId="6" xfId="0" applyFont="1" applyFill="1" applyBorder="1"/>
    <xf numFmtId="0" fontId="8" fillId="4" borderId="13" xfId="0" applyFont="1" applyFill="1" applyBorder="1" applyAlignment="1">
      <alignment horizontal="center"/>
    </xf>
    <xf numFmtId="0" fontId="19" fillId="5" borderId="5" xfId="0" quotePrefix="1" applyFont="1" applyFill="1" applyBorder="1" applyAlignment="1">
      <alignment horizontal="left"/>
    </xf>
    <xf numFmtId="0" fontId="8" fillId="4" borderId="13" xfId="0" quotePrefix="1" applyFont="1" applyFill="1" applyBorder="1" applyAlignment="1">
      <alignment horizontal="center"/>
    </xf>
    <xf numFmtId="0" fontId="8" fillId="5" borderId="6" xfId="0" quotePrefix="1" applyFont="1" applyFill="1" applyBorder="1" applyAlignment="1">
      <alignment horizontal="center"/>
    </xf>
    <xf numFmtId="0" fontId="19" fillId="5" borderId="7" xfId="0" applyFont="1" applyFill="1" applyBorder="1"/>
    <xf numFmtId="0" fontId="8" fillId="5" borderId="0" xfId="0" applyFont="1" applyFill="1"/>
    <xf numFmtId="0" fontId="19" fillId="5" borderId="9" xfId="0" applyFont="1" applyFill="1" applyBorder="1"/>
    <xf numFmtId="0" fontId="8" fillId="5" borderId="11" xfId="0" applyFont="1" applyFill="1" applyBorder="1"/>
    <xf numFmtId="0" fontId="19" fillId="5" borderId="10" xfId="0" applyFont="1" applyFill="1" applyBorder="1"/>
    <xf numFmtId="0" fontId="19" fillId="0" borderId="12" xfId="0" applyFont="1" applyBorder="1" applyAlignment="1">
      <alignment horizontal="center"/>
    </xf>
    <xf numFmtId="0" fontId="8" fillId="0" borderId="13" xfId="0" quotePrefix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9" fillId="0" borderId="12" xfId="0" quotePrefix="1" applyFont="1" applyBorder="1" applyAlignment="1">
      <alignment horizontal="left"/>
    </xf>
    <xf numFmtId="0" fontId="19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0" xfId="0" applyFont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1" xfId="0" quotePrefix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3" borderId="0" xfId="0" applyNumberFormat="1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166" fontId="8" fillId="3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165" fontId="8" fillId="0" borderId="0" xfId="0" applyNumberFormat="1" applyFont="1" applyAlignment="1">
      <alignment horizontal="center" vertical="center" wrapText="1"/>
    </xf>
    <xf numFmtId="2" fontId="8" fillId="0" borderId="14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165" fontId="8" fillId="6" borderId="0" xfId="0" applyNumberFormat="1" applyFont="1" applyFill="1" applyAlignment="1">
      <alignment horizontal="center" vertical="center" wrapText="1"/>
    </xf>
    <xf numFmtId="2" fontId="8" fillId="6" borderId="14" xfId="0" applyNumberFormat="1" applyFont="1" applyFill="1" applyBorder="1" applyAlignment="1">
      <alignment horizontal="center"/>
    </xf>
    <xf numFmtId="2" fontId="8" fillId="6" borderId="8" xfId="0" applyNumberFormat="1" applyFont="1" applyFill="1" applyBorder="1" applyAlignment="1">
      <alignment horizontal="center"/>
    </xf>
    <xf numFmtId="166" fontId="8" fillId="6" borderId="8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/>
    </xf>
    <xf numFmtId="165" fontId="8" fillId="6" borderId="10" xfId="0" applyNumberFormat="1" applyFont="1" applyFill="1" applyBorder="1" applyAlignment="1">
      <alignment horizontal="center" vertical="center" wrapText="1"/>
    </xf>
    <xf numFmtId="2" fontId="8" fillId="6" borderId="15" xfId="0" applyNumberFormat="1" applyFont="1" applyFill="1" applyBorder="1" applyAlignment="1">
      <alignment horizontal="center"/>
    </xf>
    <xf numFmtId="2" fontId="8" fillId="6" borderId="11" xfId="0" applyNumberFormat="1" applyFont="1" applyFill="1" applyBorder="1" applyAlignment="1">
      <alignment horizontal="center"/>
    </xf>
    <xf numFmtId="166" fontId="8" fillId="6" borderId="11" xfId="0" applyNumberFormat="1" applyFont="1" applyFill="1" applyBorder="1" applyAlignment="1">
      <alignment horizontal="center" vertical="center" wrapText="1"/>
    </xf>
    <xf numFmtId="0" fontId="21" fillId="4" borderId="0" xfId="0" quotePrefix="1" applyFont="1" applyFill="1" applyAlignment="1">
      <alignment horizontal="left"/>
    </xf>
    <xf numFmtId="0" fontId="23" fillId="0" borderId="12" xfId="0" applyFont="1" applyBorder="1"/>
    <xf numFmtId="0" fontId="23" fillId="0" borderId="6" xfId="0" quotePrefix="1" applyFont="1" applyBorder="1" applyAlignment="1">
      <alignment horizontal="left"/>
    </xf>
    <xf numFmtId="0" fontId="23" fillId="0" borderId="7" xfId="0" applyFont="1" applyBorder="1"/>
    <xf numFmtId="0" fontId="23" fillId="0" borderId="8" xfId="0" quotePrefix="1" applyFont="1" applyBorder="1" applyAlignment="1">
      <alignment horizontal="left"/>
    </xf>
    <xf numFmtId="165" fontId="8" fillId="3" borderId="8" xfId="0" applyNumberFormat="1" applyFont="1" applyFill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8" fillId="6" borderId="8" xfId="0" applyNumberFormat="1" applyFont="1" applyFill="1" applyBorder="1" applyAlignment="1">
      <alignment horizontal="center"/>
    </xf>
    <xf numFmtId="165" fontId="8" fillId="6" borderId="11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" xfId="0" quotePrefix="1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9" fillId="4" borderId="11" xfId="0" quotePrefix="1" applyFont="1" applyFill="1" applyBorder="1" applyAlignment="1">
      <alignment horizontal="center"/>
    </xf>
    <xf numFmtId="0" fontId="19" fillId="0" borderId="5" xfId="0" quotePrefix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165" fontId="8" fillId="0" borderId="0" xfId="0" applyNumberFormat="1" applyFont="1"/>
    <xf numFmtId="2" fontId="31" fillId="3" borderId="0" xfId="0" applyNumberFormat="1" applyFont="1" applyFill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2" fontId="31" fillId="6" borderId="0" xfId="0" applyNumberFormat="1" applyFont="1" applyFill="1" applyAlignment="1">
      <alignment horizontal="center" vertical="center" wrapText="1"/>
    </xf>
    <xf numFmtId="2" fontId="29" fillId="0" borderId="0" xfId="0" applyNumberFormat="1" applyFont="1" applyAlignment="1">
      <alignment horizontal="center"/>
    </xf>
    <xf numFmtId="0" fontId="30" fillId="5" borderId="11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20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32" fillId="0" borderId="0" xfId="0" quotePrefix="1" applyFont="1" applyAlignment="1">
      <alignment horizontal="left"/>
    </xf>
    <xf numFmtId="0" fontId="29" fillId="0" borderId="0" xfId="0" applyFont="1"/>
    <xf numFmtId="0" fontId="0" fillId="0" borderId="0" xfId="0" quotePrefix="1" applyAlignment="1">
      <alignment horizontal="center"/>
    </xf>
    <xf numFmtId="2" fontId="33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8" fillId="0" borderId="12" xfId="0" quotePrefix="1" applyFont="1" applyBorder="1" applyAlignment="1">
      <alignment horizontal="left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7" borderId="12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5" xfId="0" applyFont="1" applyFill="1" applyBorder="1"/>
    <xf numFmtId="0" fontId="8" fillId="7" borderId="6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quotePrefix="1" applyFont="1" applyFill="1" applyBorder="1" applyAlignment="1">
      <alignment horizontal="center"/>
    </xf>
    <xf numFmtId="0" fontId="8" fillId="7" borderId="10" xfId="0" applyFont="1" applyFill="1" applyBorder="1"/>
    <xf numFmtId="0" fontId="8" fillId="7" borderId="11" xfId="0" quotePrefix="1" applyFont="1" applyFill="1" applyBorder="1" applyAlignment="1">
      <alignment horizontal="center"/>
    </xf>
    <xf numFmtId="0" fontId="6" fillId="0" borderId="10" xfId="0" quotePrefix="1" applyFont="1" applyBorder="1" applyAlignment="1">
      <alignment horizontal="left"/>
    </xf>
    <xf numFmtId="0" fontId="6" fillId="0" borderId="2" xfId="0" quotePrefix="1" applyFont="1" applyBorder="1" applyAlignment="1">
      <alignment horizontal="left"/>
    </xf>
    <xf numFmtId="165" fontId="28" fillId="3" borderId="14" xfId="0" applyNumberFormat="1" applyFont="1" applyFill="1" applyBorder="1" applyAlignment="1">
      <alignment horizontal="center" vertical="center" wrapText="1"/>
    </xf>
    <xf numFmtId="165" fontId="28" fillId="0" borderId="14" xfId="0" applyNumberFormat="1" applyFont="1" applyBorder="1" applyAlignment="1">
      <alignment horizontal="center" vertical="center" wrapText="1"/>
    </xf>
    <xf numFmtId="165" fontId="28" fillId="6" borderId="14" xfId="0" applyNumberFormat="1" applyFont="1" applyFill="1" applyBorder="1" applyAlignment="1">
      <alignment horizontal="center" vertical="center" wrapText="1"/>
    </xf>
    <xf numFmtId="165" fontId="28" fillId="6" borderId="15" xfId="0" applyNumberFormat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left"/>
    </xf>
    <xf numFmtId="0" fontId="6" fillId="0" borderId="0" xfId="0" quotePrefix="1" applyFont="1" applyAlignment="1">
      <alignment horizontal="center"/>
    </xf>
    <xf numFmtId="0" fontId="28" fillId="0" borderId="0" xfId="0" quotePrefix="1" applyFont="1" applyAlignment="1">
      <alignment horizontal="center"/>
    </xf>
    <xf numFmtId="0" fontId="35" fillId="0" borderId="0" xfId="0" applyFont="1"/>
    <xf numFmtId="0" fontId="5" fillId="0" borderId="0" xfId="0" quotePrefix="1" applyFont="1" applyAlignment="1">
      <alignment horizontal="left"/>
    </xf>
    <xf numFmtId="0" fontId="19" fillId="0" borderId="12" xfId="0" quotePrefix="1" applyFont="1" applyBorder="1" applyAlignment="1">
      <alignment horizontal="center"/>
    </xf>
    <xf numFmtId="0" fontId="19" fillId="5" borderId="6" xfId="0" applyFont="1" applyFill="1" applyBorder="1" applyAlignment="1">
      <alignment horizontal="left"/>
    </xf>
    <xf numFmtId="0" fontId="23" fillId="5" borderId="8" xfId="0" quotePrefix="1" applyFont="1" applyFill="1" applyBorder="1" applyAlignment="1">
      <alignment horizontal="left"/>
    </xf>
    <xf numFmtId="0" fontId="19" fillId="4" borderId="15" xfId="0" quotePrefix="1" applyFont="1" applyFill="1" applyBorder="1" applyAlignment="1">
      <alignment horizontal="center"/>
    </xf>
    <xf numFmtId="0" fontId="8" fillId="5" borderId="13" xfId="0" applyFont="1" applyFill="1" applyBorder="1"/>
    <xf numFmtId="0" fontId="19" fillId="5" borderId="0" xfId="0" applyFont="1" applyFill="1"/>
    <xf numFmtId="0" fontId="8" fillId="5" borderId="8" xfId="0" applyFont="1" applyFill="1" applyBorder="1"/>
    <xf numFmtId="0" fontId="19" fillId="0" borderId="8" xfId="0" applyFont="1" applyBorder="1" applyAlignment="1">
      <alignment horizontal="center"/>
    </xf>
    <xf numFmtId="165" fontId="8" fillId="3" borderId="7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6" borderId="7" xfId="0" applyNumberFormat="1" applyFont="1" applyFill="1" applyBorder="1" applyAlignment="1">
      <alignment horizontal="center" vertical="center" wrapText="1"/>
    </xf>
    <xf numFmtId="165" fontId="8" fillId="6" borderId="9" xfId="0" applyNumberFormat="1" applyFont="1" applyFill="1" applyBorder="1" applyAlignment="1">
      <alignment horizontal="center" vertical="center" wrapText="1"/>
    </xf>
    <xf numFmtId="2" fontId="8" fillId="6" borderId="10" xfId="0" applyNumberFormat="1" applyFont="1" applyFill="1" applyBorder="1" applyAlignment="1">
      <alignment horizontal="center"/>
    </xf>
    <xf numFmtId="0" fontId="19" fillId="5" borderId="14" xfId="0" applyFont="1" applyFill="1" applyBorder="1"/>
    <xf numFmtId="165" fontId="30" fillId="3" borderId="14" xfId="0" applyNumberFormat="1" applyFont="1" applyFill="1" applyBorder="1" applyAlignment="1">
      <alignment horizontal="center" vertical="center" wrapText="1"/>
    </xf>
    <xf numFmtId="165" fontId="30" fillId="0" borderId="14" xfId="0" applyNumberFormat="1" applyFont="1" applyBorder="1" applyAlignment="1">
      <alignment horizontal="center" vertical="center" wrapText="1"/>
    </xf>
    <xf numFmtId="165" fontId="30" fillId="6" borderId="14" xfId="0" applyNumberFormat="1" applyFont="1" applyFill="1" applyBorder="1" applyAlignment="1">
      <alignment horizontal="center" vertical="center" wrapText="1"/>
    </xf>
    <xf numFmtId="165" fontId="30" fillId="6" borderId="15" xfId="0" applyNumberFormat="1" applyFont="1" applyFill="1" applyBorder="1" applyAlignment="1">
      <alignment horizontal="center" vertical="center" wrapText="1"/>
    </xf>
    <xf numFmtId="0" fontId="22" fillId="4" borderId="0" xfId="0" quotePrefix="1" applyFont="1" applyFill="1" applyAlignment="1">
      <alignment horizontal="center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2" fontId="10" fillId="6" borderId="0" xfId="0" applyNumberFormat="1" applyFont="1" applyFill="1" applyAlignment="1">
      <alignment horizontal="center"/>
    </xf>
    <xf numFmtId="0" fontId="5" fillId="0" borderId="0" xfId="0" quotePrefix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28" fillId="0" borderId="1" xfId="0" quotePrefix="1" applyFont="1" applyBorder="1" applyAlignment="1">
      <alignment horizontal="center"/>
    </xf>
    <xf numFmtId="0" fontId="36" fillId="4" borderId="0" xfId="0" quotePrefix="1" applyFont="1" applyFill="1" applyAlignment="1">
      <alignment horizontal="center"/>
    </xf>
    <xf numFmtId="0" fontId="30" fillId="0" borderId="1" xfId="0" quotePrefix="1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165" fontId="8" fillId="4" borderId="0" xfId="0" applyNumberFormat="1" applyFont="1" applyFill="1" applyAlignment="1">
      <alignment horizontal="center"/>
    </xf>
    <xf numFmtId="165" fontId="31" fillId="4" borderId="0" xfId="0" applyNumberFormat="1" applyFont="1" applyFill="1" applyAlignment="1">
      <alignment horizontal="center" vertical="center" wrapText="1"/>
    </xf>
    <xf numFmtId="0" fontId="0" fillId="4" borderId="0" xfId="0" applyFill="1"/>
    <xf numFmtId="166" fontId="28" fillId="4" borderId="0" xfId="0" applyNumberFormat="1" applyFont="1" applyFill="1" applyAlignment="1">
      <alignment horizontal="center"/>
    </xf>
    <xf numFmtId="0" fontId="4" fillId="0" borderId="0" xfId="0" quotePrefix="1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quotePrefix="1" applyFont="1" applyFill="1" applyAlignment="1">
      <alignment horizontal="center"/>
    </xf>
    <xf numFmtId="0" fontId="3" fillId="0" borderId="0" xfId="0" applyFont="1"/>
    <xf numFmtId="0" fontId="37" fillId="0" borderId="0" xfId="0" quotePrefix="1" applyFont="1" applyAlignment="1">
      <alignment horizontal="left"/>
    </xf>
    <xf numFmtId="0" fontId="37" fillId="0" borderId="0" xfId="0" applyFont="1"/>
    <xf numFmtId="0" fontId="38" fillId="0" borderId="0" xfId="0" quotePrefix="1" applyFont="1" applyAlignment="1">
      <alignment horizontal="left"/>
    </xf>
    <xf numFmtId="0" fontId="39" fillId="0" borderId="0" xfId="0" quotePrefix="1" applyFont="1" applyAlignment="1">
      <alignment horizontal="left"/>
    </xf>
    <xf numFmtId="0" fontId="39" fillId="0" borderId="0" xfId="0" applyFont="1"/>
    <xf numFmtId="0" fontId="2" fillId="4" borderId="15" xfId="0" quotePrefix="1" applyFont="1" applyFill="1" applyBorder="1" applyAlignment="1">
      <alignment horizontal="center"/>
    </xf>
    <xf numFmtId="2" fontId="8" fillId="0" borderId="0" xfId="0" applyNumberFormat="1" applyFont="1"/>
    <xf numFmtId="164" fontId="10" fillId="0" borderId="0" xfId="0" applyNumberFormat="1" applyFont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" fillId="0" borderId="0" xfId="0" applyFont="1"/>
    <xf numFmtId="0" fontId="8" fillId="0" borderId="21" xfId="0" applyFont="1" applyBorder="1"/>
    <xf numFmtId="0" fontId="8" fillId="0" borderId="18" xfId="0" applyFont="1" applyBorder="1"/>
    <xf numFmtId="0" fontId="40" fillId="0" borderId="0" xfId="0" applyFont="1"/>
    <xf numFmtId="0" fontId="40" fillId="0" borderId="23" xfId="0" applyFont="1" applyBorder="1" applyAlignment="1">
      <alignment horizontal="center"/>
    </xf>
    <xf numFmtId="0" fontId="40" fillId="0" borderId="21" xfId="0" applyFont="1" applyBorder="1"/>
    <xf numFmtId="0" fontId="40" fillId="0" borderId="18" xfId="0" applyFont="1" applyBorder="1"/>
    <xf numFmtId="0" fontId="41" fillId="0" borderId="23" xfId="0" quotePrefix="1" applyFont="1" applyBorder="1" applyAlignment="1">
      <alignment horizontal="left"/>
    </xf>
    <xf numFmtId="0" fontId="42" fillId="0" borderId="24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1" fillId="0" borderId="19" xfId="0" quotePrefix="1" applyFont="1" applyBorder="1" applyAlignment="1">
      <alignment horizontal="left"/>
    </xf>
    <xf numFmtId="0" fontId="40" fillId="0" borderId="20" xfId="0" applyFont="1" applyBorder="1" applyAlignment="1">
      <alignment horizontal="center"/>
    </xf>
    <xf numFmtId="2" fontId="44" fillId="0" borderId="24" xfId="0" applyNumberFormat="1" applyFont="1" applyBorder="1" applyAlignment="1">
      <alignment horizontal="center"/>
    </xf>
    <xf numFmtId="0" fontId="40" fillId="8" borderId="23" xfId="0" applyFont="1" applyFill="1" applyBorder="1" applyAlignment="1">
      <alignment horizontal="center"/>
    </xf>
    <xf numFmtId="2" fontId="44" fillId="8" borderId="24" xfId="0" applyNumberFormat="1" applyFont="1" applyFill="1" applyBorder="1" applyAlignment="1">
      <alignment horizontal="center"/>
    </xf>
    <xf numFmtId="0" fontId="40" fillId="9" borderId="23" xfId="0" applyFont="1" applyFill="1" applyBorder="1" applyAlignment="1">
      <alignment horizontal="center"/>
    </xf>
    <xf numFmtId="2" fontId="44" fillId="9" borderId="24" xfId="0" applyNumberFormat="1" applyFont="1" applyFill="1" applyBorder="1" applyAlignment="1">
      <alignment horizontal="center"/>
    </xf>
    <xf numFmtId="0" fontId="40" fillId="8" borderId="19" xfId="0" applyFont="1" applyFill="1" applyBorder="1" applyAlignment="1">
      <alignment horizontal="center"/>
    </xf>
    <xf numFmtId="2" fontId="44" fillId="8" borderId="20" xfId="0" applyNumberFormat="1" applyFont="1" applyFill="1" applyBorder="1" applyAlignment="1">
      <alignment horizontal="center"/>
    </xf>
    <xf numFmtId="0" fontId="45" fillId="0" borderId="23" xfId="0" applyFont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47" fillId="0" borderId="22" xfId="0" applyFont="1" applyBorder="1"/>
    <xf numFmtId="0" fontId="47" fillId="0" borderId="0" xfId="0" quotePrefix="1" applyFont="1" applyAlignment="1">
      <alignment horizontal="left"/>
    </xf>
    <xf numFmtId="0" fontId="40" fillId="0" borderId="18" xfId="0" quotePrefix="1" applyFont="1" applyBorder="1" applyAlignment="1">
      <alignment horizontal="center"/>
    </xf>
    <xf numFmtId="0" fontId="41" fillId="0" borderId="17" xfId="0" quotePrefix="1" applyFont="1" applyBorder="1" applyAlignment="1">
      <alignment horizontal="left"/>
    </xf>
    <xf numFmtId="0" fontId="41" fillId="0" borderId="20" xfId="0" quotePrefix="1" applyFont="1" applyBorder="1" applyAlignment="1">
      <alignment horizontal="center"/>
    </xf>
    <xf numFmtId="0" fontId="41" fillId="0" borderId="19" xfId="0" applyFont="1" applyBorder="1"/>
    <xf numFmtId="0" fontId="40" fillId="0" borderId="20" xfId="0" applyFont="1" applyBorder="1"/>
    <xf numFmtId="0" fontId="41" fillId="0" borderId="20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quotePrefix="1" applyFont="1" applyBorder="1" applyAlignment="1">
      <alignment horizontal="center"/>
    </xf>
    <xf numFmtId="164" fontId="40" fillId="0" borderId="31" xfId="0" applyNumberFormat="1" applyFont="1" applyBorder="1" applyAlignment="1">
      <alignment horizontal="center"/>
    </xf>
    <xf numFmtId="164" fontId="40" fillId="8" borderId="31" xfId="0" applyNumberFormat="1" applyFont="1" applyFill="1" applyBorder="1" applyAlignment="1">
      <alignment horizontal="center"/>
    </xf>
    <xf numFmtId="164" fontId="40" fillId="2" borderId="31" xfId="0" applyNumberFormat="1" applyFont="1" applyFill="1" applyBorder="1" applyAlignment="1">
      <alignment horizontal="center"/>
    </xf>
    <xf numFmtId="164" fontId="40" fillId="9" borderId="31" xfId="0" applyNumberFormat="1" applyFont="1" applyFill="1" applyBorder="1" applyAlignment="1">
      <alignment horizontal="center"/>
    </xf>
    <xf numFmtId="164" fontId="40" fillId="2" borderId="33" xfId="0" applyNumberFormat="1" applyFont="1" applyFill="1" applyBorder="1" applyAlignment="1">
      <alignment horizontal="center"/>
    </xf>
    <xf numFmtId="0" fontId="41" fillId="0" borderId="19" xfId="0" applyFont="1" applyBorder="1" applyAlignment="1">
      <alignment horizontal="left"/>
    </xf>
    <xf numFmtId="0" fontId="41" fillId="0" borderId="17" xfId="0" applyFont="1" applyBorder="1" applyAlignment="1">
      <alignment horizontal="left"/>
    </xf>
    <xf numFmtId="0" fontId="49" fillId="0" borderId="23" xfId="0" applyFont="1" applyBorder="1" applyAlignment="1">
      <alignment horizontal="center"/>
    </xf>
    <xf numFmtId="0" fontId="49" fillId="0" borderId="24" xfId="0" quotePrefix="1" applyFont="1" applyBorder="1" applyAlignment="1">
      <alignment horizontal="center"/>
    </xf>
    <xf numFmtId="164" fontId="45" fillId="0" borderId="23" xfId="0" applyNumberFormat="1" applyFont="1" applyBorder="1" applyAlignment="1">
      <alignment horizontal="center"/>
    </xf>
    <xf numFmtId="2" fontId="45" fillId="0" borderId="24" xfId="0" applyNumberFormat="1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/>
    </xf>
    <xf numFmtId="2" fontId="45" fillId="0" borderId="20" xfId="0" applyNumberFormat="1" applyFont="1" applyBorder="1" applyAlignment="1">
      <alignment horizontal="center" vertical="center" wrapText="1"/>
    </xf>
    <xf numFmtId="0" fontId="8" fillId="0" borderId="22" xfId="0" applyFont="1" applyBorder="1"/>
    <xf numFmtId="0" fontId="8" fillId="0" borderId="20" xfId="0" applyFont="1" applyBorder="1"/>
    <xf numFmtId="0" fontId="40" fillId="0" borderId="17" xfId="0" quotePrefix="1" applyFont="1" applyBorder="1" applyAlignment="1">
      <alignment horizontal="left"/>
    </xf>
    <xf numFmtId="0" fontId="40" fillId="0" borderId="19" xfId="0" quotePrefix="1" applyFont="1" applyBorder="1" applyAlignment="1">
      <alignment horizontal="left"/>
    </xf>
    <xf numFmtId="0" fontId="41" fillId="11" borderId="25" xfId="0" quotePrefix="1" applyFont="1" applyFill="1" applyBorder="1" applyAlignment="1">
      <alignment horizontal="left"/>
    </xf>
    <xf numFmtId="0" fontId="40" fillId="11" borderId="26" xfId="0" applyFont="1" applyFill="1" applyBorder="1"/>
    <xf numFmtId="0" fontId="40" fillId="11" borderId="27" xfId="0" applyFont="1" applyFill="1" applyBorder="1"/>
    <xf numFmtId="0" fontId="40" fillId="11" borderId="28" xfId="0" applyFont="1" applyFill="1" applyBorder="1" applyAlignment="1">
      <alignment horizontal="center"/>
    </xf>
    <xf numFmtId="0" fontId="45" fillId="11" borderId="29" xfId="0" quotePrefix="1" applyFont="1" applyFill="1" applyBorder="1" applyAlignment="1">
      <alignment horizontal="center"/>
    </xf>
    <xf numFmtId="0" fontId="40" fillId="11" borderId="30" xfId="0" applyFont="1" applyFill="1" applyBorder="1" applyAlignment="1">
      <alignment horizontal="center"/>
    </xf>
    <xf numFmtId="0" fontId="40" fillId="11" borderId="32" xfId="0" applyFont="1" applyFill="1" applyBorder="1" applyAlignment="1">
      <alignment horizontal="center"/>
    </xf>
    <xf numFmtId="0" fontId="43" fillId="11" borderId="17" xfId="0" applyFont="1" applyFill="1" applyBorder="1"/>
    <xf numFmtId="0" fontId="43" fillId="11" borderId="18" xfId="0" quotePrefix="1" applyFont="1" applyFill="1" applyBorder="1" applyAlignment="1">
      <alignment horizontal="left"/>
    </xf>
    <xf numFmtId="0" fontId="43" fillId="11" borderId="19" xfId="0" applyFont="1" applyFill="1" applyBorder="1" applyAlignment="1">
      <alignment horizontal="center"/>
    </xf>
    <xf numFmtId="0" fontId="43" fillId="11" borderId="20" xfId="0" quotePrefix="1" applyFont="1" applyFill="1" applyBorder="1" applyAlignment="1">
      <alignment horizontal="center"/>
    </xf>
    <xf numFmtId="0" fontId="41" fillId="11" borderId="16" xfId="0" applyFont="1" applyFill="1" applyBorder="1"/>
    <xf numFmtId="0" fontId="21" fillId="0" borderId="0" xfId="0" quotePrefix="1" applyFont="1" applyAlignment="1">
      <alignment horizontal="right"/>
    </xf>
    <xf numFmtId="0" fontId="19" fillId="4" borderId="5" xfId="0" quotePrefix="1" applyFont="1" applyFill="1" applyBorder="1" applyAlignment="1">
      <alignment horizontal="left"/>
    </xf>
    <xf numFmtId="0" fontId="50" fillId="11" borderId="31" xfId="0" applyFont="1" applyFill="1" applyBorder="1" applyAlignment="1">
      <alignment horizontal="center"/>
    </xf>
    <xf numFmtId="0" fontId="48" fillId="11" borderId="30" xfId="0" applyFont="1" applyFill="1" applyBorder="1" applyAlignment="1">
      <alignment horizontal="center"/>
    </xf>
    <xf numFmtId="0" fontId="8" fillId="0" borderId="12" xfId="0" applyFont="1" applyBorder="1"/>
    <xf numFmtId="0" fontId="20" fillId="0" borderId="5" xfId="0" applyFont="1" applyBorder="1"/>
    <xf numFmtId="0" fontId="20" fillId="0" borderId="6" xfId="0" applyFont="1" applyBorder="1"/>
    <xf numFmtId="0" fontId="8" fillId="0" borderId="7" xfId="0" applyFont="1" applyBorder="1"/>
    <xf numFmtId="0" fontId="41" fillId="0" borderId="0" xfId="0" applyFont="1"/>
    <xf numFmtId="0" fontId="8" fillId="0" borderId="8" xfId="0" applyFont="1" applyBorder="1"/>
    <xf numFmtId="0" fontId="20" fillId="0" borderId="12" xfId="0" applyFont="1" applyBorder="1"/>
    <xf numFmtId="0" fontId="20" fillId="0" borderId="0" xfId="0" applyFont="1"/>
    <xf numFmtId="0" fontId="40" fillId="0" borderId="7" xfId="0" applyFont="1" applyBorder="1"/>
    <xf numFmtId="0" fontId="40" fillId="0" borderId="9" xfId="0" applyFont="1" applyBorder="1"/>
    <xf numFmtId="0" fontId="51" fillId="0" borderId="0" xfId="0" applyFont="1"/>
    <xf numFmtId="0" fontId="51" fillId="0" borderId="0" xfId="0" quotePrefix="1" applyFont="1" applyAlignment="1">
      <alignment horizontal="left"/>
    </xf>
    <xf numFmtId="0" fontId="51" fillId="0" borderId="7" xfId="0" applyFont="1" applyBorder="1"/>
    <xf numFmtId="0" fontId="51" fillId="0" borderId="8" xfId="0" applyFont="1" applyBorder="1"/>
    <xf numFmtId="0" fontId="51" fillId="0" borderId="0" xfId="0" applyFont="1" applyAlignment="1">
      <alignment vertical="top"/>
    </xf>
    <xf numFmtId="0" fontId="51" fillId="0" borderId="0" xfId="0" quotePrefix="1" applyFont="1" applyAlignment="1">
      <alignment horizontal="left" vertical="top"/>
    </xf>
    <xf numFmtId="0" fontId="51" fillId="0" borderId="8" xfId="0" applyFont="1" applyBorder="1" applyAlignment="1">
      <alignment vertical="top"/>
    </xf>
    <xf numFmtId="0" fontId="51" fillId="0" borderId="7" xfId="0" applyFont="1" applyBorder="1" applyAlignment="1">
      <alignment vertical="top"/>
    </xf>
    <xf numFmtId="0" fontId="52" fillId="0" borderId="5" xfId="0" quotePrefix="1" applyFont="1" applyBorder="1" applyAlignment="1">
      <alignment horizontal="right" vertical="top"/>
    </xf>
    <xf numFmtId="2" fontId="53" fillId="0" borderId="24" xfId="0" applyNumberFormat="1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54" fillId="11" borderId="30" xfId="0" applyFont="1" applyFill="1" applyBorder="1" applyAlignment="1">
      <alignment horizontal="center"/>
    </xf>
    <xf numFmtId="164" fontId="54" fillId="0" borderId="31" xfId="0" applyNumberFormat="1" applyFont="1" applyBorder="1" applyAlignment="1">
      <alignment horizontal="center"/>
    </xf>
    <xf numFmtId="0" fontId="40" fillId="0" borderId="0" xfId="0" quotePrefix="1" applyFont="1" applyAlignment="1">
      <alignment horizontal="right"/>
    </xf>
    <xf numFmtId="2" fontId="55" fillId="0" borderId="24" xfId="0" applyNumberFormat="1" applyFont="1" applyBorder="1" applyAlignment="1">
      <alignment horizontal="center" vertical="center" wrapText="1"/>
    </xf>
    <xf numFmtId="2" fontId="40" fillId="8" borderId="31" xfId="0" applyNumberFormat="1" applyFont="1" applyFill="1" applyBorder="1" applyAlignment="1">
      <alignment horizontal="center"/>
    </xf>
    <xf numFmtId="2" fontId="40" fillId="0" borderId="31" xfId="0" applyNumberFormat="1" applyFont="1" applyBorder="1" applyAlignment="1">
      <alignment horizontal="center"/>
    </xf>
    <xf numFmtId="2" fontId="40" fillId="2" borderId="31" xfId="0" applyNumberFormat="1" applyFont="1" applyFill="1" applyBorder="1" applyAlignment="1">
      <alignment horizontal="center"/>
    </xf>
    <xf numFmtId="2" fontId="40" fillId="9" borderId="31" xfId="0" applyNumberFormat="1" applyFont="1" applyFill="1" applyBorder="1" applyAlignment="1">
      <alignment horizontal="center"/>
    </xf>
    <xf numFmtId="2" fontId="40" fillId="2" borderId="33" xfId="0" applyNumberFormat="1" applyFont="1" applyFill="1" applyBorder="1" applyAlignment="1">
      <alignment horizontal="center"/>
    </xf>
    <xf numFmtId="9" fontId="40" fillId="8" borderId="31" xfId="0" applyNumberFormat="1" applyFont="1" applyFill="1" applyBorder="1" applyAlignment="1">
      <alignment horizontal="center"/>
    </xf>
    <xf numFmtId="9" fontId="40" fillId="0" borderId="31" xfId="0" applyNumberFormat="1" applyFont="1" applyBorder="1" applyAlignment="1">
      <alignment horizontal="center"/>
    </xf>
    <xf numFmtId="9" fontId="40" fillId="2" borderId="31" xfId="0" applyNumberFormat="1" applyFont="1" applyFill="1" applyBorder="1" applyAlignment="1">
      <alignment horizontal="center"/>
    </xf>
    <xf numFmtId="9" fontId="40" fillId="9" borderId="31" xfId="0" applyNumberFormat="1" applyFont="1" applyFill="1" applyBorder="1" applyAlignment="1">
      <alignment horizontal="center"/>
    </xf>
    <xf numFmtId="9" fontId="40" fillId="2" borderId="33" xfId="0" applyNumberFormat="1" applyFont="1" applyFill="1" applyBorder="1" applyAlignment="1">
      <alignment horizontal="center"/>
    </xf>
    <xf numFmtId="164" fontId="54" fillId="0" borderId="34" xfId="0" applyNumberFormat="1" applyFont="1" applyBorder="1" applyAlignment="1">
      <alignment horizontal="center"/>
    </xf>
    <xf numFmtId="9" fontId="56" fillId="8" borderId="34" xfId="0" applyNumberFormat="1" applyFont="1" applyFill="1" applyBorder="1" applyAlignment="1">
      <alignment horizontal="center"/>
    </xf>
    <xf numFmtId="9" fontId="56" fillId="0" borderId="34" xfId="0" applyNumberFormat="1" applyFont="1" applyBorder="1" applyAlignment="1">
      <alignment horizontal="center"/>
    </xf>
    <xf numFmtId="9" fontId="56" fillId="2" borderId="34" xfId="0" applyNumberFormat="1" applyFont="1" applyFill="1" applyBorder="1" applyAlignment="1">
      <alignment horizontal="center"/>
    </xf>
    <xf numFmtId="9" fontId="56" fillId="9" borderId="34" xfId="0" applyNumberFormat="1" applyFont="1" applyFill="1" applyBorder="1" applyAlignment="1">
      <alignment horizontal="center"/>
    </xf>
    <xf numFmtId="9" fontId="56" fillId="2" borderId="35" xfId="0" applyNumberFormat="1" applyFont="1" applyFill="1" applyBorder="1" applyAlignment="1">
      <alignment horizontal="center"/>
    </xf>
    <xf numFmtId="164" fontId="40" fillId="8" borderId="36" xfId="0" applyNumberFormat="1" applyFont="1" applyFill="1" applyBorder="1" applyAlignment="1">
      <alignment horizontal="center"/>
    </xf>
    <xf numFmtId="164" fontId="40" fillId="0" borderId="36" xfId="0" applyNumberFormat="1" applyFont="1" applyBorder="1" applyAlignment="1">
      <alignment horizontal="center"/>
    </xf>
    <xf numFmtId="164" fontId="40" fillId="2" borderId="36" xfId="0" applyNumberFormat="1" applyFont="1" applyFill="1" applyBorder="1" applyAlignment="1">
      <alignment horizontal="center"/>
    </xf>
    <xf numFmtId="164" fontId="40" fillId="9" borderId="36" xfId="0" applyNumberFormat="1" applyFont="1" applyFill="1" applyBorder="1" applyAlignment="1">
      <alignment horizontal="center"/>
    </xf>
    <xf numFmtId="164" fontId="40" fillId="2" borderId="37" xfId="0" applyNumberFormat="1" applyFont="1" applyFill="1" applyBorder="1" applyAlignment="1">
      <alignment horizontal="center"/>
    </xf>
    <xf numFmtId="0" fontId="8" fillId="0" borderId="38" xfId="0" applyFont="1" applyBorder="1"/>
    <xf numFmtId="0" fontId="56" fillId="10" borderId="39" xfId="0" quotePrefix="1" applyFont="1" applyFill="1" applyBorder="1" applyAlignment="1">
      <alignment horizontal="center"/>
    </xf>
    <xf numFmtId="0" fontId="56" fillId="10" borderId="34" xfId="0" applyFont="1" applyFill="1" applyBorder="1" applyAlignment="1">
      <alignment horizontal="center"/>
    </xf>
    <xf numFmtId="0" fontId="59" fillId="0" borderId="0" xfId="0" quotePrefix="1" applyFont="1" applyAlignment="1">
      <alignment horizontal="left"/>
    </xf>
    <xf numFmtId="0" fontId="58" fillId="0" borderId="0" xfId="0" quotePrefix="1" applyFont="1" applyAlignment="1">
      <alignment horizontal="left"/>
    </xf>
    <xf numFmtId="2" fontId="57" fillId="3" borderId="0" xfId="0" applyNumberFormat="1" applyFont="1" applyFill="1" applyAlignment="1">
      <alignment horizontal="center"/>
    </xf>
    <xf numFmtId="2" fontId="57" fillId="0" borderId="0" xfId="0" applyNumberFormat="1" applyFont="1" applyAlignment="1">
      <alignment horizontal="center"/>
    </xf>
    <xf numFmtId="2" fontId="57" fillId="6" borderId="0" xfId="0" applyNumberFormat="1" applyFont="1" applyFill="1" applyAlignment="1">
      <alignment horizontal="center"/>
    </xf>
    <xf numFmtId="9" fontId="8" fillId="0" borderId="0" xfId="0" applyNumberFormat="1" applyFont="1"/>
    <xf numFmtId="0" fontId="1" fillId="0" borderId="0" xfId="0" quotePrefix="1" applyFont="1" applyAlignment="1">
      <alignment horizontal="left"/>
    </xf>
    <xf numFmtId="0" fontId="58" fillId="0" borderId="0" xfId="0" applyFont="1"/>
    <xf numFmtId="0" fontId="28" fillId="0" borderId="5" xfId="0" applyFont="1" applyBorder="1"/>
    <xf numFmtId="0" fontId="28" fillId="0" borderId="10" xfId="0" applyFont="1" applyBorder="1"/>
    <xf numFmtId="0" fontId="57" fillId="0" borderId="12" xfId="0" applyFont="1" applyBorder="1"/>
    <xf numFmtId="0" fontId="57" fillId="0" borderId="9" xfId="0" applyFont="1" applyBorder="1"/>
    <xf numFmtId="9" fontId="57" fillId="0" borderId="6" xfId="0" applyNumberFormat="1" applyFont="1" applyBorder="1"/>
    <xf numFmtId="9" fontId="57" fillId="0" borderId="11" xfId="0" applyNumberFormat="1" applyFont="1" applyBorder="1"/>
    <xf numFmtId="0" fontId="57" fillId="0" borderId="0" xfId="0" applyFont="1"/>
    <xf numFmtId="0" fontId="57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57" fillId="0" borderId="0" xfId="0" applyFont="1" applyAlignment="1">
      <alignment horizontal="left"/>
    </xf>
    <xf numFmtId="166" fontId="8" fillId="0" borderId="0" xfId="0" applyNumberFormat="1" applyFont="1"/>
    <xf numFmtId="164" fontId="57" fillId="0" borderId="0" xfId="0" applyNumberFormat="1" applyFont="1" applyAlignment="1">
      <alignment horizontal="center"/>
    </xf>
    <xf numFmtId="0" fontId="62" fillId="4" borderId="11" xfId="0" quotePrefix="1" applyFont="1" applyFill="1" applyBorder="1" applyAlignment="1">
      <alignment horizontal="center"/>
    </xf>
    <xf numFmtId="0" fontId="62" fillId="0" borderId="6" xfId="0" quotePrefix="1" applyFont="1" applyBorder="1" applyAlignment="1">
      <alignment horizontal="left"/>
    </xf>
    <xf numFmtId="0" fontId="62" fillId="0" borderId="8" xfId="0" quotePrefix="1" applyFont="1" applyBorder="1" applyAlignment="1">
      <alignment horizontal="left"/>
    </xf>
    <xf numFmtId="165" fontId="57" fillId="3" borderId="8" xfId="0" applyNumberFormat="1" applyFont="1" applyFill="1" applyBorder="1" applyAlignment="1">
      <alignment horizontal="center"/>
    </xf>
    <xf numFmtId="165" fontId="57" fillId="0" borderId="8" xfId="0" applyNumberFormat="1" applyFont="1" applyBorder="1" applyAlignment="1">
      <alignment horizontal="center"/>
    </xf>
    <xf numFmtId="165" fontId="57" fillId="6" borderId="8" xfId="0" applyNumberFormat="1" applyFont="1" applyFill="1" applyBorder="1" applyAlignment="1">
      <alignment horizontal="center"/>
    </xf>
    <xf numFmtId="165" fontId="57" fillId="6" borderId="11" xfId="0" applyNumberFormat="1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6" borderId="7" xfId="0" applyNumberFormat="1" applyFont="1" applyFill="1" applyBorder="1" applyAlignment="1">
      <alignment horizontal="center"/>
    </xf>
    <xf numFmtId="2" fontId="8" fillId="6" borderId="9" xfId="0" applyNumberFormat="1" applyFont="1" applyFill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63" fillId="0" borderId="6" xfId="0" quotePrefix="1" applyFont="1" applyBorder="1" applyAlignment="1">
      <alignment horizontal="left"/>
    </xf>
    <xf numFmtId="0" fontId="57" fillId="0" borderId="7" xfId="0" applyFont="1" applyBorder="1" applyAlignment="1">
      <alignment horizontal="center"/>
    </xf>
    <xf numFmtId="0" fontId="64" fillId="0" borderId="8" xfId="0" applyFont="1" applyBorder="1" applyAlignment="1">
      <alignment horizontal="center"/>
    </xf>
    <xf numFmtId="2" fontId="63" fillId="0" borderId="8" xfId="0" applyNumberFormat="1" applyFont="1" applyBorder="1" applyAlignment="1">
      <alignment horizontal="center"/>
    </xf>
    <xf numFmtId="2" fontId="57" fillId="0" borderId="7" xfId="0" applyNumberFormat="1" applyFont="1" applyBorder="1" applyAlignment="1">
      <alignment horizontal="center"/>
    </xf>
    <xf numFmtId="2" fontId="57" fillId="0" borderId="9" xfId="0" applyNumberFormat="1" applyFont="1" applyBorder="1" applyAlignment="1">
      <alignment horizontal="center"/>
    </xf>
    <xf numFmtId="2" fontId="63" fillId="0" borderId="11" xfId="0" applyNumberFormat="1" applyFont="1" applyBorder="1" applyAlignment="1">
      <alignment horizontal="center"/>
    </xf>
    <xf numFmtId="0" fontId="65" fillId="0" borderId="0" xfId="0" quotePrefix="1" applyFont="1" applyAlignment="1">
      <alignment horizontal="left"/>
    </xf>
    <xf numFmtId="0" fontId="66" fillId="0" borderId="0" xfId="0" quotePrefix="1" applyFont="1" applyAlignment="1">
      <alignment horizontal="left"/>
    </xf>
    <xf numFmtId="0" fontId="67" fillId="0" borderId="0" xfId="0" applyFont="1"/>
    <xf numFmtId="0" fontId="66" fillId="0" borderId="0" xfId="0" applyFont="1"/>
    <xf numFmtId="0" fontId="68" fillId="0" borderId="0" xfId="0" applyFont="1"/>
    <xf numFmtId="165" fontId="8" fillId="0" borderId="10" xfId="0" applyNumberFormat="1" applyFont="1" applyBorder="1"/>
    <xf numFmtId="165" fontId="28" fillId="0" borderId="10" xfId="0" applyNumberFormat="1" applyFont="1" applyBorder="1" applyAlignment="1">
      <alignment horizontal="center"/>
    </xf>
    <xf numFmtId="0" fontId="69" fillId="0" borderId="0" xfId="0" quotePrefix="1" applyFont="1" applyAlignment="1">
      <alignment horizontal="left"/>
    </xf>
    <xf numFmtId="0" fontId="8" fillId="4" borderId="12" xfId="0" applyFont="1" applyFill="1" applyBorder="1"/>
    <xf numFmtId="0" fontId="8" fillId="4" borderId="5" xfId="0" applyFont="1" applyFill="1" applyBorder="1"/>
    <xf numFmtId="0" fontId="1" fillId="4" borderId="5" xfId="0" quotePrefix="1" applyFont="1" applyFill="1" applyBorder="1" applyAlignment="1">
      <alignment horizontal="center"/>
    </xf>
    <xf numFmtId="0" fontId="21" fillId="4" borderId="5" xfId="0" quotePrefix="1" applyFont="1" applyFill="1" applyBorder="1" applyAlignment="1">
      <alignment horizontal="left"/>
    </xf>
    <xf numFmtId="0" fontId="29" fillId="4" borderId="7" xfId="0" applyFont="1" applyFill="1" applyBorder="1" applyAlignment="1">
      <alignment horizontal="center"/>
    </xf>
    <xf numFmtId="0" fontId="29" fillId="4" borderId="8" xfId="0" quotePrefix="1" applyFont="1" applyFill="1" applyBorder="1" applyAlignment="1">
      <alignment horizontal="center"/>
    </xf>
    <xf numFmtId="2" fontId="30" fillId="3" borderId="0" xfId="0" applyNumberFormat="1" applyFont="1" applyFill="1" applyAlignment="1">
      <alignment horizontal="center"/>
    </xf>
    <xf numFmtId="2" fontId="30" fillId="0" borderId="0" xfId="0" applyNumberFormat="1" applyFont="1" applyAlignment="1">
      <alignment horizontal="center"/>
    </xf>
    <xf numFmtId="2" fontId="30" fillId="6" borderId="0" xfId="0" applyNumberFormat="1" applyFont="1" applyFill="1" applyAlignment="1">
      <alignment horizontal="center"/>
    </xf>
    <xf numFmtId="2" fontId="30" fillId="6" borderId="10" xfId="0" applyNumberFormat="1" applyFont="1" applyFill="1" applyBorder="1" applyAlignment="1">
      <alignment horizontal="center"/>
    </xf>
    <xf numFmtId="2" fontId="28" fillId="6" borderId="10" xfId="0" applyNumberFormat="1" applyFont="1" applyFill="1" applyBorder="1" applyAlignment="1">
      <alignment horizontal="center"/>
    </xf>
    <xf numFmtId="0" fontId="28" fillId="4" borderId="7" xfId="0" quotePrefix="1" applyFont="1" applyFill="1" applyBorder="1" applyAlignment="1">
      <alignment horizontal="center"/>
    </xf>
    <xf numFmtId="0" fontId="70" fillId="0" borderId="0" xfId="0" quotePrefix="1" applyFont="1" applyAlignment="1">
      <alignment horizontal="left"/>
    </xf>
    <xf numFmtId="2" fontId="71" fillId="3" borderId="0" xfId="0" applyNumberFormat="1" applyFont="1" applyFill="1" applyAlignment="1">
      <alignment horizontal="center"/>
    </xf>
    <xf numFmtId="166" fontId="71" fillId="3" borderId="8" xfId="0" applyNumberFormat="1" applyFont="1" applyFill="1" applyBorder="1" applyAlignment="1">
      <alignment horizontal="center" vertical="center" wrapText="1"/>
    </xf>
    <xf numFmtId="2" fontId="71" fillId="0" borderId="0" xfId="0" applyNumberFormat="1" applyFont="1" applyAlignment="1">
      <alignment horizontal="center"/>
    </xf>
    <xf numFmtId="166" fontId="71" fillId="0" borderId="8" xfId="0" applyNumberFormat="1" applyFont="1" applyBorder="1" applyAlignment="1">
      <alignment horizontal="center" vertical="center" wrapText="1"/>
    </xf>
    <xf numFmtId="2" fontId="71" fillId="6" borderId="0" xfId="0" applyNumberFormat="1" applyFont="1" applyFill="1" applyAlignment="1">
      <alignment horizontal="center"/>
    </xf>
    <xf numFmtId="166" fontId="71" fillId="6" borderId="8" xfId="0" applyNumberFormat="1" applyFont="1" applyFill="1" applyBorder="1" applyAlignment="1">
      <alignment horizontal="center" vertical="center" wrapText="1"/>
    </xf>
    <xf numFmtId="2" fontId="71" fillId="6" borderId="10" xfId="0" applyNumberFormat="1" applyFont="1" applyFill="1" applyBorder="1" applyAlignment="1">
      <alignment horizontal="center"/>
    </xf>
    <xf numFmtId="166" fontId="71" fillId="6" borderId="11" xfId="0" applyNumberFormat="1" applyFont="1" applyFill="1" applyBorder="1" applyAlignment="1">
      <alignment horizontal="center" vertical="center" wrapText="1"/>
    </xf>
    <xf numFmtId="0" fontId="8" fillId="4" borderId="40" xfId="0" applyFont="1" applyFill="1" applyBorder="1"/>
    <xf numFmtId="0" fontId="29" fillId="4" borderId="41" xfId="0" quotePrefix="1" applyFont="1" applyFill="1" applyBorder="1" applyAlignment="1">
      <alignment horizontal="center"/>
    </xf>
    <xf numFmtId="165" fontId="31" fillId="3" borderId="41" xfId="0" applyNumberFormat="1" applyFont="1" applyFill="1" applyBorder="1" applyAlignment="1">
      <alignment horizontal="center" vertical="center" wrapText="1"/>
    </xf>
    <xf numFmtId="165" fontId="31" fillId="0" borderId="41" xfId="0" applyNumberFormat="1" applyFont="1" applyBorder="1" applyAlignment="1">
      <alignment horizontal="center" vertical="center" wrapText="1"/>
    </xf>
    <xf numFmtId="165" fontId="31" fillId="6" borderId="41" xfId="0" applyNumberFormat="1" applyFont="1" applyFill="1" applyBorder="1" applyAlignment="1">
      <alignment horizontal="center" vertical="center" wrapText="1"/>
    </xf>
    <xf numFmtId="165" fontId="31" fillId="6" borderId="42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0" fontId="72" fillId="12" borderId="43" xfId="0" applyFont="1" applyFill="1" applyBorder="1" applyAlignment="1">
      <alignment horizontal="center" vertical="center" wrapText="1"/>
    </xf>
    <xf numFmtId="0" fontId="74" fillId="12" borderId="43" xfId="0" applyFont="1" applyFill="1" applyBorder="1" applyAlignment="1">
      <alignment horizontal="center" vertical="center" wrapText="1"/>
    </xf>
    <xf numFmtId="0" fontId="73" fillId="12" borderId="43" xfId="0" applyFont="1" applyFill="1" applyBorder="1" applyAlignment="1">
      <alignment horizontal="center" vertical="center" wrapText="1"/>
    </xf>
    <xf numFmtId="0" fontId="73" fillId="0" borderId="43" xfId="0" applyFont="1" applyBorder="1" applyAlignment="1">
      <alignment horizontal="center" vertical="center" wrapText="1"/>
    </xf>
    <xf numFmtId="0" fontId="75" fillId="0" borderId="0" xfId="0" applyFont="1"/>
    <xf numFmtId="166" fontId="0" fillId="0" borderId="0" xfId="0" applyNumberFormat="1"/>
    <xf numFmtId="0" fontId="1" fillId="0" borderId="0" xfId="0" quotePrefix="1" applyFont="1" applyAlignment="1">
      <alignment horizontal="center"/>
    </xf>
    <xf numFmtId="0" fontId="76" fillId="12" borderId="43" xfId="0" applyFont="1" applyFill="1" applyBorder="1" applyAlignment="1">
      <alignment horizontal="center" vertical="center" wrapText="1"/>
    </xf>
    <xf numFmtId="0" fontId="77" fillId="12" borderId="43" xfId="0" applyFont="1" applyFill="1" applyBorder="1" applyAlignment="1">
      <alignment horizontal="center" vertical="center" wrapText="1"/>
    </xf>
    <xf numFmtId="0" fontId="78" fillId="12" borderId="43" xfId="0" applyFont="1" applyFill="1" applyBorder="1" applyAlignment="1">
      <alignment horizontal="center" vertical="center" wrapText="1"/>
    </xf>
    <xf numFmtId="0" fontId="79" fillId="12" borderId="43" xfId="0" applyFont="1" applyFill="1" applyBorder="1" applyAlignment="1">
      <alignment horizontal="center" vertical="center" wrapText="1"/>
    </xf>
    <xf numFmtId="0" fontId="80" fillId="12" borderId="43" xfId="0" applyFont="1" applyFill="1" applyBorder="1" applyAlignment="1">
      <alignment horizontal="center" vertical="center" wrapText="1"/>
    </xf>
    <xf numFmtId="0" fontId="72" fillId="0" borderId="43" xfId="0" applyFont="1" applyBorder="1" applyAlignment="1">
      <alignment horizontal="center" vertical="center" wrapText="1"/>
    </xf>
    <xf numFmtId="0" fontId="79" fillId="0" borderId="43" xfId="0" applyFont="1" applyBorder="1" applyAlignment="1">
      <alignment horizontal="center" vertical="center" wrapText="1"/>
    </xf>
    <xf numFmtId="9" fontId="80" fillId="0" borderId="43" xfId="0" applyNumberFormat="1" applyFont="1" applyBorder="1" applyAlignment="1">
      <alignment horizontal="center" vertical="center" wrapText="1"/>
    </xf>
    <xf numFmtId="0" fontId="72" fillId="6" borderId="43" xfId="0" applyFont="1" applyFill="1" applyBorder="1" applyAlignment="1">
      <alignment horizontal="center" vertical="center" wrapText="1"/>
    </xf>
    <xf numFmtId="0" fontId="79" fillId="6" borderId="43" xfId="0" applyFont="1" applyFill="1" applyBorder="1" applyAlignment="1">
      <alignment horizontal="center" vertical="center" wrapText="1"/>
    </xf>
    <xf numFmtId="9" fontId="80" fillId="13" borderId="43" xfId="0" applyNumberFormat="1" applyFont="1" applyFill="1" applyBorder="1" applyAlignment="1">
      <alignment horizontal="center" vertical="center" wrapText="1"/>
    </xf>
    <xf numFmtId="0" fontId="79" fillId="9" borderId="43" xfId="0" applyFont="1" applyFill="1" applyBorder="1" applyAlignment="1">
      <alignment horizontal="center" vertical="center" wrapText="1"/>
    </xf>
    <xf numFmtId="0" fontId="57" fillId="0" borderId="0" xfId="0" quotePrefix="1" applyFont="1" applyAlignment="1">
      <alignment horizontal="left"/>
    </xf>
    <xf numFmtId="0" fontId="57" fillId="4" borderId="0" xfId="0" quotePrefix="1" applyFont="1" applyFill="1" applyAlignment="1">
      <alignment horizontal="center"/>
    </xf>
    <xf numFmtId="166" fontId="0" fillId="14" borderId="0" xfId="0" applyNumberFormat="1" applyFill="1"/>
    <xf numFmtId="0" fontId="1" fillId="0" borderId="0" xfId="0" applyFont="1" applyAlignment="1">
      <alignment horizontal="center"/>
    </xf>
    <xf numFmtId="0" fontId="81" fillId="4" borderId="11" xfId="0" quotePrefix="1" applyFont="1" applyFill="1" applyBorder="1" applyAlignment="1">
      <alignment horizontal="center"/>
    </xf>
    <xf numFmtId="0" fontId="81" fillId="0" borderId="6" xfId="0" quotePrefix="1" applyFont="1" applyBorder="1" applyAlignment="1">
      <alignment horizontal="left"/>
    </xf>
    <xf numFmtId="0" fontId="81" fillId="0" borderId="8" xfId="0" quotePrefix="1" applyFont="1" applyBorder="1" applyAlignment="1">
      <alignment horizontal="left"/>
    </xf>
    <xf numFmtId="165" fontId="33" fillId="3" borderId="8" xfId="0" applyNumberFormat="1" applyFont="1" applyFill="1" applyBorder="1" applyAlignment="1">
      <alignment horizontal="center" vertical="center" wrapText="1"/>
    </xf>
    <xf numFmtId="165" fontId="33" fillId="0" borderId="8" xfId="0" applyNumberFormat="1" applyFont="1" applyBorder="1" applyAlignment="1">
      <alignment horizontal="center" vertical="center" wrapText="1"/>
    </xf>
    <xf numFmtId="165" fontId="33" fillId="6" borderId="8" xfId="0" applyNumberFormat="1" applyFont="1" applyFill="1" applyBorder="1" applyAlignment="1">
      <alignment horizontal="center" vertical="center" wrapText="1"/>
    </xf>
    <xf numFmtId="165" fontId="33" fillId="6" borderId="11" xfId="0" applyNumberFormat="1" applyFont="1" applyFill="1" applyBorder="1" applyAlignment="1">
      <alignment horizontal="center" vertical="center" wrapText="1"/>
    </xf>
    <xf numFmtId="0" fontId="1" fillId="4" borderId="6" xfId="0" quotePrefix="1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4" fontId="8" fillId="0" borderId="0" xfId="0" applyNumberFormat="1" applyFont="1"/>
    <xf numFmtId="0" fontId="57" fillId="0" borderId="9" xfId="0" quotePrefix="1" applyFont="1" applyBorder="1" applyAlignment="1">
      <alignment horizontal="left"/>
    </xf>
    <xf numFmtId="2" fontId="21" fillId="0" borderId="0" xfId="0" applyNumberFormat="1" applyFont="1" applyAlignment="1">
      <alignment horizontal="center"/>
    </xf>
    <xf numFmtId="2" fontId="28" fillId="14" borderId="0" xfId="0" applyNumberFormat="1" applyFont="1" applyFill="1" applyAlignment="1">
      <alignment horizontal="center"/>
    </xf>
    <xf numFmtId="0" fontId="57" fillId="0" borderId="7" xfId="0" applyFont="1" applyBorder="1"/>
    <xf numFmtId="9" fontId="57" fillId="0" borderId="8" xfId="0" applyNumberFormat="1" applyFont="1" applyBorder="1"/>
    <xf numFmtId="0" fontId="28" fillId="14" borderId="5" xfId="0" applyFont="1" applyFill="1" applyBorder="1"/>
    <xf numFmtId="0" fontId="28" fillId="14" borderId="0" xfId="0" applyFont="1" applyFill="1"/>
    <xf numFmtId="0" fontId="28" fillId="14" borderId="10" xfId="0" applyFont="1" applyFill="1" applyBorder="1"/>
    <xf numFmtId="0" fontId="84" fillId="0" borderId="0" xfId="0" applyFont="1" applyAlignment="1">
      <alignment horizontal="center"/>
    </xf>
    <xf numFmtId="166" fontId="31" fillId="0" borderId="0" xfId="0" applyNumberFormat="1" applyFont="1" applyAlignment="1">
      <alignment horizontal="center" vertical="center" wrapText="1"/>
    </xf>
    <xf numFmtId="0" fontId="85" fillId="0" borderId="0" xfId="0" quotePrefix="1" applyFont="1" applyAlignment="1">
      <alignment horizontal="left"/>
    </xf>
    <xf numFmtId="165" fontId="3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165" fontId="73" fillId="0" borderId="43" xfId="0" applyNumberFormat="1" applyFont="1" applyBorder="1" applyAlignment="1">
      <alignment horizontal="center" vertical="center" wrapText="1"/>
    </xf>
    <xf numFmtId="164" fontId="73" fillId="6" borderId="43" xfId="0" applyNumberFormat="1" applyFont="1" applyFill="1" applyBorder="1" applyAlignment="1">
      <alignment horizontal="center" vertical="center" wrapText="1"/>
    </xf>
    <xf numFmtId="164" fontId="73" fillId="0" borderId="43" xfId="0" applyNumberFormat="1" applyFont="1" applyBorder="1" applyAlignment="1">
      <alignment horizontal="center" vertical="center" wrapText="1"/>
    </xf>
    <xf numFmtId="165" fontId="73" fillId="6" borderId="4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8" fillId="0" borderId="0" xfId="0" applyNumberFormat="1" applyFont="1" applyAlignment="1">
      <alignment horizontal="center"/>
    </xf>
    <xf numFmtId="166" fontId="57" fillId="0" borderId="0" xfId="0" applyNumberFormat="1" applyFont="1" applyAlignment="1">
      <alignment horizontal="center"/>
    </xf>
    <xf numFmtId="0" fontId="57" fillId="0" borderId="0" xfId="0" quotePrefix="1" applyFont="1" applyAlignment="1">
      <alignment horizontal="center"/>
    </xf>
    <xf numFmtId="0" fontId="74" fillId="12" borderId="0" xfId="0" applyFont="1" applyFill="1" applyAlignment="1">
      <alignment horizontal="center" vertical="center" wrapText="1"/>
    </xf>
    <xf numFmtId="0" fontId="73" fillId="12" borderId="0" xfId="0" applyFont="1" applyFill="1" applyAlignment="1">
      <alignment horizontal="center" vertical="center" wrapText="1"/>
    </xf>
    <xf numFmtId="165" fontId="73" fillId="6" borderId="0" xfId="0" applyNumberFormat="1" applyFont="1" applyFill="1" applyAlignment="1">
      <alignment horizontal="center" vertical="center" wrapText="1"/>
    </xf>
    <xf numFmtId="165" fontId="73" fillId="0" borderId="0" xfId="0" applyNumberFormat="1" applyFont="1" applyAlignment="1">
      <alignment horizontal="center" vertical="center" wrapText="1"/>
    </xf>
    <xf numFmtId="165" fontId="86" fillId="6" borderId="43" xfId="0" applyNumberFormat="1" applyFont="1" applyFill="1" applyBorder="1" applyAlignment="1">
      <alignment horizontal="center" vertical="center" wrapText="1"/>
    </xf>
    <xf numFmtId="165" fontId="86" fillId="0" borderId="43" xfId="0" applyNumberFormat="1" applyFont="1" applyBorder="1" applyAlignment="1">
      <alignment horizontal="center" vertical="center" wrapText="1"/>
    </xf>
    <xf numFmtId="166" fontId="87" fillId="0" borderId="0" xfId="0" applyNumberFormat="1" applyFont="1"/>
    <xf numFmtId="0" fontId="30" fillId="0" borderId="0" xfId="0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88" fillId="0" borderId="43" xfId="0" applyFont="1" applyBorder="1" applyAlignment="1">
      <alignment horizontal="center" vertical="center" wrapText="1"/>
    </xf>
    <xf numFmtId="0" fontId="88" fillId="0" borderId="45" xfId="0" applyFont="1" applyBorder="1" applyAlignment="1">
      <alignment horizontal="center" vertical="center" wrapText="1"/>
    </xf>
    <xf numFmtId="166" fontId="16" fillId="0" borderId="0" xfId="0" applyNumberFormat="1" applyFont="1"/>
    <xf numFmtId="0" fontId="90" fillId="0" borderId="8" xfId="0" applyFont="1" applyBorder="1" applyAlignment="1">
      <alignment horizontal="center"/>
    </xf>
    <xf numFmtId="2" fontId="90" fillId="3" borderId="0" xfId="0" applyNumberFormat="1" applyFont="1" applyFill="1" applyAlignment="1">
      <alignment horizontal="center"/>
    </xf>
    <xf numFmtId="0" fontId="90" fillId="0" borderId="0" xfId="0" quotePrefix="1" applyFont="1" applyAlignment="1">
      <alignment horizontal="left"/>
    </xf>
    <xf numFmtId="0" fontId="91" fillId="0" borderId="12" xfId="0" applyFont="1" applyBorder="1"/>
    <xf numFmtId="0" fontId="91" fillId="0" borderId="7" xfId="0" applyFont="1" applyBorder="1"/>
    <xf numFmtId="165" fontId="90" fillId="0" borderId="0" xfId="0" applyNumberFormat="1" applyFont="1" applyAlignment="1">
      <alignment horizontal="left"/>
    </xf>
    <xf numFmtId="0" fontId="89" fillId="4" borderId="7" xfId="0" quotePrefix="1" applyFont="1" applyFill="1" applyBorder="1" applyAlignment="1">
      <alignment horizontal="center"/>
    </xf>
    <xf numFmtId="2" fontId="90" fillId="0" borderId="0" xfId="0" applyNumberFormat="1" applyFont="1" applyAlignment="1">
      <alignment horizontal="center"/>
    </xf>
    <xf numFmtId="2" fontId="90" fillId="6" borderId="0" xfId="0" applyNumberFormat="1" applyFont="1" applyFill="1" applyAlignment="1">
      <alignment horizontal="center"/>
    </xf>
    <xf numFmtId="0" fontId="90" fillId="0" borderId="0" xfId="0" applyFont="1" applyAlignment="1">
      <alignment horizontal="center"/>
    </xf>
    <xf numFmtId="166" fontId="90" fillId="0" borderId="0" xfId="0" applyNumberFormat="1" applyFont="1"/>
    <xf numFmtId="164" fontId="90" fillId="0" borderId="0" xfId="0" applyNumberFormat="1" applyFont="1" applyAlignment="1">
      <alignment horizontal="center"/>
    </xf>
    <xf numFmtId="2" fontId="90" fillId="6" borderId="10" xfId="0" applyNumberFormat="1" applyFont="1" applyFill="1" applyBorder="1" applyAlignment="1">
      <alignment horizontal="center"/>
    </xf>
    <xf numFmtId="165" fontId="94" fillId="3" borderId="8" xfId="0" applyNumberFormat="1" applyFont="1" applyFill="1" applyBorder="1" applyAlignment="1">
      <alignment horizontal="center" vertical="center" wrapText="1"/>
    </xf>
    <xf numFmtId="165" fontId="94" fillId="0" borderId="8" xfId="0" applyNumberFormat="1" applyFont="1" applyBorder="1" applyAlignment="1">
      <alignment horizontal="center" vertical="center" wrapText="1"/>
    </xf>
    <xf numFmtId="165" fontId="94" fillId="6" borderId="8" xfId="0" applyNumberFormat="1" applyFont="1" applyFill="1" applyBorder="1" applyAlignment="1">
      <alignment horizontal="center" vertical="center" wrapText="1"/>
    </xf>
    <xf numFmtId="165" fontId="94" fillId="6" borderId="11" xfId="0" applyNumberFormat="1" applyFont="1" applyFill="1" applyBorder="1" applyAlignment="1">
      <alignment horizontal="center" vertical="center" wrapText="1"/>
    </xf>
    <xf numFmtId="0" fontId="90" fillId="0" borderId="0" xfId="0" applyFont="1"/>
    <xf numFmtId="0" fontId="91" fillId="0" borderId="0" xfId="0" quotePrefix="1" applyFont="1" applyAlignment="1">
      <alignment horizontal="left"/>
    </xf>
    <xf numFmtId="0" fontId="91" fillId="0" borderId="0" xfId="0" applyFont="1" applyAlignment="1">
      <alignment horizontal="center"/>
    </xf>
    <xf numFmtId="0" fontId="90" fillId="0" borderId="0" xfId="0" applyFont="1" applyAlignment="1">
      <alignment horizontal="right" indent="1"/>
    </xf>
    <xf numFmtId="0" fontId="95" fillId="0" borderId="0" xfId="0" quotePrefix="1" applyFont="1" applyAlignment="1">
      <alignment horizontal="left"/>
    </xf>
    <xf numFmtId="0" fontId="95" fillId="0" borderId="0" xfId="0" applyFont="1" applyAlignment="1">
      <alignment horizontal="center"/>
    </xf>
    <xf numFmtId="0" fontId="90" fillId="0" borderId="12" xfId="0" applyFont="1" applyBorder="1"/>
    <xf numFmtId="0" fontId="90" fillId="0" borderId="5" xfId="0" applyFont="1" applyBorder="1"/>
    <xf numFmtId="9" fontId="90" fillId="0" borderId="6" xfId="0" applyNumberFormat="1" applyFont="1" applyBorder="1"/>
    <xf numFmtId="0" fontId="90" fillId="0" borderId="7" xfId="0" applyFont="1" applyBorder="1"/>
    <xf numFmtId="9" fontId="90" fillId="0" borderId="8" xfId="0" applyNumberFormat="1" applyFont="1" applyBorder="1"/>
    <xf numFmtId="0" fontId="90" fillId="0" borderId="10" xfId="0" applyFont="1" applyBorder="1"/>
    <xf numFmtId="9" fontId="90" fillId="0" borderId="11" xfId="0" applyNumberFormat="1" applyFont="1" applyBorder="1"/>
    <xf numFmtId="0" fontId="90" fillId="0" borderId="0" xfId="0" quotePrefix="1" applyFont="1" applyAlignment="1">
      <alignment horizontal="center"/>
    </xf>
    <xf numFmtId="0" fontId="90" fillId="0" borderId="9" xfId="0" quotePrefix="1" applyFont="1" applyBorder="1" applyAlignment="1">
      <alignment horizontal="left"/>
    </xf>
    <xf numFmtId="0" fontId="90" fillId="0" borderId="0" xfId="0" applyFont="1" applyAlignment="1">
      <alignment horizontal="left"/>
    </xf>
    <xf numFmtId="0" fontId="91" fillId="4" borderId="1" xfId="0" applyFont="1" applyFill="1" applyBorder="1"/>
    <xf numFmtId="0" fontId="90" fillId="0" borderId="6" xfId="0" applyFont="1" applyBorder="1"/>
    <xf numFmtId="0" fontId="90" fillId="4" borderId="0" xfId="0" applyFont="1" applyFill="1"/>
    <xf numFmtId="0" fontId="90" fillId="4" borderId="0" xfId="0" quotePrefix="1" applyFont="1" applyFill="1" applyAlignment="1">
      <alignment horizontal="center"/>
    </xf>
    <xf numFmtId="0" fontId="91" fillId="0" borderId="7" xfId="0" quotePrefix="1" applyFont="1" applyBorder="1" applyAlignment="1">
      <alignment horizontal="left"/>
    </xf>
    <xf numFmtId="0" fontId="96" fillId="0" borderId="0" xfId="0" applyFont="1"/>
    <xf numFmtId="0" fontId="95" fillId="4" borderId="0" xfId="0" applyFont="1" applyFill="1" applyAlignment="1">
      <alignment horizontal="center"/>
    </xf>
    <xf numFmtId="0" fontId="95" fillId="4" borderId="0" xfId="0" quotePrefix="1" applyFont="1" applyFill="1" applyAlignment="1">
      <alignment horizontal="center"/>
    </xf>
    <xf numFmtId="0" fontId="90" fillId="4" borderId="0" xfId="0" applyFont="1" applyFill="1" applyAlignment="1">
      <alignment horizontal="center"/>
    </xf>
    <xf numFmtId="0" fontId="90" fillId="3" borderId="0" xfId="0" applyFont="1" applyFill="1" applyAlignment="1">
      <alignment horizontal="center"/>
    </xf>
    <xf numFmtId="0" fontId="91" fillId="0" borderId="9" xfId="0" quotePrefix="1" applyFont="1" applyBorder="1" applyAlignment="1">
      <alignment horizontal="left"/>
    </xf>
    <xf numFmtId="0" fontId="96" fillId="0" borderId="10" xfId="0" applyFont="1" applyBorder="1"/>
    <xf numFmtId="0" fontId="90" fillId="0" borderId="11" xfId="0" applyFont="1" applyBorder="1" applyAlignment="1">
      <alignment horizontal="center"/>
    </xf>
    <xf numFmtId="0" fontId="90" fillId="6" borderId="0" xfId="0" applyFont="1" applyFill="1" applyAlignment="1">
      <alignment horizontal="center"/>
    </xf>
    <xf numFmtId="0" fontId="91" fillId="3" borderId="2" xfId="0" quotePrefix="1" applyFont="1" applyFill="1" applyBorder="1" applyAlignment="1">
      <alignment horizontal="left"/>
    </xf>
    <xf numFmtId="0" fontId="90" fillId="3" borderId="3" xfId="0" applyFont="1" applyFill="1" applyBorder="1"/>
    <xf numFmtId="0" fontId="90" fillId="3" borderId="4" xfId="0" applyFont="1" applyFill="1" applyBorder="1"/>
    <xf numFmtId="166" fontId="90" fillId="0" borderId="0" xfId="0" applyNumberFormat="1" applyFont="1" applyAlignment="1">
      <alignment horizontal="center" vertical="center" wrapText="1"/>
    </xf>
    <xf numFmtId="0" fontId="95" fillId="0" borderId="0" xfId="0" applyFont="1"/>
    <xf numFmtId="0" fontId="91" fillId="0" borderId="0" xfId="0" applyFont="1"/>
    <xf numFmtId="0" fontId="90" fillId="4" borderId="12" xfId="0" applyFont="1" applyFill="1" applyBorder="1" applyAlignment="1">
      <alignment horizontal="center"/>
    </xf>
    <xf numFmtId="0" fontId="90" fillId="4" borderId="6" xfId="0" quotePrefix="1" applyFont="1" applyFill="1" applyBorder="1" applyAlignment="1">
      <alignment horizontal="center"/>
    </xf>
    <xf numFmtId="0" fontId="91" fillId="5" borderId="12" xfId="0" quotePrefix="1" applyFont="1" applyFill="1" applyBorder="1" applyAlignment="1">
      <alignment horizontal="left"/>
    </xf>
    <xf numFmtId="0" fontId="90" fillId="5" borderId="5" xfId="0" applyFont="1" applyFill="1" applyBorder="1"/>
    <xf numFmtId="0" fontId="90" fillId="5" borderId="6" xfId="0" applyFont="1" applyFill="1" applyBorder="1"/>
    <xf numFmtId="0" fontId="90" fillId="0" borderId="12" xfId="0" applyFont="1" applyBorder="1" applyAlignment="1">
      <alignment horizontal="center"/>
    </xf>
    <xf numFmtId="0" fontId="90" fillId="0" borderId="6" xfId="0" quotePrefix="1" applyFont="1" applyBorder="1" applyAlignment="1">
      <alignment horizontal="left"/>
    </xf>
    <xf numFmtId="0" fontId="91" fillId="4" borderId="9" xfId="0" applyFont="1" applyFill="1" applyBorder="1" applyAlignment="1">
      <alignment horizontal="center"/>
    </xf>
    <xf numFmtId="0" fontId="91" fillId="4" borderId="11" xfId="0" quotePrefix="1" applyFont="1" applyFill="1" applyBorder="1" applyAlignment="1">
      <alignment horizontal="center"/>
    </xf>
    <xf numFmtId="0" fontId="91" fillId="5" borderId="7" xfId="0" applyFont="1" applyFill="1" applyBorder="1"/>
    <xf numFmtId="0" fontId="90" fillId="5" borderId="0" xfId="0" applyFont="1" applyFill="1"/>
    <xf numFmtId="0" fontId="91" fillId="5" borderId="9" xfId="0" applyFont="1" applyFill="1" applyBorder="1"/>
    <xf numFmtId="0" fontId="90" fillId="5" borderId="11" xfId="0" applyFont="1" applyFill="1" applyBorder="1"/>
    <xf numFmtId="0" fontId="91" fillId="5" borderId="10" xfId="0" applyFont="1" applyFill="1" applyBorder="1" applyAlignment="1">
      <alignment horizontal="center"/>
    </xf>
    <xf numFmtId="0" fontId="90" fillId="0" borderId="7" xfId="0" applyFont="1" applyBorder="1" applyAlignment="1">
      <alignment horizontal="center"/>
    </xf>
    <xf numFmtId="0" fontId="95" fillId="0" borderId="8" xfId="0" applyFont="1" applyBorder="1" applyAlignment="1">
      <alignment horizontal="center"/>
    </xf>
    <xf numFmtId="0" fontId="91" fillId="0" borderId="6" xfId="0" quotePrefix="1" applyFont="1" applyBorder="1" applyAlignment="1">
      <alignment horizontal="left"/>
    </xf>
    <xf numFmtId="0" fontId="91" fillId="0" borderId="12" xfId="0" applyFont="1" applyBorder="1" applyAlignment="1">
      <alignment horizontal="center"/>
    </xf>
    <xf numFmtId="0" fontId="91" fillId="0" borderId="5" xfId="0" quotePrefix="1" applyFont="1" applyBorder="1" applyAlignment="1">
      <alignment horizontal="center"/>
    </xf>
    <xf numFmtId="0" fontId="91" fillId="0" borderId="6" xfId="0" applyFont="1" applyBorder="1" applyAlignment="1">
      <alignment horizontal="center"/>
    </xf>
    <xf numFmtId="0" fontId="91" fillId="0" borderId="5" xfId="0" applyFont="1" applyBorder="1" applyAlignment="1">
      <alignment horizontal="center"/>
    </xf>
    <xf numFmtId="2" fontId="90" fillId="0" borderId="8" xfId="0" applyNumberFormat="1" applyFont="1" applyBorder="1" applyAlignment="1">
      <alignment horizontal="center"/>
    </xf>
    <xf numFmtId="0" fontId="91" fillId="0" borderId="8" xfId="0" quotePrefix="1" applyFont="1" applyBorder="1" applyAlignment="1">
      <alignment horizontal="left"/>
    </xf>
    <xf numFmtId="0" fontId="96" fillId="0" borderId="7" xfId="0" applyFont="1" applyBorder="1" applyAlignment="1">
      <alignment horizontal="center"/>
    </xf>
    <xf numFmtId="0" fontId="96" fillId="0" borderId="0" xfId="0" applyFont="1" applyAlignment="1">
      <alignment horizontal="center"/>
    </xf>
    <xf numFmtId="0" fontId="96" fillId="0" borderId="8" xfId="0" applyFont="1" applyBorder="1" applyAlignment="1">
      <alignment horizontal="center"/>
    </xf>
    <xf numFmtId="0" fontId="90" fillId="3" borderId="7" xfId="0" applyFont="1" applyFill="1" applyBorder="1" applyAlignment="1">
      <alignment horizontal="center"/>
    </xf>
    <xf numFmtId="165" fontId="90" fillId="3" borderId="8" xfId="0" applyNumberFormat="1" applyFont="1" applyFill="1" applyBorder="1" applyAlignment="1">
      <alignment horizontal="center"/>
    </xf>
    <xf numFmtId="164" fontId="90" fillId="0" borderId="7" xfId="0" applyNumberFormat="1" applyFont="1" applyBorder="1" applyAlignment="1">
      <alignment horizontal="center"/>
    </xf>
    <xf numFmtId="165" fontId="90" fillId="3" borderId="0" xfId="0" applyNumberFormat="1" applyFont="1" applyFill="1" applyAlignment="1">
      <alignment horizontal="center" vertical="center" wrapText="1"/>
    </xf>
    <xf numFmtId="2" fontId="90" fillId="3" borderId="8" xfId="0" applyNumberFormat="1" applyFont="1" applyFill="1" applyBorder="1" applyAlignment="1">
      <alignment horizontal="center"/>
    </xf>
    <xf numFmtId="2" fontId="90" fillId="3" borderId="7" xfId="0" applyNumberFormat="1" applyFont="1" applyFill="1" applyBorder="1" applyAlignment="1">
      <alignment horizontal="center"/>
    </xf>
    <xf numFmtId="2" fontId="90" fillId="0" borderId="7" xfId="0" applyNumberFormat="1" applyFont="1" applyBorder="1" applyAlignment="1">
      <alignment horizontal="center"/>
    </xf>
    <xf numFmtId="165" fontId="90" fillId="0" borderId="8" xfId="0" applyNumberFormat="1" applyFont="1" applyBorder="1" applyAlignment="1">
      <alignment horizontal="center"/>
    </xf>
    <xf numFmtId="165" fontId="90" fillId="0" borderId="0" xfId="0" applyNumberFormat="1" applyFont="1" applyAlignment="1">
      <alignment horizontal="center" vertical="center" wrapText="1"/>
    </xf>
    <xf numFmtId="0" fontId="90" fillId="6" borderId="7" xfId="0" applyFont="1" applyFill="1" applyBorder="1" applyAlignment="1">
      <alignment horizontal="center"/>
    </xf>
    <xf numFmtId="165" fontId="90" fillId="6" borderId="8" xfId="0" applyNumberFormat="1" applyFont="1" applyFill="1" applyBorder="1" applyAlignment="1">
      <alignment horizontal="center"/>
    </xf>
    <xf numFmtId="165" fontId="90" fillId="6" borderId="0" xfId="0" applyNumberFormat="1" applyFont="1" applyFill="1" applyAlignment="1">
      <alignment horizontal="center" vertical="center" wrapText="1"/>
    </xf>
    <xf numFmtId="2" fontId="90" fillId="6" borderId="8" xfId="0" applyNumberFormat="1" applyFont="1" applyFill="1" applyBorder="1" applyAlignment="1">
      <alignment horizontal="center"/>
    </xf>
    <xf numFmtId="2" fontId="90" fillId="6" borderId="7" xfId="0" applyNumberFormat="1" applyFont="1" applyFill="1" applyBorder="1" applyAlignment="1">
      <alignment horizontal="center"/>
    </xf>
    <xf numFmtId="0" fontId="90" fillId="6" borderId="9" xfId="0" applyFont="1" applyFill="1" applyBorder="1" applyAlignment="1">
      <alignment horizontal="center"/>
    </xf>
    <xf numFmtId="165" fontId="90" fillId="6" borderId="11" xfId="0" applyNumberFormat="1" applyFont="1" applyFill="1" applyBorder="1" applyAlignment="1">
      <alignment horizontal="center"/>
    </xf>
    <xf numFmtId="0" fontId="90" fillId="0" borderId="9" xfId="0" applyFont="1" applyBorder="1" applyAlignment="1">
      <alignment horizontal="center"/>
    </xf>
    <xf numFmtId="165" fontId="90" fillId="6" borderId="10" xfId="0" applyNumberFormat="1" applyFont="1" applyFill="1" applyBorder="1" applyAlignment="1">
      <alignment horizontal="center" vertical="center" wrapText="1"/>
    </xf>
    <xf numFmtId="2" fontId="90" fillId="6" borderId="11" xfId="0" applyNumberFormat="1" applyFont="1" applyFill="1" applyBorder="1" applyAlignment="1">
      <alignment horizontal="center"/>
    </xf>
    <xf numFmtId="2" fontId="90" fillId="6" borderId="9" xfId="0" applyNumberFormat="1" applyFont="1" applyFill="1" applyBorder="1" applyAlignment="1">
      <alignment horizontal="center"/>
    </xf>
    <xf numFmtId="2" fontId="90" fillId="0" borderId="9" xfId="0" applyNumberFormat="1" applyFont="1" applyBorder="1" applyAlignment="1">
      <alignment horizontal="center"/>
    </xf>
    <xf numFmtId="2" fontId="90" fillId="0" borderId="11" xfId="0" applyNumberFormat="1" applyFont="1" applyBorder="1" applyAlignment="1">
      <alignment horizontal="center"/>
    </xf>
    <xf numFmtId="165" fontId="90" fillId="0" borderId="0" xfId="0" applyNumberFormat="1" applyFont="1"/>
    <xf numFmtId="165" fontId="90" fillId="0" borderId="0" xfId="0" applyNumberFormat="1" applyFont="1" applyAlignment="1">
      <alignment horizontal="center"/>
    </xf>
    <xf numFmtId="165" fontId="90" fillId="0" borderId="10" xfId="0" applyNumberFormat="1" applyFont="1" applyBorder="1"/>
    <xf numFmtId="165" fontId="90" fillId="0" borderId="10" xfId="0" applyNumberFormat="1" applyFont="1" applyBorder="1" applyAlignment="1">
      <alignment horizontal="center"/>
    </xf>
    <xf numFmtId="0" fontId="90" fillId="4" borderId="12" xfId="0" applyFont="1" applyFill="1" applyBorder="1"/>
    <xf numFmtId="0" fontId="90" fillId="4" borderId="5" xfId="0" applyFont="1" applyFill="1" applyBorder="1"/>
    <xf numFmtId="0" fontId="90" fillId="4" borderId="5" xfId="0" quotePrefix="1" applyFont="1" applyFill="1" applyBorder="1" applyAlignment="1">
      <alignment horizontal="left"/>
    </xf>
    <xf numFmtId="0" fontId="90" fillId="4" borderId="6" xfId="0" applyFont="1" applyFill="1" applyBorder="1"/>
    <xf numFmtId="0" fontId="95" fillId="4" borderId="7" xfId="0" applyFont="1" applyFill="1" applyBorder="1" applyAlignment="1">
      <alignment horizontal="center"/>
    </xf>
    <xf numFmtId="0" fontId="95" fillId="4" borderId="8" xfId="0" quotePrefix="1" applyFont="1" applyFill="1" applyBorder="1" applyAlignment="1">
      <alignment horizontal="center"/>
    </xf>
    <xf numFmtId="166" fontId="90" fillId="0" borderId="0" xfId="0" applyNumberFormat="1" applyFont="1" applyAlignment="1">
      <alignment horizontal="center"/>
    </xf>
    <xf numFmtId="2" fontId="10" fillId="15" borderId="0" xfId="0" applyNumberFormat="1" applyFont="1" applyFill="1" applyAlignment="1">
      <alignment horizontal="center"/>
    </xf>
    <xf numFmtId="0" fontId="91" fillId="7" borderId="0" xfId="0" quotePrefix="1" applyFont="1" applyFill="1" applyAlignment="1">
      <alignment horizontal="left"/>
    </xf>
    <xf numFmtId="0" fontId="90" fillId="4" borderId="0" xfId="0" quotePrefix="1" applyFont="1" applyFill="1" applyAlignment="1">
      <alignment horizontal="right"/>
    </xf>
    <xf numFmtId="9" fontId="90" fillId="0" borderId="5" xfId="0" applyNumberFormat="1" applyFont="1" applyBorder="1"/>
    <xf numFmtId="9" fontId="90" fillId="0" borderId="0" xfId="0" applyNumberFormat="1" applyFont="1"/>
    <xf numFmtId="0" fontId="90" fillId="0" borderId="8" xfId="0" applyFont="1" applyBorder="1"/>
    <xf numFmtId="0" fontId="95" fillId="0" borderId="7" xfId="0" applyFont="1" applyBorder="1" applyAlignment="1">
      <alignment horizontal="center"/>
    </xf>
    <xf numFmtId="0" fontId="90" fillId="0" borderId="0" xfId="0" applyFont="1" applyAlignment="1">
      <alignment horizontal="right"/>
    </xf>
    <xf numFmtId="4" fontId="90" fillId="0" borderId="0" xfId="0" applyNumberFormat="1" applyFont="1"/>
    <xf numFmtId="0" fontId="90" fillId="0" borderId="7" xfId="0" quotePrefix="1" applyFont="1" applyBorder="1" applyAlignment="1">
      <alignment horizontal="center"/>
    </xf>
    <xf numFmtId="2" fontId="90" fillId="0" borderId="10" xfId="0" applyNumberFormat="1" applyFont="1" applyBorder="1" applyAlignment="1">
      <alignment horizontal="center"/>
    </xf>
    <xf numFmtId="0" fontId="90" fillId="0" borderId="10" xfId="0" applyFont="1" applyBorder="1" applyAlignment="1">
      <alignment horizontal="center"/>
    </xf>
    <xf numFmtId="0" fontId="90" fillId="0" borderId="10" xfId="0" applyFont="1" applyBorder="1" applyAlignment="1">
      <alignment horizontal="left"/>
    </xf>
    <xf numFmtId="0" fontId="90" fillId="0" borderId="11" xfId="0" applyFont="1" applyBorder="1"/>
    <xf numFmtId="0" fontId="90" fillId="0" borderId="12" xfId="0" quotePrefix="1" applyFont="1" applyBorder="1" applyAlignment="1">
      <alignment horizontal="left"/>
    </xf>
    <xf numFmtId="0" fontId="90" fillId="7" borderId="0" xfId="0" applyFont="1" applyFill="1"/>
    <xf numFmtId="0" fontId="95" fillId="7" borderId="0" xfId="0" applyFont="1" applyFill="1" applyAlignment="1">
      <alignment horizontal="right"/>
    </xf>
    <xf numFmtId="0" fontId="95" fillId="7" borderId="0" xfId="0" applyFont="1" applyFill="1" applyAlignment="1">
      <alignment horizontal="center"/>
    </xf>
    <xf numFmtId="2" fontId="94" fillId="3" borderId="0" xfId="0" applyNumberFormat="1" applyFont="1" applyFill="1" applyAlignment="1">
      <alignment horizontal="center"/>
    </xf>
    <xf numFmtId="165" fontId="94" fillId="3" borderId="0" xfId="0" applyNumberFormat="1" applyFont="1" applyFill="1" applyAlignment="1">
      <alignment horizontal="center" vertical="center" wrapText="1"/>
    </xf>
    <xf numFmtId="165" fontId="94" fillId="0" borderId="0" xfId="0" applyNumberFormat="1" applyFont="1" applyAlignment="1">
      <alignment horizontal="center" vertical="center" wrapText="1"/>
    </xf>
    <xf numFmtId="165" fontId="94" fillId="6" borderId="0" xfId="0" applyNumberFormat="1" applyFont="1" applyFill="1" applyAlignment="1">
      <alignment horizontal="center" vertical="center" wrapText="1"/>
    </xf>
    <xf numFmtId="166" fontId="97" fillId="0" borderId="0" xfId="0" applyNumberFormat="1" applyFont="1"/>
    <xf numFmtId="0" fontId="90" fillId="4" borderId="5" xfId="0" applyFont="1" applyFill="1" applyBorder="1" applyAlignment="1">
      <alignment horizontal="center"/>
    </xf>
    <xf numFmtId="0" fontId="90" fillId="4" borderId="5" xfId="0" quotePrefix="1" applyFont="1" applyFill="1" applyBorder="1" applyAlignment="1">
      <alignment horizontal="right"/>
    </xf>
    <xf numFmtId="164" fontId="90" fillId="0" borderId="8" xfId="0" applyNumberFormat="1" applyFont="1" applyBorder="1" applyAlignment="1">
      <alignment horizontal="center"/>
    </xf>
    <xf numFmtId="0" fontId="95" fillId="0" borderId="0" xfId="0" quotePrefix="1" applyFont="1" applyAlignment="1">
      <alignment horizontal="center"/>
    </xf>
    <xf numFmtId="164" fontId="90" fillId="3" borderId="0" xfId="0" applyNumberFormat="1" applyFont="1" applyFill="1" applyAlignment="1">
      <alignment horizontal="center"/>
    </xf>
    <xf numFmtId="164" fontId="90" fillId="6" borderId="0" xfId="0" applyNumberFormat="1" applyFont="1" applyFill="1" applyAlignment="1">
      <alignment horizontal="center"/>
    </xf>
    <xf numFmtId="164" fontId="90" fillId="6" borderId="10" xfId="0" applyNumberFormat="1" applyFont="1" applyFill="1" applyBorder="1" applyAlignment="1">
      <alignment horizontal="center"/>
    </xf>
    <xf numFmtId="164" fontId="92" fillId="3" borderId="0" xfId="0" applyNumberFormat="1" applyFont="1" applyFill="1" applyAlignment="1">
      <alignment horizontal="center"/>
    </xf>
    <xf numFmtId="164" fontId="92" fillId="0" borderId="0" xfId="0" applyNumberFormat="1" applyFont="1" applyAlignment="1">
      <alignment horizontal="center"/>
    </xf>
    <xf numFmtId="164" fontId="92" fillId="6" borderId="0" xfId="0" applyNumberFormat="1" applyFont="1" applyFill="1" applyAlignment="1">
      <alignment horizontal="center"/>
    </xf>
    <xf numFmtId="164" fontId="94" fillId="0" borderId="0" xfId="0" applyNumberFormat="1" applyFont="1" applyAlignment="1">
      <alignment horizontal="center"/>
    </xf>
    <xf numFmtId="166" fontId="90" fillId="6" borderId="0" xfId="0" applyNumberFormat="1" applyFont="1" applyFill="1" applyAlignment="1">
      <alignment horizontal="center"/>
    </xf>
    <xf numFmtId="0" fontId="94" fillId="0" borderId="0" xfId="0" quotePrefix="1" applyFont="1" applyAlignment="1">
      <alignment horizontal="center"/>
    </xf>
    <xf numFmtId="0" fontId="94" fillId="0" borderId="0" xfId="0" applyFont="1" applyAlignment="1">
      <alignment horizontal="center"/>
    </xf>
    <xf numFmtId="0" fontId="98" fillId="0" borderId="0" xfId="0" quotePrefix="1" applyFont="1" applyAlignment="1">
      <alignment horizontal="center"/>
    </xf>
    <xf numFmtId="164" fontId="94" fillId="3" borderId="0" xfId="0" applyNumberFormat="1" applyFont="1" applyFill="1" applyAlignment="1">
      <alignment horizontal="center"/>
    </xf>
    <xf numFmtId="166" fontId="90" fillId="3" borderId="0" xfId="0" applyNumberFormat="1" applyFont="1" applyFill="1" applyAlignment="1">
      <alignment horizontal="center"/>
    </xf>
    <xf numFmtId="164" fontId="94" fillId="6" borderId="0" xfId="0" applyNumberFormat="1" applyFont="1" applyFill="1" applyAlignment="1">
      <alignment horizontal="center" vertical="center" wrapText="1"/>
    </xf>
    <xf numFmtId="0" fontId="45" fillId="0" borderId="43" xfId="0" applyFont="1" applyBorder="1" applyAlignment="1">
      <alignment vertical="center" wrapText="1"/>
    </xf>
    <xf numFmtId="0" fontId="45" fillId="0" borderId="46" xfId="0" applyFont="1" applyBorder="1" applyAlignment="1">
      <alignment vertical="center" wrapText="1"/>
    </xf>
    <xf numFmtId="0" fontId="45" fillId="0" borderId="47" xfId="0" applyFont="1" applyBorder="1" applyAlignment="1">
      <alignment vertical="center" wrapText="1"/>
    </xf>
    <xf numFmtId="0" fontId="45" fillId="0" borderId="43" xfId="0" applyFont="1" applyBorder="1" applyAlignment="1">
      <alignment horizontal="left" vertical="center" wrapText="1"/>
    </xf>
    <xf numFmtId="0" fontId="45" fillId="0" borderId="43" xfId="0" applyFont="1" applyBorder="1" applyAlignment="1">
      <alignment horizontal="center" vertical="center" wrapText="1"/>
    </xf>
    <xf numFmtId="0" fontId="45" fillId="12" borderId="43" xfId="0" applyFont="1" applyFill="1" applyBorder="1" applyAlignment="1">
      <alignment horizontal="center" vertical="center" wrapText="1"/>
    </xf>
    <xf numFmtId="0" fontId="40" fillId="12" borderId="43" xfId="0" applyFont="1" applyFill="1" applyBorder="1" applyAlignment="1">
      <alignment horizontal="center" vertical="center" wrapText="1"/>
    </xf>
    <xf numFmtId="0" fontId="41" fillId="12" borderId="43" xfId="0" applyFont="1" applyFill="1" applyBorder="1" applyAlignment="1">
      <alignment horizontal="center" vertical="center" wrapText="1"/>
    </xf>
    <xf numFmtId="0" fontId="0" fillId="0" borderId="50" xfId="0" applyBorder="1" applyAlignment="1">
      <alignment vertical="top" wrapText="1"/>
    </xf>
    <xf numFmtId="0" fontId="45" fillId="0" borderId="45" xfId="0" applyFont="1" applyBorder="1" applyAlignment="1">
      <alignment horizontal="center" vertical="center" wrapText="1"/>
    </xf>
    <xf numFmtId="0" fontId="99" fillId="0" borderId="45" xfId="0" applyFont="1" applyBorder="1" applyAlignment="1">
      <alignment horizontal="left" vertical="top" wrapText="1"/>
    </xf>
    <xf numFmtId="0" fontId="49" fillId="12" borderId="54" xfId="0" applyFont="1" applyFill="1" applyBorder="1" applyAlignment="1">
      <alignment horizontal="center" vertical="center" wrapText="1"/>
    </xf>
    <xf numFmtId="0" fontId="88" fillId="12" borderId="55" xfId="0" applyFont="1" applyFill="1" applyBorder="1" applyAlignment="1">
      <alignment vertical="center" wrapText="1"/>
    </xf>
    <xf numFmtId="0" fontId="45" fillId="0" borderId="56" xfId="0" applyFont="1" applyBorder="1" applyAlignment="1">
      <alignment horizontal="center" vertical="center" wrapText="1"/>
    </xf>
    <xf numFmtId="0" fontId="88" fillId="16" borderId="55" xfId="0" applyFont="1" applyFill="1" applyBorder="1" applyAlignment="1">
      <alignment horizontal="left" vertical="center" wrapText="1"/>
    </xf>
    <xf numFmtId="0" fontId="88" fillId="12" borderId="55" xfId="0" applyFont="1" applyFill="1" applyBorder="1" applyAlignment="1">
      <alignment horizontal="left" vertical="center" wrapText="1"/>
    </xf>
    <xf numFmtId="0" fontId="45" fillId="12" borderId="61" xfId="0" applyFont="1" applyFill="1" applyBorder="1" applyAlignment="1">
      <alignment horizontal="center" vertical="center" wrapText="1"/>
    </xf>
    <xf numFmtId="0" fontId="45" fillId="12" borderId="62" xfId="0" applyFont="1" applyFill="1" applyBorder="1" applyAlignment="1">
      <alignment horizontal="center" vertical="center" wrapText="1"/>
    </xf>
    <xf numFmtId="0" fontId="45" fillId="12" borderId="54" xfId="0" applyFont="1" applyFill="1" applyBorder="1" applyAlignment="1">
      <alignment horizontal="center" vertical="center" wrapText="1"/>
    </xf>
    <xf numFmtId="0" fontId="40" fillId="12" borderId="55" xfId="0" applyFont="1" applyFill="1" applyBorder="1" applyAlignment="1">
      <alignment horizontal="center" vertical="center" wrapText="1"/>
    </xf>
    <xf numFmtId="0" fontId="77" fillId="12" borderId="56" xfId="0" applyFont="1" applyFill="1" applyBorder="1" applyAlignment="1">
      <alignment horizontal="center" vertical="center" wrapText="1"/>
    </xf>
    <xf numFmtId="0" fontId="45" fillId="12" borderId="55" xfId="0" applyFont="1" applyFill="1" applyBorder="1" applyAlignment="1">
      <alignment horizontal="center" vertical="center" wrapText="1"/>
    </xf>
    <xf numFmtId="0" fontId="79" fillId="12" borderId="56" xfId="0" applyFont="1" applyFill="1" applyBorder="1" applyAlignment="1">
      <alignment horizontal="center" vertical="center" wrapText="1"/>
    </xf>
    <xf numFmtId="0" fontId="45" fillId="0" borderId="68" xfId="0" applyFont="1" applyBorder="1" applyAlignment="1">
      <alignment horizontal="center" vertical="center" wrapText="1"/>
    </xf>
    <xf numFmtId="0" fontId="49" fillId="12" borderId="52" xfId="0" applyFont="1" applyFill="1" applyBorder="1" applyAlignment="1">
      <alignment horizontal="center" vertical="center" wrapText="1"/>
    </xf>
    <xf numFmtId="0" fontId="49" fillId="12" borderId="53" xfId="0" applyFont="1" applyFill="1" applyBorder="1" applyAlignment="1">
      <alignment horizontal="center" vertical="center" wrapText="1"/>
    </xf>
    <xf numFmtId="0" fontId="88" fillId="12" borderId="57" xfId="0" applyFont="1" applyFill="1" applyBorder="1" applyAlignment="1">
      <alignment vertical="center" wrapText="1"/>
    </xf>
    <xf numFmtId="0" fontId="88" fillId="12" borderId="58" xfId="0" applyFont="1" applyFill="1" applyBorder="1" applyAlignment="1">
      <alignment vertical="center" wrapText="1"/>
    </xf>
    <xf numFmtId="0" fontId="99" fillId="0" borderId="59" xfId="0" applyFont="1" applyBorder="1" applyAlignment="1">
      <alignment horizontal="left" vertical="top" wrapText="1"/>
    </xf>
    <xf numFmtId="0" fontId="45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164" fontId="40" fillId="0" borderId="43" xfId="0" applyNumberFormat="1" applyFont="1" applyBorder="1" applyAlignment="1">
      <alignment horizontal="center" vertical="center" wrapText="1"/>
    </xf>
    <xf numFmtId="164" fontId="40" fillId="6" borderId="43" xfId="0" applyNumberFormat="1" applyFont="1" applyFill="1" applyBorder="1" applyAlignment="1">
      <alignment horizontal="center" vertical="center" wrapText="1"/>
    </xf>
    <xf numFmtId="9" fontId="80" fillId="13" borderId="46" xfId="0" applyNumberFormat="1" applyFont="1" applyFill="1" applyBorder="1" applyAlignment="1">
      <alignment horizontal="center" vertical="center" wrapText="1"/>
    </xf>
    <xf numFmtId="9" fontId="80" fillId="13" borderId="47" xfId="0" applyNumberFormat="1" applyFont="1" applyFill="1" applyBorder="1" applyAlignment="1">
      <alignment horizontal="center" vertical="center" wrapText="1"/>
    </xf>
    <xf numFmtId="9" fontId="80" fillId="13" borderId="69" xfId="0" applyNumberFormat="1" applyFont="1" applyFill="1" applyBorder="1" applyAlignment="1">
      <alignment horizontal="center" vertical="center" wrapText="1"/>
    </xf>
    <xf numFmtId="9" fontId="80" fillId="0" borderId="0" xfId="0" applyNumberFormat="1" applyFont="1" applyAlignment="1">
      <alignment horizontal="center" vertical="center" wrapText="1"/>
    </xf>
    <xf numFmtId="2" fontId="40" fillId="0" borderId="43" xfId="0" applyNumberFormat="1" applyFont="1" applyBorder="1" applyAlignment="1">
      <alignment horizontal="center" vertical="center" wrapText="1"/>
    </xf>
    <xf numFmtId="2" fontId="79" fillId="0" borderId="56" xfId="0" applyNumberFormat="1" applyFont="1" applyBorder="1" applyAlignment="1">
      <alignment horizontal="center" vertical="center" wrapText="1"/>
    </xf>
    <xf numFmtId="2" fontId="40" fillId="6" borderId="43" xfId="0" applyNumberFormat="1" applyFont="1" applyFill="1" applyBorder="1" applyAlignment="1">
      <alignment horizontal="center" vertical="center" wrapText="1"/>
    </xf>
    <xf numFmtId="2" fontId="79" fillId="9" borderId="56" xfId="0" applyNumberFormat="1" applyFont="1" applyFill="1" applyBorder="1" applyAlignment="1">
      <alignment horizontal="center" vertical="center" wrapText="1"/>
    </xf>
    <xf numFmtId="2" fontId="40" fillId="0" borderId="45" xfId="0" applyNumberFormat="1" applyFont="1" applyBorder="1" applyAlignment="1">
      <alignment horizontal="center" vertical="center" wrapText="1"/>
    </xf>
    <xf numFmtId="2" fontId="88" fillId="0" borderId="43" xfId="0" applyNumberFormat="1" applyFont="1" applyBorder="1" applyAlignment="1">
      <alignment horizontal="center" vertical="center" wrapText="1"/>
    </xf>
    <xf numFmtId="2" fontId="88" fillId="0" borderId="56" xfId="0" applyNumberFormat="1" applyFont="1" applyBorder="1" applyAlignment="1">
      <alignment horizontal="center" vertical="center" wrapText="1"/>
    </xf>
    <xf numFmtId="0" fontId="88" fillId="0" borderId="59" xfId="0" applyFont="1" applyBorder="1" applyAlignment="1">
      <alignment horizontal="center" vertical="center"/>
    </xf>
    <xf numFmtId="0" fontId="72" fillId="0" borderId="0" xfId="0" applyFont="1" applyAlignment="1">
      <alignment vertical="center" wrapText="1"/>
    </xf>
    <xf numFmtId="0" fontId="0" fillId="17" borderId="0" xfId="0" applyFill="1"/>
    <xf numFmtId="0" fontId="0" fillId="5" borderId="0" xfId="0" applyFill="1"/>
    <xf numFmtId="0" fontId="0" fillId="18" borderId="0" xfId="0" applyFill="1"/>
    <xf numFmtId="0" fontId="0" fillId="19" borderId="0" xfId="0" applyFill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64" xfId="0" applyBorder="1"/>
    <xf numFmtId="0" fontId="0" fillId="0" borderId="65" xfId="0" applyBorder="1"/>
    <xf numFmtId="0" fontId="90" fillId="0" borderId="64" xfId="0" applyFont="1" applyBorder="1"/>
    <xf numFmtId="0" fontId="90" fillId="0" borderId="65" xfId="0" applyFont="1" applyBorder="1"/>
    <xf numFmtId="0" fontId="90" fillId="0" borderId="66" xfId="0" applyFont="1" applyBorder="1"/>
    <xf numFmtId="0" fontId="90" fillId="0" borderId="51" xfId="0" applyFont="1" applyBorder="1"/>
    <xf numFmtId="0" fontId="90" fillId="0" borderId="67" xfId="0" applyFont="1" applyBorder="1"/>
    <xf numFmtId="164" fontId="79" fillId="0" borderId="43" xfId="0" applyNumberFormat="1" applyFont="1" applyBorder="1" applyAlignment="1">
      <alignment horizontal="center" vertical="center" wrapText="1"/>
    </xf>
    <xf numFmtId="164" fontId="79" fillId="6" borderId="43" xfId="0" applyNumberFormat="1" applyFont="1" applyFill="1" applyBorder="1" applyAlignment="1">
      <alignment horizontal="center" vertical="center" wrapText="1"/>
    </xf>
    <xf numFmtId="164" fontId="79" fillId="0" borderId="44" xfId="0" applyNumberFormat="1" applyFont="1" applyBorder="1" applyAlignment="1">
      <alignment horizontal="center" vertical="center" wrapText="1"/>
    </xf>
    <xf numFmtId="0" fontId="94" fillId="0" borderId="0" xfId="0" applyFont="1"/>
    <xf numFmtId="0" fontId="100" fillId="0" borderId="0" xfId="0" applyFont="1"/>
    <xf numFmtId="0" fontId="45" fillId="0" borderId="60" xfId="0" applyFont="1" applyBorder="1" applyAlignment="1">
      <alignment horizontal="left" vertical="top"/>
    </xf>
    <xf numFmtId="0" fontId="45" fillId="0" borderId="48" xfId="0" applyFont="1" applyBorder="1" applyAlignment="1">
      <alignment horizontal="left" vertical="top"/>
    </xf>
    <xf numFmtId="0" fontId="45" fillId="0" borderId="64" xfId="0" applyFont="1" applyBorder="1" applyAlignment="1">
      <alignment horizontal="left" vertical="top"/>
    </xf>
    <xf numFmtId="0" fontId="45" fillId="0" borderId="49" xfId="0" applyFont="1" applyBorder="1" applyAlignment="1">
      <alignment horizontal="left" vertical="top"/>
    </xf>
    <xf numFmtId="0" fontId="90" fillId="0" borderId="71" xfId="0" applyFont="1" applyBorder="1"/>
    <xf numFmtId="0" fontId="90" fillId="0" borderId="72" xfId="0" applyFont="1" applyBorder="1"/>
    <xf numFmtId="0" fontId="0" fillId="0" borderId="51" xfId="0" applyBorder="1"/>
    <xf numFmtId="0" fontId="0" fillId="0" borderId="67" xfId="0" applyBorder="1"/>
    <xf numFmtId="0" fontId="41" fillId="12" borderId="62" xfId="0" applyFont="1" applyFill="1" applyBorder="1" applyAlignment="1">
      <alignment horizontal="center" vertical="center" wrapText="1"/>
    </xf>
    <xf numFmtId="0" fontId="77" fillId="12" borderId="62" xfId="0" applyFont="1" applyFill="1" applyBorder="1" applyAlignment="1">
      <alignment horizontal="center" vertical="center" wrapText="1"/>
    </xf>
    <xf numFmtId="0" fontId="90" fillId="0" borderId="72" xfId="0" quotePrefix="1" applyFont="1" applyBorder="1" applyAlignment="1">
      <alignment horizontal="center"/>
    </xf>
    <xf numFmtId="0" fontId="90" fillId="0" borderId="73" xfId="0" applyFont="1" applyBorder="1"/>
    <xf numFmtId="0" fontId="90" fillId="0" borderId="51" xfId="0" quotePrefix="1" applyFont="1" applyBorder="1" applyAlignment="1">
      <alignment horizontal="center"/>
    </xf>
    <xf numFmtId="0" fontId="91" fillId="4" borderId="0" xfId="0" applyFont="1" applyFill="1" applyAlignment="1">
      <alignment horizontal="center"/>
    </xf>
    <xf numFmtId="0" fontId="90" fillId="4" borderId="7" xfId="0" applyFont="1" applyFill="1" applyBorder="1"/>
    <xf numFmtId="0" fontId="90" fillId="4" borderId="8" xfId="0" applyFont="1" applyFill="1" applyBorder="1"/>
    <xf numFmtId="0" fontId="93" fillId="0" borderId="0" xfId="0" applyFont="1" applyAlignment="1">
      <alignment horizontal="center"/>
    </xf>
    <xf numFmtId="0" fontId="90" fillId="4" borderId="74" xfId="0" applyFont="1" applyFill="1" applyBorder="1"/>
    <xf numFmtId="0" fontId="95" fillId="4" borderId="75" xfId="0" quotePrefix="1" applyFont="1" applyFill="1" applyBorder="1" applyAlignment="1">
      <alignment horizontal="center"/>
    </xf>
    <xf numFmtId="165" fontId="94" fillId="3" borderId="75" xfId="0" applyNumberFormat="1" applyFont="1" applyFill="1" applyBorder="1" applyAlignment="1">
      <alignment horizontal="center" vertical="center" wrapText="1"/>
    </xf>
    <xf numFmtId="165" fontId="94" fillId="0" borderId="75" xfId="0" applyNumberFormat="1" applyFont="1" applyBorder="1" applyAlignment="1">
      <alignment horizontal="center" vertical="center" wrapText="1"/>
    </xf>
    <xf numFmtId="165" fontId="94" fillId="6" borderId="75" xfId="0" applyNumberFormat="1" applyFont="1" applyFill="1" applyBorder="1" applyAlignment="1">
      <alignment horizontal="center" vertical="center" wrapText="1"/>
    </xf>
    <xf numFmtId="165" fontId="94" fillId="6" borderId="76" xfId="0" applyNumberFormat="1" applyFont="1" applyFill="1" applyBorder="1" applyAlignment="1">
      <alignment horizontal="center" vertical="center" wrapText="1"/>
    </xf>
    <xf numFmtId="0" fontId="90" fillId="4" borderId="75" xfId="0" quotePrefix="1" applyFont="1" applyFill="1" applyBorder="1" applyAlignment="1">
      <alignment horizontal="left"/>
    </xf>
    <xf numFmtId="165" fontId="94" fillId="3" borderId="0" xfId="0" applyNumberFormat="1" applyFont="1" applyFill="1" applyAlignment="1">
      <alignment horizontal="center"/>
    </xf>
    <xf numFmtId="165" fontId="94" fillId="0" borderId="0" xfId="0" applyNumberFormat="1" applyFont="1" applyAlignment="1">
      <alignment horizontal="center"/>
    </xf>
    <xf numFmtId="165" fontId="94" fillId="6" borderId="0" xfId="0" applyNumberFormat="1" applyFont="1" applyFill="1" applyAlignment="1">
      <alignment horizontal="center"/>
    </xf>
    <xf numFmtId="165" fontId="94" fillId="6" borderId="10" xfId="0" applyNumberFormat="1" applyFont="1" applyFill="1" applyBorder="1" applyAlignment="1">
      <alignment horizontal="center"/>
    </xf>
    <xf numFmtId="2" fontId="90" fillId="5" borderId="0" xfId="0" applyNumberFormat="1" applyFont="1" applyFill="1" applyAlignment="1">
      <alignment horizontal="center"/>
    </xf>
    <xf numFmtId="0" fontId="90" fillId="5" borderId="10" xfId="0" applyFont="1" applyFill="1" applyBorder="1"/>
    <xf numFmtId="0" fontId="95" fillId="7" borderId="0" xfId="0" quotePrefix="1" applyFont="1" applyFill="1" applyAlignment="1">
      <alignment horizontal="right"/>
    </xf>
    <xf numFmtId="2" fontId="92" fillId="3" borderId="0" xfId="0" applyNumberFormat="1" applyFont="1" applyFill="1" applyAlignment="1">
      <alignment horizontal="center"/>
    </xf>
    <xf numFmtId="2" fontId="92" fillId="0" borderId="0" xfId="0" applyNumberFormat="1" applyFont="1" applyAlignment="1">
      <alignment horizontal="center"/>
    </xf>
    <xf numFmtId="2" fontId="92" fillId="6" borderId="0" xfId="0" applyNumberFormat="1" applyFont="1" applyFill="1" applyAlignment="1">
      <alignment horizontal="center"/>
    </xf>
    <xf numFmtId="4" fontId="90" fillId="0" borderId="0" xfId="0" applyNumberFormat="1" applyFont="1" applyAlignment="1">
      <alignment horizontal="center"/>
    </xf>
    <xf numFmtId="4" fontId="90" fillId="0" borderId="8" xfId="0" applyNumberFormat="1" applyFont="1" applyBorder="1" applyAlignment="1">
      <alignment horizontal="center"/>
    </xf>
    <xf numFmtId="0" fontId="90" fillId="0" borderId="77" xfId="0" applyFont="1" applyBorder="1"/>
    <xf numFmtId="165" fontId="90" fillId="0" borderId="77" xfId="0" applyNumberFormat="1" applyFont="1" applyBorder="1"/>
    <xf numFmtId="165" fontId="90" fillId="0" borderId="77" xfId="0" applyNumberFormat="1" applyFont="1" applyBorder="1" applyAlignment="1">
      <alignment horizontal="center"/>
    </xf>
    <xf numFmtId="0" fontId="91" fillId="0" borderId="77" xfId="0" quotePrefix="1" applyFont="1" applyBorder="1" applyAlignment="1">
      <alignment horizontal="left"/>
    </xf>
    <xf numFmtId="0" fontId="90" fillId="0" borderId="77" xfId="0" quotePrefix="1" applyFont="1" applyBorder="1" applyAlignment="1">
      <alignment horizontal="left"/>
    </xf>
    <xf numFmtId="0" fontId="101" fillId="0" borderId="0" xfId="0" quotePrefix="1" applyFont="1" applyAlignment="1">
      <alignment horizontal="left"/>
    </xf>
    <xf numFmtId="0" fontId="89" fillId="0" borderId="0" xfId="0" applyFont="1" applyAlignment="1">
      <alignment horizontal="center"/>
    </xf>
    <xf numFmtId="0" fontId="90" fillId="0" borderId="5" xfId="0" quotePrefix="1" applyFont="1" applyBorder="1" applyAlignment="1">
      <alignment horizontal="left"/>
    </xf>
    <xf numFmtId="164" fontId="90" fillId="0" borderId="2" xfId="0" applyNumberFormat="1" applyFont="1" applyBorder="1" applyAlignment="1">
      <alignment horizontal="center"/>
    </xf>
    <xf numFmtId="164" fontId="90" fillId="0" borderId="3" xfId="0" applyNumberFormat="1" applyFont="1" applyBorder="1" applyAlignment="1">
      <alignment horizontal="center"/>
    </xf>
    <xf numFmtId="0" fontId="90" fillId="0" borderId="3" xfId="0" applyFont="1" applyBorder="1"/>
    <xf numFmtId="0" fontId="90" fillId="0" borderId="4" xfId="0" applyFont="1" applyBorder="1"/>
    <xf numFmtId="0" fontId="90" fillId="0" borderId="2" xfId="0" applyFont="1" applyBorder="1" applyAlignment="1">
      <alignment horizontal="center"/>
    </xf>
    <xf numFmtId="0" fontId="89" fillId="0" borderId="3" xfId="0" applyFont="1" applyBorder="1" applyAlignment="1">
      <alignment horizontal="center"/>
    </xf>
    <xf numFmtId="9" fontId="90" fillId="0" borderId="3" xfId="0" applyNumberFormat="1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4" fontId="90" fillId="0" borderId="3" xfId="0" applyNumberFormat="1" applyFont="1" applyBorder="1" applyAlignment="1">
      <alignment horizontal="center"/>
    </xf>
    <xf numFmtId="4" fontId="90" fillId="0" borderId="4" xfId="0" applyNumberFormat="1" applyFont="1" applyBorder="1" applyAlignment="1">
      <alignment horizontal="center"/>
    </xf>
    <xf numFmtId="0" fontId="90" fillId="0" borderId="2" xfId="0" quotePrefix="1" applyFont="1" applyBorder="1" applyAlignment="1">
      <alignment horizontal="center"/>
    </xf>
    <xf numFmtId="4" fontId="91" fillId="0" borderId="2" xfId="0" applyNumberFormat="1" applyFont="1" applyBorder="1" applyAlignment="1">
      <alignment horizontal="center"/>
    </xf>
    <xf numFmtId="0" fontId="45" fillId="0" borderId="66" xfId="0" quotePrefix="1" applyFont="1" applyBorder="1" applyAlignment="1">
      <alignment horizontal="left" vertical="top"/>
    </xf>
    <xf numFmtId="0" fontId="45" fillId="0" borderId="70" xfId="0" quotePrefix="1" applyFont="1" applyBorder="1" applyAlignment="1">
      <alignment horizontal="left" vertical="top"/>
    </xf>
    <xf numFmtId="0" fontId="0" fillId="0" borderId="66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73" fillId="0" borderId="44" xfId="0" applyFont="1" applyBorder="1" applyAlignment="1">
      <alignment horizontal="center" vertical="center" wrapText="1"/>
    </xf>
    <xf numFmtId="0" fontId="73" fillId="0" borderId="45" xfId="0" applyFont="1" applyBorder="1" applyAlignment="1">
      <alignment horizontal="center" vertical="center" wrapText="1"/>
    </xf>
    <xf numFmtId="0" fontId="88" fillId="0" borderId="44" xfId="0" applyFont="1" applyBorder="1" applyAlignment="1">
      <alignment horizontal="center" vertical="center" wrapText="1"/>
    </xf>
    <xf numFmtId="0" fontId="88" fillId="0" borderId="45" xfId="0" applyFont="1" applyBorder="1" applyAlignment="1">
      <alignment horizontal="center" vertical="center" wrapText="1"/>
    </xf>
    <xf numFmtId="0" fontId="19" fillId="5" borderId="12" xfId="0" quotePrefix="1" applyFont="1" applyFill="1" applyBorder="1" applyAlignment="1">
      <alignment horizontal="center"/>
    </xf>
    <xf numFmtId="0" fontId="19" fillId="5" borderId="6" xfId="0" quotePrefix="1" applyFont="1" applyFill="1" applyBorder="1" applyAlignment="1">
      <alignment horizontal="center"/>
    </xf>
    <xf numFmtId="2" fontId="90" fillId="0" borderId="0" xfId="0" applyNumberFormat="1" applyFont="1" applyAlignment="1">
      <alignment horizontal="left"/>
    </xf>
    <xf numFmtId="0" fontId="79" fillId="12" borderId="44" xfId="0" applyFont="1" applyFill="1" applyBorder="1" applyAlignment="1">
      <alignment horizontal="left" vertical="center" wrapText="1"/>
    </xf>
    <xf numFmtId="0" fontId="79" fillId="12" borderId="44" xfId="0" applyFont="1" applyFill="1" applyBorder="1" applyAlignment="1">
      <alignment horizontal="left" vertical="center" wrapText="1"/>
    </xf>
    <xf numFmtId="0" fontId="79" fillId="12" borderId="78" xfId="0" applyFont="1" applyFill="1" applyBorder="1" applyAlignment="1">
      <alignment horizontal="left" vertical="center" wrapText="1"/>
    </xf>
    <xf numFmtId="0" fontId="79" fillId="12" borderId="45" xfId="0" applyFont="1" applyFill="1" applyBorder="1" applyAlignment="1">
      <alignment horizontal="left" vertical="center" wrapText="1"/>
    </xf>
    <xf numFmtId="0" fontId="88" fillId="0" borderId="78" xfId="0" applyFont="1" applyBorder="1" applyAlignment="1">
      <alignment horizontal="center" vertical="center" wrapText="1"/>
    </xf>
    <xf numFmtId="0" fontId="90" fillId="6" borderId="0" xfId="0" applyFont="1" applyFill="1" applyBorder="1" applyAlignment="1">
      <alignment horizontal="center"/>
    </xf>
    <xf numFmtId="0" fontId="90" fillId="0" borderId="0" xfId="0" applyFont="1" applyBorder="1" applyAlignment="1">
      <alignment horizontal="center"/>
    </xf>
    <xf numFmtId="2" fontId="90" fillId="6" borderId="0" xfId="0" applyNumberFormat="1" applyFont="1" applyFill="1" applyBorder="1" applyAlignment="1">
      <alignment horizontal="center"/>
    </xf>
    <xf numFmtId="2" fontId="90" fillId="0" borderId="0" xfId="0" applyNumberFormat="1" applyFont="1" applyBorder="1" applyAlignment="1">
      <alignment horizontal="center"/>
    </xf>
    <xf numFmtId="0" fontId="90" fillId="0" borderId="80" xfId="0" applyFont="1" applyBorder="1"/>
    <xf numFmtId="0" fontId="90" fillId="0" borderId="81" xfId="0" applyFont="1" applyBorder="1" applyAlignment="1">
      <alignment horizontal="right" indent="1"/>
    </xf>
    <xf numFmtId="0" fontId="90" fillId="0" borderId="81" xfId="0" quotePrefix="1" applyFont="1" applyBorder="1" applyAlignment="1">
      <alignment horizontal="left"/>
    </xf>
    <xf numFmtId="0" fontId="90" fillId="0" borderId="81" xfId="0" applyFont="1" applyBorder="1"/>
    <xf numFmtId="0" fontId="90" fillId="0" borderId="82" xfId="0" applyFont="1" applyBorder="1"/>
    <xf numFmtId="0" fontId="90" fillId="0" borderId="83" xfId="0" applyFont="1" applyBorder="1"/>
    <xf numFmtId="0" fontId="90" fillId="0" borderId="0" xfId="0" applyFont="1" applyBorder="1"/>
    <xf numFmtId="0" fontId="90" fillId="0" borderId="0" xfId="0" quotePrefix="1" applyFont="1" applyBorder="1" applyAlignment="1">
      <alignment horizontal="left"/>
    </xf>
    <xf numFmtId="0" fontId="0" fillId="0" borderId="0" xfId="0" applyBorder="1"/>
    <xf numFmtId="0" fontId="90" fillId="0" borderId="84" xfId="0" applyFont="1" applyBorder="1"/>
    <xf numFmtId="0" fontId="94" fillId="0" borderId="0" xfId="0" quotePrefix="1" applyFont="1" applyBorder="1" applyAlignment="1">
      <alignment horizontal="center"/>
    </xf>
    <xf numFmtId="0" fontId="91" fillId="0" borderId="0" xfId="0" quotePrefix="1" applyFont="1" applyBorder="1" applyAlignment="1">
      <alignment horizontal="left"/>
    </xf>
    <xf numFmtId="0" fontId="91" fillId="0" borderId="0" xfId="0" applyFont="1" applyBorder="1" applyAlignment="1">
      <alignment horizontal="center"/>
    </xf>
    <xf numFmtId="0" fontId="94" fillId="0" borderId="0" xfId="0" applyFont="1" applyBorder="1" applyAlignment="1">
      <alignment horizontal="center"/>
    </xf>
    <xf numFmtId="0" fontId="90" fillId="0" borderId="0" xfId="0" quotePrefix="1" applyFont="1" applyBorder="1" applyAlignment="1">
      <alignment horizontal="center"/>
    </xf>
    <xf numFmtId="0" fontId="91" fillId="0" borderId="83" xfId="0" quotePrefix="1" applyFont="1" applyBorder="1" applyAlignment="1">
      <alignment horizontal="left"/>
    </xf>
    <xf numFmtId="0" fontId="90" fillId="4" borderId="0" xfId="0" applyFont="1" applyFill="1" applyBorder="1"/>
    <xf numFmtId="0" fontId="91" fillId="4" borderId="0" xfId="0" applyFont="1" applyFill="1" applyBorder="1" applyAlignment="1">
      <alignment horizontal="center"/>
    </xf>
    <xf numFmtId="0" fontId="90" fillId="4" borderId="0" xfId="0" quotePrefix="1" applyFont="1" applyFill="1" applyBorder="1" applyAlignment="1">
      <alignment horizontal="right"/>
    </xf>
    <xf numFmtId="0" fontId="96" fillId="0" borderId="0" xfId="0" applyFont="1" applyBorder="1"/>
    <xf numFmtId="0" fontId="95" fillId="4" borderId="0" xfId="0" applyFont="1" applyFill="1" applyBorder="1" applyAlignment="1">
      <alignment horizontal="center"/>
    </xf>
    <xf numFmtId="0" fontId="95" fillId="4" borderId="0" xfId="0" quotePrefix="1" applyFont="1" applyFill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95" fillId="0" borderId="0" xfId="0" quotePrefix="1" applyFont="1" applyBorder="1" applyAlignment="1">
      <alignment horizontal="center"/>
    </xf>
    <xf numFmtId="0" fontId="98" fillId="0" borderId="0" xfId="0" quotePrefix="1" applyFont="1" applyBorder="1" applyAlignment="1">
      <alignment horizontal="center"/>
    </xf>
    <xf numFmtId="0" fontId="90" fillId="3" borderId="0" xfId="0" applyFont="1" applyFill="1" applyBorder="1" applyAlignment="1">
      <alignment horizontal="center"/>
    </xf>
    <xf numFmtId="164" fontId="92" fillId="3" borderId="0" xfId="0" applyNumberFormat="1" applyFont="1" applyFill="1" applyBorder="1" applyAlignment="1">
      <alignment horizontal="center"/>
    </xf>
    <xf numFmtId="164" fontId="90" fillId="3" borderId="0" xfId="0" applyNumberFormat="1" applyFont="1" applyFill="1" applyBorder="1" applyAlignment="1">
      <alignment horizontal="center"/>
    </xf>
    <xf numFmtId="166" fontId="90" fillId="3" borderId="0" xfId="0" applyNumberFormat="1" applyFont="1" applyFill="1" applyBorder="1" applyAlignment="1">
      <alignment horizontal="center"/>
    </xf>
    <xf numFmtId="165" fontId="94" fillId="3" borderId="0" xfId="0" applyNumberFormat="1" applyFont="1" applyFill="1" applyBorder="1" applyAlignment="1">
      <alignment horizontal="center" vertical="center" wrapText="1"/>
    </xf>
    <xf numFmtId="166" fontId="90" fillId="0" borderId="0" xfId="0" applyNumberFormat="1" applyFont="1" applyBorder="1" applyAlignment="1">
      <alignment horizontal="center"/>
    </xf>
    <xf numFmtId="164" fontId="90" fillId="0" borderId="0" xfId="0" applyNumberFormat="1" applyFont="1" applyBorder="1" applyAlignment="1">
      <alignment horizontal="center"/>
    </xf>
    <xf numFmtId="164" fontId="94" fillId="0" borderId="0" xfId="0" applyNumberFormat="1" applyFont="1" applyBorder="1" applyAlignment="1">
      <alignment horizontal="center"/>
    </xf>
    <xf numFmtId="165" fontId="94" fillId="0" borderId="0" xfId="0" applyNumberFormat="1" applyFont="1" applyBorder="1" applyAlignment="1">
      <alignment horizontal="center" vertical="center" wrapText="1"/>
    </xf>
    <xf numFmtId="164" fontId="90" fillId="6" borderId="0" xfId="0" applyNumberFormat="1" applyFont="1" applyFill="1" applyBorder="1" applyAlignment="1">
      <alignment horizontal="center"/>
    </xf>
    <xf numFmtId="166" fontId="90" fillId="6" borderId="0" xfId="0" applyNumberFormat="1" applyFont="1" applyFill="1" applyBorder="1" applyAlignment="1">
      <alignment horizontal="center"/>
    </xf>
    <xf numFmtId="165" fontId="94" fillId="6" borderId="0" xfId="0" applyNumberFormat="1" applyFont="1" applyFill="1" applyBorder="1" applyAlignment="1">
      <alignment horizontal="center" vertical="center" wrapText="1"/>
    </xf>
    <xf numFmtId="0" fontId="90" fillId="7" borderId="83" xfId="0" applyFont="1" applyFill="1" applyBorder="1"/>
    <xf numFmtId="0" fontId="90" fillId="7" borderId="0" xfId="0" applyFont="1" applyFill="1" applyBorder="1"/>
    <xf numFmtId="0" fontId="91" fillId="7" borderId="83" xfId="0" quotePrefix="1" applyFont="1" applyFill="1" applyBorder="1" applyAlignment="1">
      <alignment horizontal="left"/>
    </xf>
    <xf numFmtId="0" fontId="95" fillId="7" borderId="0" xfId="0" quotePrefix="1" applyFont="1" applyFill="1" applyBorder="1" applyAlignment="1">
      <alignment horizontal="right"/>
    </xf>
    <xf numFmtId="0" fontId="95" fillId="7" borderId="0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65" fontId="90" fillId="0" borderId="0" xfId="0" applyNumberFormat="1" applyFont="1" applyBorder="1" applyAlignment="1">
      <alignment horizontal="center"/>
    </xf>
    <xf numFmtId="164" fontId="94" fillId="6" borderId="0" xfId="0" applyNumberFormat="1" applyFont="1" applyFill="1" applyBorder="1" applyAlignment="1">
      <alignment horizontal="center" vertical="center" wrapText="1"/>
    </xf>
    <xf numFmtId="2" fontId="10" fillId="15" borderId="0" xfId="0" applyNumberFormat="1" applyFont="1" applyFill="1" applyBorder="1" applyAlignment="1">
      <alignment horizontal="center"/>
    </xf>
    <xf numFmtId="166" fontId="97" fillId="0" borderId="0" xfId="0" applyNumberFormat="1" applyFont="1" applyBorder="1"/>
    <xf numFmtId="2" fontId="90" fillId="0" borderId="0" xfId="0" quotePrefix="1" applyNumberFormat="1" applyFont="1" applyBorder="1" applyAlignment="1">
      <alignment horizontal="right"/>
    </xf>
    <xf numFmtId="0" fontId="90" fillId="0" borderId="0" xfId="0" applyFont="1" applyBorder="1" applyAlignment="1">
      <alignment horizontal="right"/>
    </xf>
    <xf numFmtId="0" fontId="91" fillId="0" borderId="85" xfId="0" quotePrefix="1" applyFont="1" applyBorder="1" applyAlignment="1">
      <alignment horizontal="left"/>
    </xf>
    <xf numFmtId="0" fontId="91" fillId="0" borderId="86" xfId="0" quotePrefix="1" applyFont="1" applyBorder="1" applyAlignment="1">
      <alignment horizontal="left"/>
    </xf>
    <xf numFmtId="0" fontId="90" fillId="0" borderId="86" xfId="0" applyFont="1" applyBorder="1"/>
    <xf numFmtId="0" fontId="90" fillId="0" borderId="87" xfId="0" applyFont="1" applyBorder="1"/>
    <xf numFmtId="0" fontId="89" fillId="0" borderId="8" xfId="0" applyFont="1" applyBorder="1" applyAlignment="1">
      <alignment horizontal="center"/>
    </xf>
    <xf numFmtId="0" fontId="90" fillId="5" borderId="0" xfId="0" applyFont="1" applyFill="1" applyBorder="1"/>
    <xf numFmtId="0" fontId="0" fillId="5" borderId="0" xfId="0" applyFill="1" applyBorder="1"/>
    <xf numFmtId="0" fontId="89" fillId="6" borderId="0" xfId="0" applyFont="1" applyFill="1" applyBorder="1" applyAlignment="1">
      <alignment horizontal="center"/>
    </xf>
    <xf numFmtId="0" fontId="89" fillId="0" borderId="0" xfId="0" applyFont="1" applyBorder="1" applyAlignment="1">
      <alignment horizontal="center"/>
    </xf>
    <xf numFmtId="0" fontId="90" fillId="4" borderId="0" xfId="0" quotePrefix="1" applyFont="1" applyFill="1" applyBorder="1" applyAlignment="1">
      <alignment horizontal="center"/>
    </xf>
    <xf numFmtId="0" fontId="102" fillId="4" borderId="0" xfId="0" quotePrefix="1" applyFont="1" applyFill="1" applyBorder="1" applyAlignment="1">
      <alignment horizontal="center"/>
    </xf>
    <xf numFmtId="2" fontId="90" fillId="3" borderId="0" xfId="0" applyNumberFormat="1" applyFont="1" applyFill="1" applyBorder="1" applyAlignment="1">
      <alignment horizontal="center"/>
    </xf>
    <xf numFmtId="2" fontId="92" fillId="3" borderId="0" xfId="0" applyNumberFormat="1" applyFont="1" applyFill="1" applyBorder="1" applyAlignment="1">
      <alignment horizontal="center"/>
    </xf>
    <xf numFmtId="2" fontId="90" fillId="2" borderId="0" xfId="0" applyNumberFormat="1" applyFont="1" applyFill="1" applyBorder="1" applyAlignment="1">
      <alignment horizontal="center"/>
    </xf>
    <xf numFmtId="0" fontId="90" fillId="5" borderId="13" xfId="0" applyFont="1" applyFill="1" applyBorder="1" applyAlignment="1">
      <alignment horizontal="center"/>
    </xf>
    <xf numFmtId="0" fontId="95" fillId="5" borderId="14" xfId="0" applyFont="1" applyFill="1" applyBorder="1" applyAlignment="1">
      <alignment horizontal="center"/>
    </xf>
    <xf numFmtId="0" fontId="90" fillId="0" borderId="14" xfId="0" applyFont="1" applyBorder="1" applyAlignment="1">
      <alignment horizontal="center"/>
    </xf>
    <xf numFmtId="0" fontId="90" fillId="6" borderId="14" xfId="0" applyFont="1" applyFill="1" applyBorder="1" applyAlignment="1">
      <alignment horizontal="center"/>
    </xf>
    <xf numFmtId="0" fontId="89" fillId="6" borderId="14" xfId="0" applyFont="1" applyFill="1" applyBorder="1" applyAlignment="1">
      <alignment horizontal="center"/>
    </xf>
    <xf numFmtId="0" fontId="89" fillId="0" borderId="14" xfId="0" applyFont="1" applyBorder="1" applyAlignment="1">
      <alignment horizontal="center"/>
    </xf>
    <xf numFmtId="0" fontId="90" fillId="6" borderId="15" xfId="0" applyFont="1" applyFill="1" applyBorder="1" applyAlignment="1">
      <alignment horizontal="center"/>
    </xf>
    <xf numFmtId="0" fontId="90" fillId="3" borderId="14" xfId="0" applyFont="1" applyFill="1" applyBorder="1" applyAlignment="1">
      <alignment horizontal="center"/>
    </xf>
    <xf numFmtId="9" fontId="90" fillId="0" borderId="0" xfId="0" applyNumberFormat="1" applyFont="1" applyBorder="1" applyAlignment="1">
      <alignment horizontal="center"/>
    </xf>
    <xf numFmtId="4" fontId="91" fillId="0" borderId="0" xfId="0" applyNumberFormat="1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4" fontId="90" fillId="0" borderId="0" xfId="0" applyNumberFormat="1" applyFont="1" applyBorder="1" applyAlignment="1">
      <alignment horizontal="center"/>
    </xf>
    <xf numFmtId="0" fontId="89" fillId="5" borderId="6" xfId="0" quotePrefix="1" applyFont="1" applyFill="1" applyBorder="1" applyAlignment="1">
      <alignment horizontal="center"/>
    </xf>
    <xf numFmtId="0" fontId="95" fillId="5" borderId="8" xfId="0" applyFont="1" applyFill="1" applyBorder="1" applyAlignment="1">
      <alignment horizontal="center"/>
    </xf>
    <xf numFmtId="0" fontId="95" fillId="0" borderId="14" xfId="0" applyFont="1" applyBorder="1" applyAlignment="1">
      <alignment horizontal="center"/>
    </xf>
    <xf numFmtId="0" fontId="90" fillId="5" borderId="8" xfId="0" applyFont="1" applyFill="1" applyBorder="1" applyAlignment="1">
      <alignment horizontal="center"/>
    </xf>
    <xf numFmtId="2" fontId="89" fillId="0" borderId="0" xfId="0" applyNumberFormat="1" applyFont="1" applyBorder="1" applyAlignment="1">
      <alignment horizontal="center"/>
    </xf>
    <xf numFmtId="0" fontId="89" fillId="3" borderId="0" xfId="0" applyFont="1" applyFill="1" applyBorder="1" applyAlignment="1">
      <alignment horizontal="center"/>
    </xf>
    <xf numFmtId="165" fontId="93" fillId="6" borderId="0" xfId="0" applyNumberFormat="1" applyFont="1" applyFill="1" applyBorder="1" applyAlignment="1">
      <alignment horizontal="center" vertical="center" wrapText="1"/>
    </xf>
    <xf numFmtId="0" fontId="79" fillId="12" borderId="78" xfId="0" applyFont="1" applyFill="1" applyBorder="1" applyAlignment="1">
      <alignment horizontal="left" vertical="center" wrapText="1"/>
    </xf>
    <xf numFmtId="0" fontId="79" fillId="12" borderId="45" xfId="0" applyFont="1" applyFill="1" applyBorder="1" applyAlignment="1">
      <alignment horizontal="left" vertical="center" wrapText="1"/>
    </xf>
    <xf numFmtId="0" fontId="58" fillId="0" borderId="0" xfId="0" applyFont="1" applyBorder="1"/>
    <xf numFmtId="0" fontId="91" fillId="0" borderId="41" xfId="0" applyFont="1" applyBorder="1" applyAlignment="1">
      <alignment horizontal="center"/>
    </xf>
    <xf numFmtId="0" fontId="90" fillId="4" borderId="41" xfId="0" applyFont="1" applyFill="1" applyBorder="1"/>
    <xf numFmtId="0" fontId="95" fillId="4" borderId="41" xfId="0" quotePrefix="1" applyFont="1" applyFill="1" applyBorder="1" applyAlignment="1">
      <alignment horizontal="center"/>
    </xf>
    <xf numFmtId="165" fontId="94" fillId="3" borderId="41" xfId="0" applyNumberFormat="1" applyFont="1" applyFill="1" applyBorder="1" applyAlignment="1">
      <alignment horizontal="center" vertical="center" wrapText="1"/>
    </xf>
    <xf numFmtId="165" fontId="94" fillId="0" borderId="41" xfId="0" applyNumberFormat="1" applyFont="1" applyBorder="1" applyAlignment="1">
      <alignment horizontal="center" vertical="center" wrapText="1"/>
    </xf>
    <xf numFmtId="165" fontId="94" fillId="6" borderId="41" xfId="0" applyNumberFormat="1" applyFont="1" applyFill="1" applyBorder="1" applyAlignment="1">
      <alignment horizontal="center" vertical="center" wrapText="1"/>
    </xf>
    <xf numFmtId="165" fontId="93" fillId="6" borderId="41" xfId="0" applyNumberFormat="1" applyFont="1" applyFill="1" applyBorder="1" applyAlignment="1">
      <alignment horizontal="center" vertical="center" wrapText="1"/>
    </xf>
    <xf numFmtId="165" fontId="93" fillId="6" borderId="42" xfId="0" applyNumberFormat="1" applyFont="1" applyFill="1" applyBorder="1" applyAlignment="1">
      <alignment horizontal="center" vertical="center" wrapText="1"/>
    </xf>
    <xf numFmtId="0" fontId="90" fillId="0" borderId="40" xfId="0" applyFont="1" applyBorder="1"/>
    <xf numFmtId="0" fontId="90" fillId="0" borderId="84" xfId="0" quotePrefix="1" applyFont="1" applyBorder="1" applyAlignment="1">
      <alignment horizontal="center"/>
    </xf>
    <xf numFmtId="2" fontId="90" fillId="6" borderId="88" xfId="0" applyNumberFormat="1" applyFont="1" applyFill="1" applyBorder="1" applyAlignment="1">
      <alignment horizontal="center"/>
    </xf>
    <xf numFmtId="0" fontId="90" fillId="0" borderId="89" xfId="0" applyFont="1" applyBorder="1"/>
    <xf numFmtId="0" fontId="90" fillId="0" borderId="90" xfId="0" applyFont="1" applyBorder="1"/>
    <xf numFmtId="0" fontId="90" fillId="0" borderId="89" xfId="0" quotePrefix="1" applyFont="1" applyBorder="1" applyAlignment="1">
      <alignment horizontal="left"/>
    </xf>
    <xf numFmtId="0" fontId="91" fillId="0" borderId="41" xfId="0" quotePrefix="1" applyFont="1" applyBorder="1" applyAlignment="1">
      <alignment horizontal="center"/>
    </xf>
    <xf numFmtId="165" fontId="94" fillId="6" borderId="79" xfId="0" applyNumberFormat="1" applyFont="1" applyFill="1" applyBorder="1" applyAlignment="1">
      <alignment horizontal="center" vertical="center" wrapText="1"/>
    </xf>
    <xf numFmtId="2" fontId="89" fillId="3" borderId="14" xfId="0" applyNumberFormat="1" applyFont="1" applyFill="1" applyBorder="1" applyAlignment="1">
      <alignment horizontal="center"/>
    </xf>
    <xf numFmtId="0" fontId="89" fillId="6" borderId="15" xfId="0" applyFont="1" applyFill="1" applyBorder="1" applyAlignment="1">
      <alignment horizontal="center"/>
    </xf>
    <xf numFmtId="2" fontId="90" fillId="0" borderId="0" xfId="0" applyNumberFormat="1" applyFont="1" applyBorder="1" applyAlignment="1">
      <alignment horizontal="center" vertical="center" wrapText="1"/>
    </xf>
    <xf numFmtId="2" fontId="90" fillId="20" borderId="7" xfId="0" applyNumberFormat="1" applyFont="1" applyFill="1" applyBorder="1" applyAlignment="1">
      <alignment horizontal="center"/>
    </xf>
    <xf numFmtId="0" fontId="90" fillId="2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8000"/>
      <color rgb="FFEFE8DA"/>
      <color rgb="FFCBB489"/>
      <color rgb="FFE6DBC4"/>
      <color rgb="FFE6DBA3"/>
      <color rgb="FFF7F2EA"/>
      <color rgb="FFD8C7A7"/>
      <color rgb="FFFFFFE1"/>
      <color rgb="FFFFF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'rzeta_bkwd_fkr_dipsMiddle ( (3)'!$G$52:$G$58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(3)'!$L$52:$L$58</c:f>
              <c:numCache>
                <c:formatCode>0.0000</c:formatCode>
                <c:ptCount val="7"/>
                <c:pt idx="0">
                  <c:v>0.74500397748642166</c:v>
                </c:pt>
                <c:pt idx="1">
                  <c:v>0.74070674750091992</c:v>
                </c:pt>
                <c:pt idx="2">
                  <c:v>0.7395758975047354</c:v>
                </c:pt>
                <c:pt idx="3">
                  <c:v>0.76316219742515723</c:v>
                </c:pt>
                <c:pt idx="4">
                  <c:v>0.78493913735168364</c:v>
                </c:pt>
                <c:pt idx="5">
                  <c:v>0.79633379731323906</c:v>
                </c:pt>
                <c:pt idx="6">
                  <c:v>0.80581139728126261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2C-4298-AA3C-AEF54ECE3CA3}"/>
            </c:ext>
          </c:extLst>
        </c:ser>
        <c:ser>
          <c:idx val="1"/>
          <c:order val="1"/>
          <c:xVal>
            <c:numRef>
              <c:f>'rzeta_bkwd_fkr_dipsMiddle ( (3)'!$G$52:$G$58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(3)'!$R$52:$R$58</c:f>
              <c:numCache>
                <c:formatCode>0.0000</c:formatCode>
                <c:ptCount val="7"/>
                <c:pt idx="0">
                  <c:v>0.80581139728126261</c:v>
                </c:pt>
                <c:pt idx="1">
                  <c:v>0.80581139728126261</c:v>
                </c:pt>
                <c:pt idx="2">
                  <c:v>0.80581139728126261</c:v>
                </c:pt>
                <c:pt idx="3">
                  <c:v>0.80581139728126261</c:v>
                </c:pt>
                <c:pt idx="4">
                  <c:v>0.80581139728126261</c:v>
                </c:pt>
                <c:pt idx="5">
                  <c:v>0.80581139728126261</c:v>
                </c:pt>
                <c:pt idx="6">
                  <c:v>0.80581139728126261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2C-4298-AA3C-AEF54ECE3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'rzeta_bkwd_fkr_dipsMiddle ( (3)'!$G$98:$G$104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(3)'!$I$98:$I$104</c:f>
              <c:numCache>
                <c:formatCode>General</c:formatCode>
                <c:ptCount val="7"/>
                <c:pt idx="0" formatCode="0.00">
                  <c:v>23.058000000000003</c:v>
                </c:pt>
                <c:pt idx="1">
                  <c:v>45.099999999999994</c:v>
                </c:pt>
                <c:pt idx="2">
                  <c:v>67.400000000000006</c:v>
                </c:pt>
                <c:pt idx="3">
                  <c:v>92</c:v>
                </c:pt>
                <c:pt idx="4">
                  <c:v>117.5</c:v>
                </c:pt>
                <c:pt idx="5">
                  <c:v>143</c:v>
                </c:pt>
                <c:pt idx="6">
                  <c:v>170.2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1C-45D5-B189-00E972334782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'rzeta_bkwd_fkr_dipsMiddle ( (3)'!$G$98:$G$104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(3)'!$T$98:$T$104</c:f>
              <c:numCache>
                <c:formatCode>0.0</c:formatCode>
                <c:ptCount val="7"/>
                <c:pt idx="0">
                  <c:v>24.313709979918329</c:v>
                </c:pt>
                <c:pt idx="1">
                  <c:v>48.627419959836658</c:v>
                </c:pt>
                <c:pt idx="2">
                  <c:v>72.941129939754987</c:v>
                </c:pt>
                <c:pt idx="3">
                  <c:v>97.254839919673316</c:v>
                </c:pt>
                <c:pt idx="4">
                  <c:v>121.56854989959164</c:v>
                </c:pt>
                <c:pt idx="5">
                  <c:v>145.88225987950997</c:v>
                </c:pt>
                <c:pt idx="6">
                  <c:v>170.19596985942832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1C-45D5-B189-00E972334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(3)'!$M$144:$M$150</c:f>
              <c:numCache>
                <c:formatCode>0.00</c:formatCode>
                <c:ptCount val="7"/>
                <c:pt idx="0">
                  <c:v>20.544678000000005</c:v>
                </c:pt>
                <c:pt idx="1">
                  <c:v>40.184099999999994</c:v>
                </c:pt>
                <c:pt idx="2">
                  <c:v>60.053400000000003</c:v>
                </c:pt>
                <c:pt idx="3">
                  <c:v>81.972000000000008</c:v>
                </c:pt>
                <c:pt idx="4">
                  <c:v>104.6925</c:v>
                </c:pt>
                <c:pt idx="5">
                  <c:v>127.413</c:v>
                </c:pt>
                <c:pt idx="6">
                  <c:v>151.6482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7-4284-93E5-AF8B108EF952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(3)'!$X$144:$X$150</c:f>
              <c:numCache>
                <c:formatCode>0.0</c:formatCode>
                <c:ptCount val="7"/>
                <c:pt idx="0">
                  <c:v>21.663515592107231</c:v>
                </c:pt>
                <c:pt idx="1">
                  <c:v>43.327031184214462</c:v>
                </c:pt>
                <c:pt idx="2">
                  <c:v>64.990546776321693</c:v>
                </c:pt>
                <c:pt idx="3">
                  <c:v>86.654062368428924</c:v>
                </c:pt>
                <c:pt idx="4">
                  <c:v>108.31757796053616</c:v>
                </c:pt>
                <c:pt idx="5">
                  <c:v>129.98109355264339</c:v>
                </c:pt>
                <c:pt idx="6">
                  <c:v>151.64460914475063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87-4284-93E5-AF8B108EF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7804070983892"/>
          <c:y val="0.20670069019150383"/>
          <c:w val="0.7948581743491826"/>
          <c:h val="0.57629629629629631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'rzeta_bkwd_fkr_dipsMiddle ( (3)'!$G$167:$G$173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(3)'!$L$167:$L$173</c:f>
              <c:numCache>
                <c:formatCode>0.00</c:formatCode>
                <c:ptCount val="7"/>
                <c:pt idx="0">
                  <c:v>0.70112699763445852</c:v>
                </c:pt>
                <c:pt idx="1">
                  <c:v>0.69951149763990905</c:v>
                </c:pt>
                <c:pt idx="2">
                  <c:v>0.70004999763809217</c:v>
                </c:pt>
                <c:pt idx="3">
                  <c:v>0.70031924763718378</c:v>
                </c:pt>
                <c:pt idx="4">
                  <c:v>0.69983459763881894</c:v>
                </c:pt>
                <c:pt idx="5">
                  <c:v>0.70004999763809217</c:v>
                </c:pt>
                <c:pt idx="6">
                  <c:v>0.70020385478043023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FC-4995-860E-9CEFBB128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9602885267023999"/>
              <c:y val="0.906141732283464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  <c:majorUnit val="10"/>
        <c:minorUnit val="5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0" baseline="0"/>
                </a:pPr>
                <a:r>
                  <a:rPr lang="en-US" sz="1050" b="0" baseline="0"/>
                  <a:t>r-zeta</a:t>
                </a:r>
              </a:p>
            </c:rich>
          </c:tx>
          <c:layout>
            <c:manualLayout>
              <c:xMode val="edge"/>
              <c:yMode val="edge"/>
              <c:x val="4.683780536138848E-4"/>
              <c:y val="0.4123797025371828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Linear r-zeta .70</a:t>
            </a:r>
          </a:p>
        </c:rich>
      </c:tx>
      <c:layout>
        <c:manualLayout>
          <c:xMode val="edge"/>
          <c:yMode val="edge"/>
          <c:x val="0.17207547683374086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99736560643668"/>
          <c:y val="0.17777777777777778"/>
          <c:w val="0.79736337060449369"/>
          <c:h val="0.631092738407699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'rzeta_bkwd_fkr_dipsMiddle ( (3)'!$AM$159</c:f>
              <c:strCache>
                <c:ptCount val="1"/>
                <c:pt idx="0">
                  <c:v>r-zeta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(3)'!$AI$166:$AI$172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(3)'!$AM$166:$AM$172</c:f>
              <c:numCache>
                <c:formatCode>0.00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7-4AEC-AB7D-908F0E6A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  <c:max val="0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r-zeta</a:t>
                </a:r>
              </a:p>
            </c:rich>
          </c:tx>
          <c:layout>
            <c:manualLayout>
              <c:xMode val="edge"/>
              <c:yMode val="edge"/>
              <c:x val="3.0864197530864196E-3"/>
              <c:y val="0.37310192475940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70658591100073"/>
          <c:y val="1.4235783027121611E-2"/>
          <c:w val="0.25496944079164019"/>
          <c:h val="0.1255757874015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Linear reb force</a:t>
            </a:r>
          </a:p>
        </c:rich>
      </c:tx>
      <c:layout>
        <c:manualLayout>
          <c:xMode val="edge"/>
          <c:yMode val="edge"/>
          <c:x val="0.17207547683374086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99736560643668"/>
          <c:y val="0.17777777777777778"/>
          <c:w val="0.79736337060449369"/>
          <c:h val="0.631092738407699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'rzeta_bkwd_fkr_dipsMiddle ( (3)'!$AJ$159</c:f>
              <c:strCache>
                <c:ptCount val="1"/>
                <c:pt idx="0">
                  <c:v>linear reb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(3)'!$AI$166:$AI$172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(3)'!$AJ$166:$AJ$172</c:f>
              <c:numCache>
                <c:formatCode>0.0</c:formatCode>
                <c:ptCount val="7"/>
                <c:pt idx="0">
                  <c:v>21.7</c:v>
                </c:pt>
                <c:pt idx="1">
                  <c:v>43.3</c:v>
                </c:pt>
                <c:pt idx="2">
                  <c:v>65</c:v>
                </c:pt>
                <c:pt idx="3">
                  <c:v>86.7</c:v>
                </c:pt>
                <c:pt idx="4">
                  <c:v>108.3</c:v>
                </c:pt>
                <c:pt idx="5">
                  <c:v>130</c:v>
                </c:pt>
                <c:pt idx="6">
                  <c:v>151.69999999999999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7E-488B-8A3E-261C2900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r-zeta</a:t>
                </a:r>
              </a:p>
            </c:rich>
          </c:tx>
          <c:layout>
            <c:manualLayout>
              <c:xMode val="edge"/>
              <c:yMode val="edge"/>
              <c:x val="3.0864197530864196E-3"/>
              <c:y val="0.37310192475940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4732440150788"/>
          <c:y val="2.1180008748906385E-2"/>
          <c:w val="0.32595711236441932"/>
          <c:h val="0.1255757874015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Proposed</a:t>
            </a:r>
            <a:r>
              <a:rPr lang="en-US" sz="1300" baseline="0"/>
              <a:t> r-zeta curve</a:t>
            </a:r>
            <a:endParaRPr lang="en-US" sz="1300"/>
          </a:p>
        </c:rich>
      </c:tx>
      <c:layout>
        <c:manualLayout>
          <c:xMode val="edge"/>
          <c:yMode val="edge"/>
          <c:x val="2.9379738990959463E-2"/>
          <c:y val="3.70384951881014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13761300670751"/>
          <c:y val="0.16759273840769903"/>
          <c:w val="0.82952245552639259"/>
          <c:h val="0.645907699037620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'rzeta_bkwd_fkr_dipsMiddle ( (3)'!$V$143</c:f>
              <c:strCache>
                <c:ptCount val="1"/>
                <c:pt idx="0">
                  <c:v>linear r-zeta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(3)'!$V$144:$V$150</c:f>
              <c:numCache>
                <c:formatCode>0.0000</c:formatCode>
                <c:ptCount val="7"/>
                <c:pt idx="0">
                  <c:v>0.69996476078123704</c:v>
                </c:pt>
                <c:pt idx="1">
                  <c:v>0.69996476078123704</c:v>
                </c:pt>
                <c:pt idx="2">
                  <c:v>0.69996476078123704</c:v>
                </c:pt>
                <c:pt idx="3">
                  <c:v>0.69996476078123704</c:v>
                </c:pt>
                <c:pt idx="4">
                  <c:v>0.69996476078123704</c:v>
                </c:pt>
                <c:pt idx="5">
                  <c:v>0.69996476078123704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01-4E15-A2B7-B4AF69883F99}"/>
            </c:ext>
          </c:extLst>
        </c:ser>
        <c:ser>
          <c:idx val="1"/>
          <c:order val="1"/>
          <c:tx>
            <c:strRef>
              <c:f>'rzeta_bkwd_fkr_dipsMiddle ( (3)'!$Q$143</c:f>
              <c:strCache>
                <c:ptCount val="1"/>
                <c:pt idx="0">
                  <c:v>straight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(3)'!$Q$144:$Q$150</c:f>
              <c:numCache>
                <c:formatCode>0.0000</c:formatCode>
                <c:ptCount val="7"/>
                <c:pt idx="0">
                  <c:v>0.66379854394040161</c:v>
                </c:pt>
                <c:pt idx="1">
                  <c:v>0.66982624674720748</c:v>
                </c:pt>
                <c:pt idx="2">
                  <c:v>0.67585394955401346</c:v>
                </c:pt>
                <c:pt idx="3">
                  <c:v>0.68188165236081932</c:v>
                </c:pt>
                <c:pt idx="4">
                  <c:v>0.68790935516762519</c:v>
                </c:pt>
                <c:pt idx="5">
                  <c:v>0.69393705797443117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01-4E15-A2B7-B4AF69883F99}"/>
            </c:ext>
          </c:extLst>
        </c:ser>
        <c:ser>
          <c:idx val="2"/>
          <c:order val="2"/>
          <c:tx>
            <c:strRef>
              <c:f>'rzeta_bkwd_fkr_dipsMiddle ( (3)'!$P$138</c:f>
              <c:strCache>
                <c:ptCount val="1"/>
                <c:pt idx="0">
                  <c:v>proposed r-zeta dips at 30ips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(3)'!$P$144:$P$150</c:f>
              <c:numCache>
                <c:formatCode>0.0000</c:formatCode>
                <c:ptCount val="7"/>
                <c:pt idx="0">
                  <c:v>0.66379854394040161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01-4E15-A2B7-B4AF69883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  <c:max val="0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r-zeta</a:t>
                </a:r>
              </a:p>
            </c:rich>
          </c:tx>
          <c:layout>
            <c:manualLayout>
              <c:xMode val="edge"/>
              <c:yMode val="edge"/>
              <c:x val="7.685064437186891E-3"/>
              <c:y val="0.424027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01023483175712"/>
          <c:y val="1.4235928842228055E-2"/>
          <c:w val="0.66339120804343898"/>
          <c:h val="8.91145377661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Proposed</a:t>
            </a:r>
            <a:r>
              <a:rPr lang="en-US" sz="1300" baseline="0"/>
              <a:t> reb curve</a:t>
            </a:r>
            <a:endParaRPr lang="en-US" sz="1300"/>
          </a:p>
        </c:rich>
      </c:tx>
      <c:layout>
        <c:manualLayout>
          <c:xMode val="edge"/>
          <c:yMode val="edge"/>
          <c:x val="2.9379738990959463E-2"/>
          <c:y val="3.70384951881014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05827396575429"/>
          <c:y val="0.14444444444444443"/>
          <c:w val="0.81960184664416946"/>
          <c:h val="0.66905584718576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'rzeta_bkwd_fkr_dipsMiddle ( (3)'!$AJ$159</c:f>
              <c:strCache>
                <c:ptCount val="1"/>
                <c:pt idx="0">
                  <c:v>linear reb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(3)'!$AI$166:$AI$172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(3)'!$AJ$166:$AJ$172</c:f>
              <c:numCache>
                <c:formatCode>0.0</c:formatCode>
                <c:ptCount val="7"/>
                <c:pt idx="0">
                  <c:v>21.7</c:v>
                </c:pt>
                <c:pt idx="1">
                  <c:v>43.3</c:v>
                </c:pt>
                <c:pt idx="2">
                  <c:v>65</c:v>
                </c:pt>
                <c:pt idx="3">
                  <c:v>86.7</c:v>
                </c:pt>
                <c:pt idx="4">
                  <c:v>108.3</c:v>
                </c:pt>
                <c:pt idx="5">
                  <c:v>130</c:v>
                </c:pt>
                <c:pt idx="6">
                  <c:v>151.69999999999999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37-4034-8044-99C5D2D57108}"/>
            </c:ext>
          </c:extLst>
        </c:ser>
        <c:ser>
          <c:idx val="2"/>
          <c:order val="1"/>
          <c:tx>
            <c:strRef>
              <c:f>'rzeta_bkwd_fkr_dipsMiddle ( (3)'!$M$137</c:f>
              <c:strCache>
                <c:ptCount val="1"/>
                <c:pt idx="0">
                  <c:v>proposed reb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(3)'!$M$144:$M$150</c:f>
              <c:numCache>
                <c:formatCode>0.00</c:formatCode>
                <c:ptCount val="7"/>
                <c:pt idx="0">
                  <c:v>20.544678000000005</c:v>
                </c:pt>
                <c:pt idx="1">
                  <c:v>40.184099999999994</c:v>
                </c:pt>
                <c:pt idx="2">
                  <c:v>60.053400000000003</c:v>
                </c:pt>
                <c:pt idx="3">
                  <c:v>81.972000000000008</c:v>
                </c:pt>
                <c:pt idx="4">
                  <c:v>104.6925</c:v>
                </c:pt>
                <c:pt idx="5">
                  <c:v>127.413</c:v>
                </c:pt>
                <c:pt idx="6">
                  <c:v>151.6482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37-4034-8044-99C5D2D5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reb</a:t>
                </a:r>
                <a:r>
                  <a:rPr lang="en-US" sz="1150" baseline="0"/>
                  <a:t> force [lbf]</a:t>
                </a:r>
                <a:endParaRPr lang="en-US" sz="1150"/>
              </a:p>
            </c:rich>
          </c:tx>
          <c:layout>
            <c:manualLayout>
              <c:xMode val="edge"/>
              <c:yMode val="edge"/>
              <c:x val="7.685064437186891E-3"/>
              <c:y val="0.424027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44356955380582"/>
          <c:y val="1.4235928842228055E-2"/>
          <c:w val="0.41895778652668425"/>
          <c:h val="8.91145377661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'rzeta_bkwd_fkr_dipsMiddle (2)'!$G$50:$G$56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(2)'!$L$50:$L$56</c:f>
              <c:numCache>
                <c:formatCode>0.0000</c:formatCode>
                <c:ptCount val="7"/>
                <c:pt idx="0">
                  <c:v>0.74500397748642166</c:v>
                </c:pt>
                <c:pt idx="1">
                  <c:v>0.73989899750364518</c:v>
                </c:pt>
                <c:pt idx="2">
                  <c:v>0.73989899750364518</c:v>
                </c:pt>
                <c:pt idx="3">
                  <c:v>0.76332374742461206</c:v>
                </c:pt>
                <c:pt idx="4">
                  <c:v>0.78513299735102959</c:v>
                </c:pt>
                <c:pt idx="5">
                  <c:v>0.79644149731287583</c:v>
                </c:pt>
                <c:pt idx="6">
                  <c:v>0.80590371156666529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64-47F2-9D97-28CDA05FA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9685039370078"/>
          <c:y val="0.11158573928258968"/>
          <c:w val="0.82577537182852134"/>
          <c:h val="0.71687882764654431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'rzeta_bkwd_fkr_dipsMiddle (2)'!$G$117:$G$123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(2)'!$L$117:$L$123</c:f>
              <c:numCache>
                <c:formatCode>0.000</c:formatCode>
                <c:ptCount val="7"/>
                <c:pt idx="0">
                  <c:v>0.74500397748642166</c:v>
                </c:pt>
                <c:pt idx="1">
                  <c:v>0.73989899750364518</c:v>
                </c:pt>
                <c:pt idx="2">
                  <c:v>0.73989899750364518</c:v>
                </c:pt>
                <c:pt idx="3">
                  <c:v>0.76332374742461206</c:v>
                </c:pt>
                <c:pt idx="4">
                  <c:v>0.78513299735102959</c:v>
                </c:pt>
                <c:pt idx="5">
                  <c:v>0.79644149731287583</c:v>
                </c:pt>
                <c:pt idx="6">
                  <c:v>0.80590371156666529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E-4AA7-90F3-67B584ADD4F8}"/>
            </c:ext>
          </c:extLst>
        </c:ser>
        <c:ser>
          <c:idx val="1"/>
          <c:order val="1"/>
          <c:spPr>
            <a:ln w="12700"/>
          </c:spPr>
          <c:marker>
            <c:symbol val="circle"/>
            <c:size val="3"/>
          </c:marker>
          <c:xVal>
            <c:numRef>
              <c:f>'rzeta_bkwd_fkr_dipsMiddle (2)'!$G$117:$G$123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(2)'!$P$117:$P$123</c:f>
              <c:numCache>
                <c:formatCode>0.0000</c:formatCode>
                <c:ptCount val="7"/>
                <c:pt idx="0">
                  <c:v>0.64815346041318678</c:v>
                </c:pt>
                <c:pt idx="1">
                  <c:v>0.64371212782817122</c:v>
                </c:pt>
                <c:pt idx="2">
                  <c:v>0.64371212782817133</c:v>
                </c:pt>
                <c:pt idx="3">
                  <c:v>0.66409166025941258</c:v>
                </c:pt>
                <c:pt idx="4">
                  <c:v>0.68306570769539576</c:v>
                </c:pt>
                <c:pt idx="5">
                  <c:v>0.69290410266220193</c:v>
                </c:pt>
                <c:pt idx="6">
                  <c:v>0.70113622906299888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E-4AA7-90F3-67B584AD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0"/>
        <c:majorTickMark val="out"/>
        <c:minorTickMark val="none"/>
        <c:tickLblPos val="nextTo"/>
        <c:spPr>
          <a:ln>
            <a:solidFill>
              <a:schemeClr val="accent1">
                <a:alpha val="94000"/>
              </a:schemeClr>
            </a:solidFill>
          </a:ln>
        </c:spPr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1651415194722"/>
          <c:y val="0.1388888888888889"/>
          <c:w val="0.84673658225154291"/>
          <c:h val="0.675161167094877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'rzeta_bkwd_fkr_dipsMiddle (2)'!$AY$110</c:f>
              <c:strCache>
                <c:ptCount val="1"/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(2)'!$AX$117:$AX$123</c:f>
              <c:numCache>
                <c:formatCode>0.0</c:formatCode>
                <c:ptCount val="7"/>
                <c:pt idx="0">
                  <c:v>645.0894489599998</c:v>
                </c:pt>
                <c:pt idx="1">
                  <c:v>645.0894489599998</c:v>
                </c:pt>
                <c:pt idx="2">
                  <c:v>645.0894489599998</c:v>
                </c:pt>
                <c:pt idx="3">
                  <c:v>645.0894489599998</c:v>
                </c:pt>
                <c:pt idx="4">
                  <c:v>645.0894489599998</c:v>
                </c:pt>
                <c:pt idx="5">
                  <c:v>645.0894489599998</c:v>
                </c:pt>
                <c:pt idx="6">
                  <c:v>645.0894489599998</c:v>
                </c:pt>
              </c:numCache>
            </c:numRef>
          </c:xVal>
          <c:yVal>
            <c:numRef>
              <c:f>'rzeta_bkwd_fkr_dipsMiddle (2)'!$AZ$117:$AZ$123</c:f>
              <c:numCache>
                <c:formatCode>0.0</c:formatCode>
                <c:ptCount val="7"/>
                <c:pt idx="0">
                  <c:v>20.059984991341175</c:v>
                </c:pt>
                <c:pt idx="1">
                  <c:v>39.84505649247226</c:v>
                </c:pt>
                <c:pt idx="2">
                  <c:v>59.767584738708408</c:v>
                </c:pt>
                <c:pt idx="3">
                  <c:v>82.2130532432015</c:v>
                </c:pt>
                <c:pt idx="4">
                  <c:v>105.70249702697336</c:v>
                </c:pt>
                <c:pt idx="5">
                  <c:v>128.66995317110587</c:v>
                </c:pt>
                <c:pt idx="6">
                  <c:v>151.89840313505803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E-4A18-ADAC-4DA6A74C8F49}"/>
            </c:ext>
          </c:extLst>
        </c:ser>
        <c:ser>
          <c:idx val="1"/>
          <c:order val="1"/>
          <c:tx>
            <c:strRef>
              <c:f>'rzeta_bkwd_fkr_dipsMiddle (2)'!$AZ$110</c:f>
              <c:strCache>
                <c:ptCount val="1"/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'rzeta_bkwd_fkr_dipsMiddle (2)'!$G$117:$G$123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(2)'!$P$117:$P$123</c:f>
              <c:numCache>
                <c:formatCode>0.0000</c:formatCode>
                <c:ptCount val="7"/>
                <c:pt idx="0">
                  <c:v>0.64815346041318678</c:v>
                </c:pt>
                <c:pt idx="1">
                  <c:v>0.64371212782817122</c:v>
                </c:pt>
                <c:pt idx="2">
                  <c:v>0.64371212782817133</c:v>
                </c:pt>
                <c:pt idx="3">
                  <c:v>0.66409166025941258</c:v>
                </c:pt>
                <c:pt idx="4">
                  <c:v>0.68306570769539576</c:v>
                </c:pt>
                <c:pt idx="5">
                  <c:v>0.69290410266220193</c:v>
                </c:pt>
                <c:pt idx="6">
                  <c:v>0.70113622906299888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E-4A18-ADAC-4DA6A74C8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763024"/>
        <c:axId val="7592864"/>
      </c:scatterChart>
      <c:valAx>
        <c:axId val="2017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aseline="0"/>
                  <a:t>velocity   ips</a:t>
                </a:r>
              </a:p>
            </c:rich>
          </c:tx>
          <c:layout>
            <c:manualLayout>
              <c:xMode val="edge"/>
              <c:yMode val="edge"/>
              <c:x val="0.43580523515641628"/>
              <c:y val="0.90374751973410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2864"/>
        <c:crosses val="autoZero"/>
        <c:crossBetween val="midCat"/>
      </c:valAx>
      <c:valAx>
        <c:axId val="7592864"/>
        <c:scaling>
          <c:orientation val="minMax"/>
          <c:max val="0.8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aseline="0"/>
                  <a:t>r-zeta</a:t>
                </a:r>
              </a:p>
            </c:rich>
          </c:tx>
          <c:layout>
            <c:manualLayout>
              <c:xMode val="edge"/>
              <c:yMode val="edge"/>
              <c:x val="7.1021068312406895E-3"/>
              <c:y val="0.43083533099337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6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66133778732205"/>
          <c:y val="2.0404636920384953E-2"/>
          <c:w val="0.45383355205599296"/>
          <c:h val="6.8288130650335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9685039370078"/>
          <c:y val="0.11158573928258968"/>
          <c:w val="0.82577537182852134"/>
          <c:h val="0.71687882764654431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(3)'!$L$144:$L$150</c:f>
              <c:numCache>
                <c:formatCode>0.0000</c:formatCode>
                <c:ptCount val="7"/>
                <c:pt idx="0">
                  <c:v>0.74500397748642166</c:v>
                </c:pt>
                <c:pt idx="1">
                  <c:v>0.72859049754179905</c:v>
                </c:pt>
                <c:pt idx="2">
                  <c:v>0.72589799755088336</c:v>
                </c:pt>
                <c:pt idx="3">
                  <c:v>0.743129997492744</c:v>
                </c:pt>
                <c:pt idx="4">
                  <c:v>0.75928499743823863</c:v>
                </c:pt>
                <c:pt idx="5">
                  <c:v>0.77005499740190142</c:v>
                </c:pt>
                <c:pt idx="6">
                  <c:v>0.78559456877804368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5-4F8B-A732-6321D8A99619}"/>
            </c:ext>
          </c:extLst>
        </c:ser>
        <c:ser>
          <c:idx val="1"/>
          <c:order val="1"/>
          <c:spPr>
            <a:ln w="12700"/>
          </c:spPr>
          <c:marker>
            <c:symbol val="circle"/>
            <c:size val="3"/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(3)'!$P$144:$P$150</c:f>
              <c:numCache>
                <c:formatCode>0.0000</c:formatCode>
                <c:ptCount val="7"/>
                <c:pt idx="0">
                  <c:v>0.66379854394040161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5-4F8B-A732-6321D8A99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0"/>
        <c:majorTickMark val="out"/>
        <c:minorTickMark val="none"/>
        <c:tickLblPos val="nextTo"/>
        <c:spPr>
          <a:ln>
            <a:solidFill>
              <a:schemeClr val="accent1">
                <a:alpha val="94000"/>
              </a:schemeClr>
            </a:solidFill>
          </a:ln>
        </c:spPr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(2)'!$G$45:$G$50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'rzeta_bkwd_fkr_dipsMiddle (2)'!$L$45:$L$50</c:f>
              <c:numCache>
                <c:formatCode>0.0000</c:formatCode>
                <c:ptCount val="6"/>
                <c:pt idx="0">
                  <c:v>0.78513299735102959</c:v>
                </c:pt>
                <c:pt idx="1">
                  <c:v>0.69547274765353551</c:v>
                </c:pt>
                <c:pt idx="2">
                  <c:v>0.65740079778198701</c:v>
                </c:pt>
                <c:pt idx="3">
                  <c:v>0.6427266728314962</c:v>
                </c:pt>
                <c:pt idx="4">
                  <c:v>0.65686229778380389</c:v>
                </c:pt>
                <c:pt idx="5">
                  <c:v>0.74500397748642166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23-454F-B355-4CB384D03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(2)'!$AE$117:$AE$123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(2)'!$AG$117:$AG$123</c:f>
              <c:numCache>
                <c:formatCode>0.0000</c:formatCode>
                <c:ptCount val="7"/>
                <c:pt idx="0">
                  <c:v>0.74500397748642166</c:v>
                </c:pt>
                <c:pt idx="1">
                  <c:v>0.73989899750364518</c:v>
                </c:pt>
                <c:pt idx="2">
                  <c:v>0.73989899750364518</c:v>
                </c:pt>
                <c:pt idx="3">
                  <c:v>0.76332374742461206</c:v>
                </c:pt>
                <c:pt idx="4">
                  <c:v>0.78513299735102959</c:v>
                </c:pt>
                <c:pt idx="5">
                  <c:v>0.79644149731287583</c:v>
                </c:pt>
                <c:pt idx="6">
                  <c:v>0.80590371156666529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F8-4518-A473-192F2F473B4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'rzeta_bkwd_fkr_dipsMiddle (2)'!$AE$117:$AE$123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(2)'!$AI$117:$AI$123</c:f>
              <c:numCache>
                <c:formatCode>0.0000</c:formatCode>
                <c:ptCount val="7"/>
                <c:pt idx="0">
                  <c:v>0.74500397748642166</c:v>
                </c:pt>
                <c:pt idx="1">
                  <c:v>0.75515393316646229</c:v>
                </c:pt>
                <c:pt idx="2">
                  <c:v>0.76530388884650291</c:v>
                </c:pt>
                <c:pt idx="3">
                  <c:v>0.77545384452654353</c:v>
                </c:pt>
                <c:pt idx="4">
                  <c:v>0.78560380020658405</c:v>
                </c:pt>
                <c:pt idx="5">
                  <c:v>0.79575375588662467</c:v>
                </c:pt>
                <c:pt idx="6">
                  <c:v>0.80590371156666529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F8-4518-A473-192F2F47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708016"/>
        <c:axId val="718280112"/>
      </c:scatterChart>
      <c:valAx>
        <c:axId val="114170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280112"/>
        <c:crosses val="autoZero"/>
        <c:crossBetween val="midCat"/>
      </c:valAx>
      <c:valAx>
        <c:axId val="71828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708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127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90-405A-A0F6-2F793A0DB232}"/>
              </c:ext>
            </c:extLst>
          </c:dPt>
          <c:xVal>
            <c:numRef>
              <c:f>'rzeta_bkwd_fkr_dipsMiddle (2)'!$AR$117:$AR$123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(2)'!$AS$117:$AS$123</c:f>
              <c:numCache>
                <c:formatCode>0.0</c:formatCode>
                <c:ptCount val="7"/>
                <c:pt idx="0">
                  <c:v>20.060460000000003</c:v>
                </c:pt>
                <c:pt idx="1">
                  <c:v>39.845999999999997</c:v>
                </c:pt>
                <c:pt idx="2">
                  <c:v>59.769000000000005</c:v>
                </c:pt>
                <c:pt idx="3">
                  <c:v>82.215000000000003</c:v>
                </c:pt>
                <c:pt idx="4">
                  <c:v>105.705</c:v>
                </c:pt>
                <c:pt idx="5">
                  <c:v>128.673</c:v>
                </c:pt>
                <c:pt idx="6">
                  <c:v>151.90199999999999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90-405A-A0F6-2F793A0DB232}"/>
            </c:ext>
          </c:extLst>
        </c:ser>
        <c:ser>
          <c:idx val="1"/>
          <c:order val="1"/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'rzeta_bkwd_fkr_dipsMiddle (2)'!$AR$117:$AR$123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(2)'!$BB$117:$BB$123</c:f>
              <c:numCache>
                <c:formatCode>0.0</c:formatCode>
                <c:ptCount val="7"/>
                <c:pt idx="0">
                  <c:v>20.059984991341175</c:v>
                </c:pt>
                <c:pt idx="1">
                  <c:v>40.666565611047574</c:v>
                </c:pt>
                <c:pt idx="2">
                  <c:v>61.819741859119205</c:v>
                </c:pt>
                <c:pt idx="3">
                  <c:v>83.519513735556075</c:v>
                </c:pt>
                <c:pt idx="4">
                  <c:v>105.76588124035815</c:v>
                </c:pt>
                <c:pt idx="5">
                  <c:v>128.55884437352552</c:v>
                </c:pt>
                <c:pt idx="6">
                  <c:v>151.89840313505803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90-405A-A0F6-2F793A0DB232}"/>
            </c:ext>
          </c:extLst>
        </c:ser>
        <c:ser>
          <c:idx val="2"/>
          <c:order val="2"/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'rzeta_bkwd_fkr_dipsMiddle (2)'!$AR$117:$AR$123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(2)'!$BG$117:$BG$123</c:f>
              <c:numCache>
                <c:formatCode>0.0</c:formatCode>
                <c:ptCount val="7"/>
                <c:pt idx="0">
                  <c:v>21.664606226104684</c:v>
                </c:pt>
                <c:pt idx="1">
                  <c:v>43.329212452209369</c:v>
                </c:pt>
                <c:pt idx="2">
                  <c:v>64.993818678314057</c:v>
                </c:pt>
                <c:pt idx="3">
                  <c:v>86.658424904418737</c:v>
                </c:pt>
                <c:pt idx="4">
                  <c:v>108.32303113052342</c:v>
                </c:pt>
                <c:pt idx="5">
                  <c:v>129.98763735662811</c:v>
                </c:pt>
                <c:pt idx="6">
                  <c:v>151.65224358273278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90-405A-A0F6-2F793A0DB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704176"/>
        <c:axId val="728169088"/>
      </c:scatterChart>
      <c:valAx>
        <c:axId val="114170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169088"/>
        <c:crosses val="autoZero"/>
        <c:crossBetween val="midCat"/>
      </c:valAx>
      <c:valAx>
        <c:axId val="7281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704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circle"/>
            <c:size val="3"/>
          </c:marker>
          <c:xVal>
            <c:numRef>
              <c:f>rzeta_bkwd_fkr_dipsMiddle!$G$66:$G$77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rzeta_bkwd_fkr_dipsMiddle!$L$66:$L$77</c:f>
              <c:numCache>
                <c:formatCode>0.0000</c:formatCode>
                <c:ptCount val="12"/>
                <c:pt idx="0">
                  <c:v>0.68959668962666554</c:v>
                </c:pt>
                <c:pt idx="1">
                  <c:v>0.53287016925696873</c:v>
                </c:pt>
                <c:pt idx="2">
                  <c:v>0.49107643049171634</c:v>
                </c:pt>
                <c:pt idx="3">
                  <c:v>0.49368853916454458</c:v>
                </c:pt>
                <c:pt idx="4">
                  <c:v>0.5140629868126052</c:v>
                </c:pt>
                <c:pt idx="5">
                  <c:v>0.570484534145696</c:v>
                </c:pt>
                <c:pt idx="6">
                  <c:v>0.62063702066399895</c:v>
                </c:pt>
                <c:pt idx="7">
                  <c:v>0.63944420310836259</c:v>
                </c:pt>
                <c:pt idx="8">
                  <c:v>0.65590048774718079</c:v>
                </c:pt>
                <c:pt idx="9">
                  <c:v>0.66452044636751406</c:v>
                </c:pt>
                <c:pt idx="10">
                  <c:v>0.67183435065143315</c:v>
                </c:pt>
                <c:pt idx="11">
                  <c:v>0.67929751828808538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4A-4E10-B6A2-48E1416A611E}"/>
            </c:ext>
          </c:extLst>
        </c:ser>
        <c:ser>
          <c:idx val="1"/>
          <c:order val="1"/>
          <c:spPr>
            <a:ln w="15875"/>
          </c:spPr>
          <c:marker>
            <c:symbol val="square"/>
            <c:size val="3"/>
          </c:marker>
          <c:xVal>
            <c:numRef>
              <c:f>rzeta_bkwd_fkr_dipsMiddle!$G$66:$G$77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rzeta_bkwd_fkr_dipsMiddle!$N$66:$N$77</c:f>
              <c:numCache>
                <c:formatCode>General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DE-444C-9107-907A5845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8"/>
          <c:min val="0.4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9685039370078"/>
          <c:y val="0.11158573928258968"/>
          <c:w val="0.82577537182852134"/>
          <c:h val="0.71687882764654431"/>
        </c:manualLayout>
      </c:layout>
      <c:scatterChart>
        <c:scatterStyle val="lineMarker"/>
        <c:varyColors val="0"/>
        <c:ser>
          <c:idx val="0"/>
          <c:order val="0"/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rzeta_bkwd_fkr_dipsMiddle!$L$281:$L$287</c:f>
              <c:numCache>
                <c:formatCode>0.0000</c:formatCode>
                <c:ptCount val="7"/>
                <c:pt idx="0">
                  <c:v>0</c:v>
                </c:pt>
                <c:pt idx="1">
                  <c:v>0.72859049754179905</c:v>
                </c:pt>
                <c:pt idx="2">
                  <c:v>0.72589799755088336</c:v>
                </c:pt>
                <c:pt idx="3">
                  <c:v>0.743129997492744</c:v>
                </c:pt>
                <c:pt idx="4">
                  <c:v>0.75928499743823863</c:v>
                </c:pt>
                <c:pt idx="5">
                  <c:v>0.77005499740190142</c:v>
                </c:pt>
                <c:pt idx="6">
                  <c:v>0.78559456877804368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47-4373-A76E-B6DDD657765B}"/>
            </c:ext>
          </c:extLst>
        </c:ser>
        <c:ser>
          <c:idx val="1"/>
          <c:order val="1"/>
          <c:spPr>
            <a:ln w="12700"/>
          </c:spPr>
          <c:marker>
            <c:symbol val="circle"/>
            <c:size val="3"/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rzeta_bkwd_fkr_dipsMiddle!$P$281:$P$287</c:f>
              <c:numCache>
                <c:formatCode>0.0000</c:formatCode>
                <c:ptCount val="7"/>
                <c:pt idx="0">
                  <c:v>0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47-4373-A76E-B6DDD6577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0"/>
        <c:majorTickMark val="out"/>
        <c:minorTickMark val="none"/>
        <c:tickLblPos val="nextTo"/>
        <c:spPr>
          <a:ln>
            <a:solidFill>
              <a:schemeClr val="accent1">
                <a:alpha val="94000"/>
              </a:schemeClr>
            </a:solidFill>
          </a:ln>
        </c:spPr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1651415194722"/>
          <c:y val="0.1388888888888889"/>
          <c:w val="0.84673658225154291"/>
          <c:h val="0.67516116709487772"/>
        </c:manualLayout>
      </c:layout>
      <c:scatterChart>
        <c:scatterStyle val="lineMarker"/>
        <c:varyColors val="0"/>
        <c:ser>
          <c:idx val="0"/>
          <c:order val="0"/>
          <c:tx>
            <c:strRef>
              <c:f>rzeta_bkwd_fkr_dipsMiddle!$BC$274</c:f>
              <c:strCache>
                <c:ptCount val="1"/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rzeta_bkwd_fkr_dipsMiddle!$BB$281:$BB$287</c:f>
              <c:numCache>
                <c:formatCode>General</c:formatCode>
                <c:ptCount val="7"/>
              </c:numCache>
            </c:numRef>
          </c:xVal>
          <c:yVal>
            <c:numRef>
              <c:f>rzeta_bkwd_fkr_dipsMiddle!$BD$281:$BD$287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8F-4A05-92FF-3F85AD37264E}"/>
            </c:ext>
          </c:extLst>
        </c:ser>
        <c:ser>
          <c:idx val="1"/>
          <c:order val="1"/>
          <c:tx>
            <c:strRef>
              <c:f>rzeta_bkwd_fkr_dipsMiddle!$BD$274</c:f>
              <c:strCache>
                <c:ptCount val="1"/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rzeta_bkwd_fkr_dipsMiddle!$P$281:$P$287</c:f>
              <c:numCache>
                <c:formatCode>0.0000</c:formatCode>
                <c:ptCount val="7"/>
                <c:pt idx="0">
                  <c:v>0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8F-4A05-92FF-3F85AD37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763024"/>
        <c:axId val="7592864"/>
      </c:scatterChart>
      <c:valAx>
        <c:axId val="2017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aseline="0"/>
                  <a:t>velocity   ips</a:t>
                </a:r>
              </a:p>
            </c:rich>
          </c:tx>
          <c:layout>
            <c:manualLayout>
              <c:xMode val="edge"/>
              <c:yMode val="edge"/>
              <c:x val="0.43580523515641628"/>
              <c:y val="0.90374751973410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2864"/>
        <c:crosses val="autoZero"/>
        <c:crossBetween val="midCat"/>
      </c:valAx>
      <c:valAx>
        <c:axId val="7592864"/>
        <c:scaling>
          <c:orientation val="minMax"/>
          <c:max val="0.8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aseline="0"/>
                  <a:t>r-zeta</a:t>
                </a:r>
              </a:p>
            </c:rich>
          </c:tx>
          <c:layout>
            <c:manualLayout>
              <c:xMode val="edge"/>
              <c:yMode val="edge"/>
              <c:x val="7.1021068312406895E-3"/>
              <c:y val="0.43083533099337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6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66133778732205"/>
          <c:y val="2.0404636920384953E-2"/>
          <c:w val="0.45383355205599296"/>
          <c:h val="6.8288130650335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rzeta_bkwd_fkr_dipsMiddle!$G$66:$G$71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rzeta_bkwd_fkr_dipsMiddle!$L$66:$L$71</c:f>
              <c:numCache>
                <c:formatCode>0.0000</c:formatCode>
                <c:ptCount val="6"/>
                <c:pt idx="0">
                  <c:v>0.68959668962666554</c:v>
                </c:pt>
                <c:pt idx="1">
                  <c:v>0.53287016925696873</c:v>
                </c:pt>
                <c:pt idx="2">
                  <c:v>0.49107643049171634</c:v>
                </c:pt>
                <c:pt idx="3">
                  <c:v>0.49368853916454458</c:v>
                </c:pt>
                <c:pt idx="4">
                  <c:v>0.5140629868126052</c:v>
                </c:pt>
                <c:pt idx="5">
                  <c:v>0.570484534145696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265-88DF-8EAC60F52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rzeta_bkwd_fkr_dipsMiddle!$G$235:$G$241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rzeta_bkwd_fkr_dipsMiddle!$L$235:$L$241</c:f>
              <c:numCache>
                <c:formatCode>0.0000</c:formatCode>
                <c:ptCount val="7"/>
                <c:pt idx="0">
                  <c:v>0</c:v>
                </c:pt>
                <c:pt idx="1">
                  <c:v>0.72859049754179905</c:v>
                </c:pt>
                <c:pt idx="2">
                  <c:v>0.72589799755088336</c:v>
                </c:pt>
                <c:pt idx="3">
                  <c:v>0.743129997492744</c:v>
                </c:pt>
                <c:pt idx="4">
                  <c:v>0.75928499743823863</c:v>
                </c:pt>
                <c:pt idx="5">
                  <c:v>0.77005499740190142</c:v>
                </c:pt>
                <c:pt idx="6">
                  <c:v>0.78559456877804368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2-4C30-8150-69B4F1C91343}"/>
            </c:ext>
          </c:extLst>
        </c:ser>
        <c:ser>
          <c:idx val="1"/>
          <c:order val="1"/>
          <c:xVal>
            <c:numRef>
              <c:f>rzeta_bkwd_fkr_dipsMiddle!$G$235:$G$241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rzeta_bkwd_fkr_dipsMiddle!$R$235:$R$241</c:f>
              <c:numCache>
                <c:formatCode>0.0000</c:formatCode>
                <c:ptCount val="7"/>
                <c:pt idx="0">
                  <c:v>0.78559456877804368</c:v>
                </c:pt>
                <c:pt idx="1">
                  <c:v>0.78559456877804368</c:v>
                </c:pt>
                <c:pt idx="2">
                  <c:v>0.78559456877804368</c:v>
                </c:pt>
                <c:pt idx="3">
                  <c:v>0.78559456877804368</c:v>
                </c:pt>
                <c:pt idx="4">
                  <c:v>0.78559456877804368</c:v>
                </c:pt>
                <c:pt idx="5">
                  <c:v>0.78559456877804368</c:v>
                </c:pt>
                <c:pt idx="6">
                  <c:v>0.78559456877804368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B2-4C30-8150-69B4F1C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rzeta_bkwd_fkr_dipsMiddle!$G$230:$G$235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rzeta_bkwd_fkr_dipsMiddle!$L$230:$L$235</c:f>
              <c:numCache>
                <c:formatCode>0.0000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8-4BAB-9DD7-C054C3BCE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rzeta_bkwd_fkr_dipsMiddle!$G$276:$G$281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rzeta_bkwd_fkr_dipsMiddle!$L$276:$L$281</c:f>
              <c:numCache>
                <c:formatCode>0.0000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25-46E4-8F0A-BB39BF82B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1651415194722"/>
          <c:y val="0.1388888888888889"/>
          <c:w val="0.84673658225154291"/>
          <c:h val="0.675161167094877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'rzeta_bkwd_fkr_dipsMiddle ( (3)'!$BC$137</c:f>
              <c:strCache>
                <c:ptCount val="1"/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(3)'!$BB$144:$BB$150</c:f>
              <c:numCache>
                <c:formatCode>General</c:formatCode>
                <c:ptCount val="7"/>
              </c:numCache>
            </c:numRef>
          </c:xVal>
          <c:yVal>
            <c:numRef>
              <c:f>'rzeta_bkwd_fkr_dipsMiddle ( (3)'!$BD$144:$BD$150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D7-4855-84D2-052EE9935681}"/>
            </c:ext>
          </c:extLst>
        </c:ser>
        <c:ser>
          <c:idx val="1"/>
          <c:order val="1"/>
          <c:tx>
            <c:strRef>
              <c:f>'rzeta_bkwd_fkr_dipsMiddle ( (3)'!$BD$137</c:f>
              <c:strCache>
                <c:ptCount val="1"/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(3)'!$P$144:$P$150</c:f>
              <c:numCache>
                <c:formatCode>0.0000</c:formatCode>
                <c:ptCount val="7"/>
                <c:pt idx="0">
                  <c:v>0.66379854394040161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D7-4855-84D2-052EE9935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763024"/>
        <c:axId val="7592864"/>
      </c:scatterChart>
      <c:valAx>
        <c:axId val="2017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aseline="0"/>
                  <a:t>velocity   ips</a:t>
                </a:r>
              </a:p>
            </c:rich>
          </c:tx>
          <c:layout>
            <c:manualLayout>
              <c:xMode val="edge"/>
              <c:yMode val="edge"/>
              <c:x val="0.43580523515641628"/>
              <c:y val="0.90374751973410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2864"/>
        <c:crosses val="autoZero"/>
        <c:crossBetween val="midCat"/>
      </c:valAx>
      <c:valAx>
        <c:axId val="7592864"/>
        <c:scaling>
          <c:orientation val="minMax"/>
          <c:max val="0.8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aseline="0"/>
                  <a:t>r-zeta</a:t>
                </a:r>
              </a:p>
            </c:rich>
          </c:tx>
          <c:layout>
            <c:manualLayout>
              <c:xMode val="edge"/>
              <c:yMode val="edge"/>
              <c:x val="7.1021068312406895E-3"/>
              <c:y val="0.43083533099337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6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66133778732205"/>
          <c:y val="2.0404636920384953E-2"/>
          <c:w val="0.45383355205599296"/>
          <c:h val="6.8288130650335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rzeta_bkwd_fkr_dipsMiddle!$P$281:$P$287</c:f>
              <c:numCache>
                <c:formatCode>0.0000</c:formatCode>
                <c:ptCount val="7"/>
                <c:pt idx="0">
                  <c:v>0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77-4D21-B763-7B1AFA02E94E}"/>
            </c:ext>
          </c:extLst>
        </c:ser>
        <c:ser>
          <c:idx val="1"/>
          <c:order val="1"/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rzeta_bkwd_fkr_dipsMiddle!$V$281:$V$287</c:f>
              <c:numCache>
                <c:formatCode>0.0000</c:formatCode>
                <c:ptCount val="7"/>
                <c:pt idx="0">
                  <c:v>0.69996476078123704</c:v>
                </c:pt>
                <c:pt idx="1">
                  <c:v>0.69996476078123704</c:v>
                </c:pt>
                <c:pt idx="2">
                  <c:v>0.69996476078123704</c:v>
                </c:pt>
                <c:pt idx="3">
                  <c:v>0.69996476078123704</c:v>
                </c:pt>
                <c:pt idx="4">
                  <c:v>0.69996476078123704</c:v>
                </c:pt>
                <c:pt idx="5">
                  <c:v>0.69996476078123704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77-4D21-B763-7B1AFA02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rzeta_bkwd_fkr_dipsMiddle!$G$71:$G$77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rzeta_bkwd_fkr_dipsMiddle!$I$71:$I$77</c:f>
              <c:numCache>
                <c:formatCode>General</c:formatCode>
                <c:ptCount val="7"/>
                <c:pt idx="0">
                  <c:v>18.2</c:v>
                </c:pt>
                <c:pt idx="1">
                  <c:v>39.6</c:v>
                </c:pt>
                <c:pt idx="2">
                  <c:v>61.2</c:v>
                </c:pt>
                <c:pt idx="3">
                  <c:v>83.7</c:v>
                </c:pt>
                <c:pt idx="4">
                  <c:v>106</c:v>
                </c:pt>
                <c:pt idx="5">
                  <c:v>128.6</c:v>
                </c:pt>
                <c:pt idx="6">
                  <c:v>151.69999999999999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BF-45EA-9F72-872A57B76CBE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rzeta_bkwd_fkr_dipsMiddle!$G$71:$G$77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rzeta_bkwd_fkr_dipsMiddle!$P$71:$P$77</c:f>
              <c:numCache>
                <c:formatCode>0.0</c:formatCode>
                <c:ptCount val="7"/>
                <c:pt idx="0">
                  <c:v>22.331364951910903</c:v>
                </c:pt>
                <c:pt idx="1">
                  <c:v>44.662729903821806</c:v>
                </c:pt>
                <c:pt idx="2">
                  <c:v>66.994094855732712</c:v>
                </c:pt>
                <c:pt idx="3">
                  <c:v>89.325459807643611</c:v>
                </c:pt>
                <c:pt idx="4">
                  <c:v>111.65682475955452</c:v>
                </c:pt>
                <c:pt idx="5">
                  <c:v>133.98818971146542</c:v>
                </c:pt>
                <c:pt idx="6">
                  <c:v>156.31955466337632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BF-45EA-9F72-872A57B76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rzeta_bkwd_fkr_dipsMiddle!$G$235:$G$241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rzeta_bkwd_fkr_dipsMiddle!$I$235:$I$241</c:f>
              <c:numCache>
                <c:formatCode>General</c:formatCode>
                <c:ptCount val="7"/>
                <c:pt idx="0" formatCode="0.00">
                  <c:v>0</c:v>
                </c:pt>
                <c:pt idx="1">
                  <c:v>45.099999999999994</c:v>
                </c:pt>
                <c:pt idx="2">
                  <c:v>67.400000000000006</c:v>
                </c:pt>
                <c:pt idx="3">
                  <c:v>92</c:v>
                </c:pt>
                <c:pt idx="4">
                  <c:v>117.5</c:v>
                </c:pt>
                <c:pt idx="5">
                  <c:v>143</c:v>
                </c:pt>
                <c:pt idx="6">
                  <c:v>170.2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74-4234-B251-0B72A8CEE235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rzeta_bkwd_fkr_dipsMiddle!$G$235:$G$241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rzeta_bkwd_fkr_dipsMiddle!$T$235:$T$241</c:f>
              <c:numCache>
                <c:formatCode>0.0</c:formatCode>
                <c:ptCount val="7"/>
                <c:pt idx="0">
                  <c:v>24.313709979918329</c:v>
                </c:pt>
                <c:pt idx="1">
                  <c:v>48.627419959836658</c:v>
                </c:pt>
                <c:pt idx="2">
                  <c:v>72.941129939754987</c:v>
                </c:pt>
                <c:pt idx="3">
                  <c:v>97.254839919673316</c:v>
                </c:pt>
                <c:pt idx="4">
                  <c:v>121.56854989959164</c:v>
                </c:pt>
                <c:pt idx="5">
                  <c:v>145.88225987950997</c:v>
                </c:pt>
                <c:pt idx="6">
                  <c:v>170.19596985942832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74-4234-B251-0B72A8CE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rzeta_bkwd_fkr_dipsMiddle!$M$281:$M$287</c:f>
              <c:numCache>
                <c:formatCode>0.00</c:formatCode>
                <c:ptCount val="7"/>
                <c:pt idx="0">
                  <c:v>0</c:v>
                </c:pt>
                <c:pt idx="1">
                  <c:v>40.184099999999994</c:v>
                </c:pt>
                <c:pt idx="2">
                  <c:v>60.053400000000003</c:v>
                </c:pt>
                <c:pt idx="3">
                  <c:v>81.972000000000008</c:v>
                </c:pt>
                <c:pt idx="4">
                  <c:v>104.6925</c:v>
                </c:pt>
                <c:pt idx="5">
                  <c:v>127.413</c:v>
                </c:pt>
                <c:pt idx="6">
                  <c:v>151.6482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AD-476B-B684-203E882B1665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rzeta_bkwd_fkr_dipsMiddle!$X$281:$X$287</c:f>
              <c:numCache>
                <c:formatCode>0.0</c:formatCode>
                <c:ptCount val="7"/>
                <c:pt idx="0">
                  <c:v>21.663515592107231</c:v>
                </c:pt>
                <c:pt idx="1">
                  <c:v>43.327031184214462</c:v>
                </c:pt>
                <c:pt idx="2">
                  <c:v>64.990546776321693</c:v>
                </c:pt>
                <c:pt idx="3">
                  <c:v>86.654062368428924</c:v>
                </c:pt>
                <c:pt idx="4">
                  <c:v>108.31757796053616</c:v>
                </c:pt>
                <c:pt idx="5">
                  <c:v>129.98109355264339</c:v>
                </c:pt>
                <c:pt idx="6">
                  <c:v>151.64460914475063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AD-476B-B684-203E882B1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7804070983892"/>
          <c:y val="0.20670069019150383"/>
          <c:w val="0.7948581743491826"/>
          <c:h val="0.57629629629629631"/>
        </c:manualLayout>
      </c:layout>
      <c:scatterChart>
        <c:scatterStyle val="lineMarker"/>
        <c:varyColors val="0"/>
        <c:ser>
          <c:idx val="0"/>
          <c:order val="0"/>
          <c:xVal>
            <c:numRef>
              <c:f>rzeta_bkwd_fkr_dipsMiddle!$G$304:$G$310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rzeta_bkwd_fkr_dipsMiddle!$L$304:$L$310</c:f>
              <c:numCache>
                <c:formatCode>0.00</c:formatCode>
                <c:ptCount val="7"/>
                <c:pt idx="0">
                  <c:v>0.70112699763445852</c:v>
                </c:pt>
                <c:pt idx="1">
                  <c:v>0.69951149763990905</c:v>
                </c:pt>
                <c:pt idx="2">
                  <c:v>0.70004999763809217</c:v>
                </c:pt>
                <c:pt idx="3">
                  <c:v>0.70031924763718378</c:v>
                </c:pt>
                <c:pt idx="4">
                  <c:v>0.69983459763881894</c:v>
                </c:pt>
                <c:pt idx="5">
                  <c:v>0.70004999763809217</c:v>
                </c:pt>
                <c:pt idx="6">
                  <c:v>0.70020385478043023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40-43E4-BDAE-16F90152B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9602885267023999"/>
              <c:y val="0.906141732283464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  <c:majorUnit val="10"/>
        <c:minorUnit val="5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0" baseline="0"/>
                </a:pPr>
                <a:r>
                  <a:rPr lang="en-US" sz="1050" b="0" baseline="0"/>
                  <a:t>r-zeta</a:t>
                </a:r>
              </a:p>
            </c:rich>
          </c:tx>
          <c:layout>
            <c:manualLayout>
              <c:xMode val="edge"/>
              <c:yMode val="edge"/>
              <c:x val="4.683780536138848E-4"/>
              <c:y val="0.4123797025371828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Linear r-zeta .70</a:t>
            </a:r>
          </a:p>
        </c:rich>
      </c:tx>
      <c:layout>
        <c:manualLayout>
          <c:xMode val="edge"/>
          <c:yMode val="edge"/>
          <c:x val="0.17207547683374086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99736560643668"/>
          <c:y val="0.17777777777777778"/>
          <c:w val="0.79736337060449369"/>
          <c:h val="0.63109273840769908"/>
        </c:manualLayout>
      </c:layout>
      <c:scatterChart>
        <c:scatterStyle val="lineMarker"/>
        <c:varyColors val="0"/>
        <c:ser>
          <c:idx val="0"/>
          <c:order val="0"/>
          <c:tx>
            <c:strRef>
              <c:f>rzeta_bkwd_fkr_dipsMiddle!$AM$296</c:f>
              <c:strCache>
                <c:ptCount val="1"/>
                <c:pt idx="0">
                  <c:v>r-zeta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rzeta_bkwd_fkr_dipsMiddle!$AI$303:$AI$309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rzeta_bkwd_fkr_dipsMiddle!$AM$303:$AM$309</c:f>
              <c:numCache>
                <c:formatCode>0.00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1F-4952-A66C-15A346503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  <c:max val="0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r-zeta</a:t>
                </a:r>
              </a:p>
            </c:rich>
          </c:tx>
          <c:layout>
            <c:manualLayout>
              <c:xMode val="edge"/>
              <c:yMode val="edge"/>
              <c:x val="3.0864197530864196E-3"/>
              <c:y val="0.37310192475940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70658591100073"/>
          <c:y val="1.4235783027121611E-2"/>
          <c:w val="0.25496944079164019"/>
          <c:h val="0.1255757874015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Linear reb force</a:t>
            </a:r>
          </a:p>
        </c:rich>
      </c:tx>
      <c:layout>
        <c:manualLayout>
          <c:xMode val="edge"/>
          <c:yMode val="edge"/>
          <c:x val="0.17207547683374086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99736560643668"/>
          <c:y val="0.17777777777777778"/>
          <c:w val="0.79736337060449369"/>
          <c:h val="0.63109273840769908"/>
        </c:manualLayout>
      </c:layout>
      <c:scatterChart>
        <c:scatterStyle val="lineMarker"/>
        <c:varyColors val="0"/>
        <c:ser>
          <c:idx val="0"/>
          <c:order val="0"/>
          <c:tx>
            <c:strRef>
              <c:f>rzeta_bkwd_fkr_dipsMiddle!$AJ$296</c:f>
              <c:strCache>
                <c:ptCount val="1"/>
                <c:pt idx="0">
                  <c:v>linear reb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rzeta_bkwd_fkr_dipsMiddle!$AI$303:$AI$309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rzeta_bkwd_fkr_dipsMiddle!$AJ$303:$AJ$309</c:f>
              <c:numCache>
                <c:formatCode>0.0</c:formatCode>
                <c:ptCount val="7"/>
                <c:pt idx="0">
                  <c:v>21.7</c:v>
                </c:pt>
                <c:pt idx="1">
                  <c:v>43.3</c:v>
                </c:pt>
                <c:pt idx="2">
                  <c:v>65</c:v>
                </c:pt>
                <c:pt idx="3">
                  <c:v>86.7</c:v>
                </c:pt>
                <c:pt idx="4">
                  <c:v>108.3</c:v>
                </c:pt>
                <c:pt idx="5">
                  <c:v>130</c:v>
                </c:pt>
                <c:pt idx="6">
                  <c:v>151.69999999999999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31-43D3-AFEE-756B635C0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r-zeta</a:t>
                </a:r>
              </a:p>
            </c:rich>
          </c:tx>
          <c:layout>
            <c:manualLayout>
              <c:xMode val="edge"/>
              <c:yMode val="edge"/>
              <c:x val="3.0864197530864196E-3"/>
              <c:y val="0.37310192475940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4732440150788"/>
          <c:y val="2.1180008748906385E-2"/>
          <c:w val="0.32595711236441932"/>
          <c:h val="0.1255757874015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Proposed</a:t>
            </a:r>
            <a:r>
              <a:rPr lang="en-US" sz="1300" baseline="0"/>
              <a:t> r-zeta curve</a:t>
            </a:r>
            <a:endParaRPr lang="en-US" sz="1300"/>
          </a:p>
        </c:rich>
      </c:tx>
      <c:layout>
        <c:manualLayout>
          <c:xMode val="edge"/>
          <c:yMode val="edge"/>
          <c:x val="2.9379738990959463E-2"/>
          <c:y val="3.70384951881014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13761300670751"/>
          <c:y val="0.16759273840769903"/>
          <c:w val="0.82952245552639259"/>
          <c:h val="0.64590769903762024"/>
        </c:manualLayout>
      </c:layout>
      <c:scatterChart>
        <c:scatterStyle val="lineMarker"/>
        <c:varyColors val="0"/>
        <c:ser>
          <c:idx val="0"/>
          <c:order val="0"/>
          <c:tx>
            <c:strRef>
              <c:f>rzeta_bkwd_fkr_dipsMiddle!$V$280</c:f>
              <c:strCache>
                <c:ptCount val="1"/>
                <c:pt idx="0">
                  <c:v>linear r-zeta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rzeta_bkwd_fkr_dipsMiddle!$V$281:$V$287</c:f>
              <c:numCache>
                <c:formatCode>0.0000</c:formatCode>
                <c:ptCount val="7"/>
                <c:pt idx="0">
                  <c:v>0.69996476078123704</c:v>
                </c:pt>
                <c:pt idx="1">
                  <c:v>0.69996476078123704</c:v>
                </c:pt>
                <c:pt idx="2">
                  <c:v>0.69996476078123704</c:v>
                </c:pt>
                <c:pt idx="3">
                  <c:v>0.69996476078123704</c:v>
                </c:pt>
                <c:pt idx="4">
                  <c:v>0.69996476078123704</c:v>
                </c:pt>
                <c:pt idx="5">
                  <c:v>0.69996476078123704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6-44AC-B165-7679F6A14D8A}"/>
            </c:ext>
          </c:extLst>
        </c:ser>
        <c:ser>
          <c:idx val="1"/>
          <c:order val="1"/>
          <c:tx>
            <c:strRef>
              <c:f>rzeta_bkwd_fkr_dipsMiddle!$Q$280</c:f>
              <c:strCache>
                <c:ptCount val="1"/>
                <c:pt idx="0">
                  <c:v>straight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rzeta_bkwd_fkr_dipsMiddle!$Q$281:$Q$287</c:f>
              <c:numCache>
                <c:formatCode>0.0000</c:formatCode>
                <c:ptCount val="7"/>
                <c:pt idx="0">
                  <c:v>0</c:v>
                </c:pt>
                <c:pt idx="1">
                  <c:v>0.1166607934635395</c:v>
                </c:pt>
                <c:pt idx="2">
                  <c:v>0.23332158692707899</c:v>
                </c:pt>
                <c:pt idx="3">
                  <c:v>0.34998238039061852</c:v>
                </c:pt>
                <c:pt idx="4">
                  <c:v>0.46664317385415799</c:v>
                </c:pt>
                <c:pt idx="5">
                  <c:v>0.58330396731769762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6-44AC-B165-7679F6A14D8A}"/>
            </c:ext>
          </c:extLst>
        </c:ser>
        <c:ser>
          <c:idx val="2"/>
          <c:order val="2"/>
          <c:tx>
            <c:strRef>
              <c:f>rzeta_bkwd_fkr_dipsMiddle!$P$275</c:f>
              <c:strCache>
                <c:ptCount val="1"/>
                <c:pt idx="0">
                  <c:v>proposed r-zeta dips at 30ips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rzeta_bkwd_fkr_dipsMiddle!$P$281:$P$287</c:f>
              <c:numCache>
                <c:formatCode>0.0000</c:formatCode>
                <c:ptCount val="7"/>
                <c:pt idx="0">
                  <c:v>0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D6-44AC-B165-7679F6A1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  <c:max val="0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r-zeta</a:t>
                </a:r>
              </a:p>
            </c:rich>
          </c:tx>
          <c:layout>
            <c:manualLayout>
              <c:xMode val="edge"/>
              <c:yMode val="edge"/>
              <c:x val="7.685064437186891E-3"/>
              <c:y val="0.424027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01023483175712"/>
          <c:y val="1.4235928842228055E-2"/>
          <c:w val="0.66339120804343898"/>
          <c:h val="8.91145377661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Proposed</a:t>
            </a:r>
            <a:r>
              <a:rPr lang="en-US" sz="1300" baseline="0"/>
              <a:t> reb curve</a:t>
            </a:r>
            <a:endParaRPr lang="en-US" sz="1300"/>
          </a:p>
        </c:rich>
      </c:tx>
      <c:layout>
        <c:manualLayout>
          <c:xMode val="edge"/>
          <c:yMode val="edge"/>
          <c:x val="2.9379738990959463E-2"/>
          <c:y val="3.70384951881014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05827396575429"/>
          <c:y val="0.14444444444444443"/>
          <c:w val="0.81960184664416946"/>
          <c:h val="0.66905584718576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rzeta_bkwd_fkr_dipsMiddle!$AJ$296</c:f>
              <c:strCache>
                <c:ptCount val="1"/>
                <c:pt idx="0">
                  <c:v>linear reb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rzeta_bkwd_fkr_dipsMiddle!$AI$303:$AI$309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rzeta_bkwd_fkr_dipsMiddle!$AJ$303:$AJ$309</c:f>
              <c:numCache>
                <c:formatCode>0.0</c:formatCode>
                <c:ptCount val="7"/>
                <c:pt idx="0">
                  <c:v>21.7</c:v>
                </c:pt>
                <c:pt idx="1">
                  <c:v>43.3</c:v>
                </c:pt>
                <c:pt idx="2">
                  <c:v>65</c:v>
                </c:pt>
                <c:pt idx="3">
                  <c:v>86.7</c:v>
                </c:pt>
                <c:pt idx="4">
                  <c:v>108.3</c:v>
                </c:pt>
                <c:pt idx="5">
                  <c:v>130</c:v>
                </c:pt>
                <c:pt idx="6">
                  <c:v>151.69999999999999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AB-4C32-A133-885775235572}"/>
            </c:ext>
          </c:extLst>
        </c:ser>
        <c:ser>
          <c:idx val="2"/>
          <c:order val="1"/>
          <c:tx>
            <c:strRef>
              <c:f>rzeta_bkwd_fkr_dipsMiddle!$M$274</c:f>
              <c:strCache>
                <c:ptCount val="1"/>
                <c:pt idx="0">
                  <c:v>proposed reb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rzeta_bkwd_fkr_dipsMiddle!$G$281:$G$287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rzeta_bkwd_fkr_dipsMiddle!$M$281:$M$287</c:f>
              <c:numCache>
                <c:formatCode>0.00</c:formatCode>
                <c:ptCount val="7"/>
                <c:pt idx="0">
                  <c:v>0</c:v>
                </c:pt>
                <c:pt idx="1">
                  <c:v>40.184099999999994</c:v>
                </c:pt>
                <c:pt idx="2">
                  <c:v>60.053400000000003</c:v>
                </c:pt>
                <c:pt idx="3">
                  <c:v>81.972000000000008</c:v>
                </c:pt>
                <c:pt idx="4">
                  <c:v>104.6925</c:v>
                </c:pt>
                <c:pt idx="5">
                  <c:v>127.413</c:v>
                </c:pt>
                <c:pt idx="6">
                  <c:v>151.6482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AB-4C32-A133-885775235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velocity [in/sec]</a:t>
                </a:r>
              </a:p>
            </c:rich>
          </c:tx>
          <c:layout>
            <c:manualLayout>
              <c:xMode val="edge"/>
              <c:yMode val="edge"/>
              <c:x val="0.40323150578399924"/>
              <c:y val="0.91552755905511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50"/>
                  <a:t>reb</a:t>
                </a:r>
                <a:r>
                  <a:rPr lang="en-US" sz="1150" baseline="0"/>
                  <a:t> force [lbf]</a:t>
                </a:r>
                <a:endParaRPr lang="en-US" sz="1150"/>
              </a:p>
            </c:rich>
          </c:tx>
          <c:layout>
            <c:manualLayout>
              <c:xMode val="edge"/>
              <c:yMode val="edge"/>
              <c:x val="7.685064437186891E-3"/>
              <c:y val="0.424027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44356955380582"/>
          <c:y val="1.4235928842228055E-2"/>
          <c:w val="0.41895778652668425"/>
          <c:h val="8.91145377661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14727628080073893"/>
          <c:w val="0.84207210452670056"/>
          <c:h val="0.73448580116898132"/>
        </c:manualLayout>
      </c:layout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circle"/>
            <c:size val="3"/>
          </c:marker>
          <c:xVal>
            <c:numRef>
              <c:f>rzeta_bkwd_fkr_dipsMiddle!$G$126:$G$137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rzeta_bkwd_fkr_dipsMiddle!$L$126:$L$137</c:f>
              <c:numCache>
                <c:formatCode>0.0000</c:formatCode>
                <c:ptCount val="12"/>
                <c:pt idx="0">
                  <c:v>0.77543999738373293</c:v>
                </c:pt>
                <c:pt idx="1">
                  <c:v>0.62196749790153583</c:v>
                </c:pt>
                <c:pt idx="2">
                  <c:v>0.58157999803779969</c:v>
                </c:pt>
                <c:pt idx="3">
                  <c:v>0.57754124805142615</c:v>
                </c:pt>
                <c:pt idx="4">
                  <c:v>0.5977349979832941</c:v>
                </c:pt>
                <c:pt idx="5">
                  <c:v>0.64296899783067851</c:v>
                </c:pt>
                <c:pt idx="6">
                  <c:v>0.67204799773256862</c:v>
                </c:pt>
                <c:pt idx="7">
                  <c:v>0.68174099769986518</c:v>
                </c:pt>
                <c:pt idx="8">
                  <c:v>0.68658749768351357</c:v>
                </c:pt>
                <c:pt idx="9">
                  <c:v>0.69143399766716196</c:v>
                </c:pt>
                <c:pt idx="10">
                  <c:v>0.69574199765262712</c:v>
                </c:pt>
                <c:pt idx="11">
                  <c:v>0.70389642619654325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5-441D-9B30-B95710E6DEF1}"/>
            </c:ext>
          </c:extLst>
        </c:ser>
        <c:ser>
          <c:idx val="1"/>
          <c:order val="1"/>
          <c:spPr>
            <a:ln w="15875"/>
          </c:spPr>
          <c:marker>
            <c:symbol val="square"/>
            <c:size val="3"/>
          </c:marker>
          <c:xVal>
            <c:numRef>
              <c:f>rzeta_bkwd_fkr_dipsMiddle!$G$126:$G$137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rzeta_bkwd_fkr_dipsMiddle!$N$126:$N$137</c:f>
              <c:numCache>
                <c:formatCode>General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25-441D-9B30-B95710E6D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in val="0.30000000000000004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(3)'!$G$47:$G$52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'rzeta_bkwd_fkr_dipsMiddle ( (3)'!$L$47:$L$52</c:f>
              <c:numCache>
                <c:formatCode>0.0000</c:formatCode>
                <c:ptCount val="6"/>
                <c:pt idx="0">
                  <c:v>0.78513299735102959</c:v>
                </c:pt>
                <c:pt idx="1">
                  <c:v>0.69547274765353551</c:v>
                </c:pt>
                <c:pt idx="2">
                  <c:v>0.65740079778198701</c:v>
                </c:pt>
                <c:pt idx="3">
                  <c:v>0.6427266728314962</c:v>
                </c:pt>
                <c:pt idx="4">
                  <c:v>0.65686229778380389</c:v>
                </c:pt>
                <c:pt idx="5">
                  <c:v>0.74500397748642166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C-4F1A-81C5-8AA410D94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rzeta_bkwd_fkr_dipsMiddle!$G$131:$G$137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rzeta_bkwd_fkr_dipsMiddle!$I$131:$I$137</c:f>
              <c:numCache>
                <c:formatCode>0.00</c:formatCode>
                <c:ptCount val="7"/>
                <c:pt idx="0">
                  <c:v>19.899999999999999</c:v>
                </c:pt>
                <c:pt idx="1">
                  <c:v>41.6</c:v>
                </c:pt>
                <c:pt idx="2">
                  <c:v>63.3</c:v>
                </c:pt>
                <c:pt idx="3">
                  <c:v>85</c:v>
                </c:pt>
                <c:pt idx="4">
                  <c:v>107</c:v>
                </c:pt>
                <c:pt idx="5">
                  <c:v>129.19999999999999</c:v>
                </c:pt>
                <c:pt idx="6">
                  <c:v>152.5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31-489F-B70E-23B849A03601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rzeta_bkwd_fkr_dipsMiddle!$G$131:$G$137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rzeta_bkwd_fkr_dipsMiddle!$P$131:$P$137</c:f>
              <c:numCache>
                <c:formatCode>0.0</c:formatCode>
                <c:ptCount val="7"/>
                <c:pt idx="0">
                  <c:v>21.664606226104684</c:v>
                </c:pt>
                <c:pt idx="1">
                  <c:v>43.329212452209369</c:v>
                </c:pt>
                <c:pt idx="2">
                  <c:v>64.993818678314057</c:v>
                </c:pt>
                <c:pt idx="3">
                  <c:v>86.658424904418737</c:v>
                </c:pt>
                <c:pt idx="4">
                  <c:v>108.32303113052342</c:v>
                </c:pt>
                <c:pt idx="5">
                  <c:v>129.98763735662811</c:v>
                </c:pt>
                <c:pt idx="6">
                  <c:v>151.65224358273278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31-489F-B70E-23B849A0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5875"/>
          </c:spPr>
          <c:marker>
            <c:symbol val="circle"/>
            <c:size val="3"/>
          </c:marker>
          <c:xVal>
            <c:numRef>
              <c:f>rzeta_bkwd_fkr_dipsMiddle!$G$180:$G$191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rzeta_bkwd_fkr_dipsMiddle!$L$180:$L$191</c:f>
              <c:numCache>
                <c:formatCode>0.0000</c:formatCode>
                <c:ptCount val="12"/>
                <c:pt idx="0">
                  <c:v>0.84005999716571078</c:v>
                </c:pt>
                <c:pt idx="1">
                  <c:v>0.69466499765626077</c:v>
                </c:pt>
                <c:pt idx="2">
                  <c:v>0.65696999778344034</c:v>
                </c:pt>
                <c:pt idx="3">
                  <c:v>0.65427749779252464</c:v>
                </c:pt>
                <c:pt idx="4">
                  <c:v>0.66558599775437077</c:v>
                </c:pt>
                <c:pt idx="5">
                  <c:v>0.6978959976453597</c:v>
                </c:pt>
                <c:pt idx="6">
                  <c:v>0.69838064764372443</c:v>
                </c:pt>
                <c:pt idx="7">
                  <c:v>0.69886529764208927</c:v>
                </c:pt>
                <c:pt idx="8">
                  <c:v>0.69910762264127169</c:v>
                </c:pt>
                <c:pt idx="9">
                  <c:v>0.69983459763881894</c:v>
                </c:pt>
                <c:pt idx="10">
                  <c:v>0.70004999763809217</c:v>
                </c:pt>
                <c:pt idx="11">
                  <c:v>0.70066542620744443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B-4C71-B2C4-DBB2ACF6D4B6}"/>
            </c:ext>
          </c:extLst>
        </c:ser>
        <c:ser>
          <c:idx val="1"/>
          <c:order val="1"/>
          <c:spPr>
            <a:ln w="15875"/>
          </c:spPr>
          <c:marker>
            <c:symbol val="square"/>
            <c:size val="3"/>
          </c:marker>
          <c:xVal>
            <c:numRef>
              <c:f>rzeta_bkwd_fkr_dipsMiddle!$G$180:$G$191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rzeta_bkwd_fkr_dipsMiddle!$N$180:$N$191</c:f>
              <c:numCache>
                <c:formatCode>General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B-4C71-B2C4-DBB2ACF6D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in val="0.55000000000000004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rzeta_bkwd_fkr_dipsMiddle!$G$185:$G$191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rzeta_bkwd_fkr_dipsMiddle!$I$185:$I$191</c:f>
              <c:numCache>
                <c:formatCode>0.00</c:formatCode>
                <c:ptCount val="7"/>
                <c:pt idx="0">
                  <c:v>21.6</c:v>
                </c:pt>
                <c:pt idx="1">
                  <c:v>43.23</c:v>
                </c:pt>
                <c:pt idx="2">
                  <c:v>64.89</c:v>
                </c:pt>
                <c:pt idx="3">
                  <c:v>86.55</c:v>
                </c:pt>
                <c:pt idx="4">
                  <c:v>108.3</c:v>
                </c:pt>
                <c:pt idx="5">
                  <c:v>130</c:v>
                </c:pt>
                <c:pt idx="6">
                  <c:v>151.80000000000001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2-4A92-9FF9-54795AB0F691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rzeta_bkwd_fkr_dipsMiddle!$G$185:$G$191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rzeta_bkwd_fkr_dipsMiddle!$P$185:$P$191</c:f>
              <c:numCache>
                <c:formatCode>0.0</c:formatCode>
                <c:ptCount val="7"/>
                <c:pt idx="0">
                  <c:v>21.664606226104684</c:v>
                </c:pt>
                <c:pt idx="1">
                  <c:v>43.329212452209369</c:v>
                </c:pt>
                <c:pt idx="2">
                  <c:v>64.993818678314057</c:v>
                </c:pt>
                <c:pt idx="3">
                  <c:v>86.658424904418737</c:v>
                </c:pt>
                <c:pt idx="4">
                  <c:v>108.32303113052342</c:v>
                </c:pt>
                <c:pt idx="5">
                  <c:v>129.98763735662811</c:v>
                </c:pt>
                <c:pt idx="6">
                  <c:v>151.65224358273278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22-4A92-9FF9-54795AB0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rzeta_bkwd_fkr_dipsMiddle!$G$70:$G$77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rzeta_bkwd_fkr_dipsMiddle!$L$70:$L$77</c:f>
              <c:numCache>
                <c:formatCode>0.0000</c:formatCode>
                <c:ptCount val="8"/>
                <c:pt idx="0">
                  <c:v>0.5140629868126052</c:v>
                </c:pt>
                <c:pt idx="1">
                  <c:v>0.570484534145696</c:v>
                </c:pt>
                <c:pt idx="2">
                  <c:v>0.62063702066399895</c:v>
                </c:pt>
                <c:pt idx="3">
                  <c:v>0.63944420310836259</c:v>
                </c:pt>
                <c:pt idx="4">
                  <c:v>0.65590048774718079</c:v>
                </c:pt>
                <c:pt idx="5">
                  <c:v>0.66452044636751406</c:v>
                </c:pt>
                <c:pt idx="6">
                  <c:v>0.67183435065143315</c:v>
                </c:pt>
                <c:pt idx="7">
                  <c:v>0.67929751828808538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DC-4FFC-92B2-83D7D87E5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511887"/>
        <c:axId val="1921368063"/>
      </c:scatterChart>
      <c:valAx>
        <c:axId val="1409511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368063"/>
        <c:crosses val="autoZero"/>
        <c:crossBetween val="midCat"/>
      </c:valAx>
      <c:valAx>
        <c:axId val="19213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511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rzeta_bkwd_fkr_dipsMiddle!$G$130:$G$137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rzeta_bkwd_fkr_dipsMiddle!$L$130:$L$137</c:f>
              <c:numCache>
                <c:formatCode>0.0000</c:formatCode>
                <c:ptCount val="8"/>
                <c:pt idx="0">
                  <c:v>0.5977349979832941</c:v>
                </c:pt>
                <c:pt idx="1">
                  <c:v>0.64296899783067851</c:v>
                </c:pt>
                <c:pt idx="2">
                  <c:v>0.67204799773256862</c:v>
                </c:pt>
                <c:pt idx="3">
                  <c:v>0.68174099769986518</c:v>
                </c:pt>
                <c:pt idx="4">
                  <c:v>0.68658749768351357</c:v>
                </c:pt>
                <c:pt idx="5">
                  <c:v>0.69143399766716196</c:v>
                </c:pt>
                <c:pt idx="6">
                  <c:v>0.69574199765262712</c:v>
                </c:pt>
                <c:pt idx="7">
                  <c:v>0.70389642619654325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7-41CA-B44D-887E08A9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902975"/>
        <c:axId val="1929365215"/>
      </c:scatterChart>
      <c:valAx>
        <c:axId val="168990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365215"/>
        <c:crosses val="autoZero"/>
        <c:crossBetween val="midCat"/>
      </c:valAx>
      <c:valAx>
        <c:axId val="192936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902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czeta_bkwd_fkc_USE!$G$29:$G$40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czeta_bkwd_fkc_USE!$K$29:$K$40</c:f>
              <c:numCache>
                <c:formatCode>0.0000</c:formatCode>
                <c:ptCount val="12"/>
                <c:pt idx="0">
                  <c:v>0.14799525884429615</c:v>
                </c:pt>
                <c:pt idx="1">
                  <c:v>0.13484360040932766</c:v>
                </c:pt>
                <c:pt idx="2">
                  <c:v>0.1287566000572182</c:v>
                </c:pt>
                <c:pt idx="3">
                  <c:v>0.12443576422582353</c:v>
                </c:pt>
                <c:pt idx="4">
                  <c:v>0.12082139420271477</c:v>
                </c:pt>
                <c:pt idx="5">
                  <c:v>0.10592864022445746</c:v>
                </c:pt>
                <c:pt idx="6">
                  <c:v>8.6490198117280481E-2</c:v>
                </c:pt>
                <c:pt idx="7">
                  <c:v>8.0997416544903569E-2</c:v>
                </c:pt>
                <c:pt idx="8">
                  <c:v>7.9900750225551681E-2</c:v>
                </c:pt>
                <c:pt idx="9">
                  <c:v>8.0562530007409802E-2</c:v>
                </c:pt>
                <c:pt idx="10">
                  <c:v>8.2103532839872928E-2</c:v>
                </c:pt>
                <c:pt idx="11">
                  <c:v>8.4146948844110364E-2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CC-4AA8-A0DD-4A7AFF681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48512"/>
        <c:axId val="102050048"/>
      </c:scatterChart>
      <c:valAx>
        <c:axId val="10204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050048"/>
        <c:crosses val="autoZero"/>
        <c:crossBetween val="midCat"/>
      </c:valAx>
      <c:valAx>
        <c:axId val="102050048"/>
        <c:scaling>
          <c:orientation val="minMax"/>
          <c:max val="0.2"/>
          <c:min val="0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2048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'czeta_bkwd_fkc_USE-goodcopy'!$E$20:$E$31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'czeta_bkwd_fkc_USE-goodcopy'!$J$20:$J$31</c:f>
              <c:numCache>
                <c:formatCode>0.0000</c:formatCode>
                <c:ptCount val="12"/>
                <c:pt idx="0">
                  <c:v>8.4357297541248794E-2</c:v>
                </c:pt>
                <c:pt idx="1">
                  <c:v>7.6860852233316734E-2</c:v>
                </c:pt>
                <c:pt idx="2">
                  <c:v>7.3391262032614382E-2</c:v>
                </c:pt>
                <c:pt idx="3">
                  <c:v>7.0928385608719405E-2</c:v>
                </c:pt>
                <c:pt idx="4">
                  <c:v>6.8868194695547405E-2</c:v>
                </c:pt>
                <c:pt idx="5">
                  <c:v>6.0379324927940743E-2</c:v>
                </c:pt>
                <c:pt idx="6">
                  <c:v>4.9299412926849862E-2</c:v>
                </c:pt>
                <c:pt idx="7">
                  <c:v>4.6168527430595033E-2</c:v>
                </c:pt>
                <c:pt idx="8">
                  <c:v>4.5543427628564455E-2</c:v>
                </c:pt>
                <c:pt idx="9">
                  <c:v>4.5920642104223586E-2</c:v>
                </c:pt>
                <c:pt idx="10">
                  <c:v>4.6799013718727564E-2</c:v>
                </c:pt>
                <c:pt idx="11">
                  <c:v>4.79637608411429E-2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14-4E9E-A125-3652395F2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34656"/>
        <c:axId val="105336192"/>
      </c:scatterChart>
      <c:valAx>
        <c:axId val="1053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36192"/>
        <c:crosses val="autoZero"/>
        <c:crossBetween val="midCat"/>
      </c:valAx>
      <c:valAx>
        <c:axId val="105336192"/>
        <c:scaling>
          <c:orientation val="minMax"/>
          <c:max val="0.2"/>
          <c:min val="0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34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rzeta_bkwd_fkr_USE!$G$22:$G$33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rzeta_bkwd_fkr_USE!$L$22:$L$33</c:f>
              <c:numCache>
                <c:formatCode>0.00</c:formatCode>
                <c:ptCount val="12"/>
                <c:pt idx="0">
                  <c:v>0.54926999814681077</c:v>
                </c:pt>
                <c:pt idx="1">
                  <c:v>0.54926999814681077</c:v>
                </c:pt>
                <c:pt idx="2">
                  <c:v>0.55034699814317722</c:v>
                </c:pt>
                <c:pt idx="3">
                  <c:v>0.5500777481440855</c:v>
                </c:pt>
                <c:pt idx="4">
                  <c:v>0.54991619814463055</c:v>
                </c:pt>
                <c:pt idx="5">
                  <c:v>0.54991619814463055</c:v>
                </c:pt>
                <c:pt idx="6">
                  <c:v>0.54991619814463055</c:v>
                </c:pt>
                <c:pt idx="7">
                  <c:v>0.55002389814426722</c:v>
                </c:pt>
                <c:pt idx="8">
                  <c:v>0.54999697314435814</c:v>
                </c:pt>
                <c:pt idx="9">
                  <c:v>0.54998081814441258</c:v>
                </c:pt>
                <c:pt idx="10">
                  <c:v>0.54997004814444894</c:v>
                </c:pt>
                <c:pt idx="11">
                  <c:v>0.55000851243003335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28-43C1-8801-17453A56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8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'rzeta_bkwd_fkr_dipsMiddle ( (3)'!$G$98:$G$104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(3)'!$L$98:$L$104</c:f>
              <c:numCache>
                <c:formatCode>0.0000</c:formatCode>
                <c:ptCount val="7"/>
                <c:pt idx="0">
                  <c:v>0.74500397748642166</c:v>
                </c:pt>
                <c:pt idx="1">
                  <c:v>0.72859049754179905</c:v>
                </c:pt>
                <c:pt idx="2">
                  <c:v>0.72589799755088336</c:v>
                </c:pt>
                <c:pt idx="3">
                  <c:v>0.743129997492744</c:v>
                </c:pt>
                <c:pt idx="4">
                  <c:v>0.75928499743823863</c:v>
                </c:pt>
                <c:pt idx="5">
                  <c:v>0.77005499740190142</c:v>
                </c:pt>
                <c:pt idx="6">
                  <c:v>0.78559456877804368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54-4A0A-88B0-28FD7A9D4866}"/>
            </c:ext>
          </c:extLst>
        </c:ser>
        <c:ser>
          <c:idx val="1"/>
          <c:order val="1"/>
          <c:xVal>
            <c:numRef>
              <c:f>'rzeta_bkwd_fkr_dipsMiddle ( (3)'!$G$98:$G$104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(3)'!$R$98:$R$104</c:f>
              <c:numCache>
                <c:formatCode>0.0000</c:formatCode>
                <c:ptCount val="7"/>
                <c:pt idx="0">
                  <c:v>0.78559456877804368</c:v>
                </c:pt>
                <c:pt idx="1">
                  <c:v>0.78559456877804368</c:v>
                </c:pt>
                <c:pt idx="2">
                  <c:v>0.78559456877804368</c:v>
                </c:pt>
                <c:pt idx="3">
                  <c:v>0.78559456877804368</c:v>
                </c:pt>
                <c:pt idx="4">
                  <c:v>0.78559456877804368</c:v>
                </c:pt>
                <c:pt idx="5">
                  <c:v>0.78559456877804368</c:v>
                </c:pt>
                <c:pt idx="6">
                  <c:v>0.78559456877804368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54-4A0A-88B0-28FD7A9D4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(3)'!$G$93:$G$98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'rzeta_bkwd_fkr_dipsMiddle ( (3)'!$L$93:$L$98</c:f>
              <c:numCache>
                <c:formatCode>0.0000</c:formatCode>
                <c:ptCount val="6"/>
                <c:pt idx="0">
                  <c:v>0.78513299735102959</c:v>
                </c:pt>
                <c:pt idx="1">
                  <c:v>0.69547274765353551</c:v>
                </c:pt>
                <c:pt idx="2">
                  <c:v>0.65740079778198701</c:v>
                </c:pt>
                <c:pt idx="3">
                  <c:v>0.6427266728314962</c:v>
                </c:pt>
                <c:pt idx="4">
                  <c:v>0.65686229778380389</c:v>
                </c:pt>
                <c:pt idx="5">
                  <c:v>0.74500397748642166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18-4C77-8484-C594364D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'rzeta_bkwd_fkr_dipsMiddle ( (3)'!$G$139:$G$144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'rzeta_bkwd_fkr_dipsMiddle ( (3)'!$L$139:$L$144</c:f>
              <c:numCache>
                <c:formatCode>0.0000</c:formatCode>
                <c:ptCount val="6"/>
                <c:pt idx="0">
                  <c:v>0.78513299735102959</c:v>
                </c:pt>
                <c:pt idx="1">
                  <c:v>0.69547274765353551</c:v>
                </c:pt>
                <c:pt idx="2">
                  <c:v>0.65740079778198701</c:v>
                </c:pt>
                <c:pt idx="3">
                  <c:v>0.6427266728314962</c:v>
                </c:pt>
                <c:pt idx="4">
                  <c:v>0.65686229778380389</c:v>
                </c:pt>
                <c:pt idx="5">
                  <c:v>0.74500397748642166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99-41F8-ADFD-256B7434A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537360"/>
        <c:axId val="628254384"/>
      </c:scatterChart>
      <c:valAx>
        <c:axId val="117653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254384"/>
        <c:crosses val="autoZero"/>
        <c:crossBetween val="midCat"/>
      </c:valAx>
      <c:valAx>
        <c:axId val="628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53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(3)'!$P$144:$P$150</c:f>
              <c:numCache>
                <c:formatCode>0.0000</c:formatCode>
                <c:ptCount val="7"/>
                <c:pt idx="0">
                  <c:v>0.66379854394040161</c:v>
                </c:pt>
                <c:pt idx="1">
                  <c:v>0.64917413330974283</c:v>
                </c:pt>
                <c:pt idx="2">
                  <c:v>0.64677511581783709</c:v>
                </c:pt>
                <c:pt idx="3">
                  <c:v>0.66212882776603499</c:v>
                </c:pt>
                <c:pt idx="4">
                  <c:v>0.67652293271747044</c:v>
                </c:pt>
                <c:pt idx="5">
                  <c:v>0.68611900268509418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6E-4A10-8E91-36FC0E9CB0F4}"/>
            </c:ext>
          </c:extLst>
        </c:ser>
        <c:ser>
          <c:idx val="1"/>
          <c:order val="1"/>
          <c:xVal>
            <c:numRef>
              <c:f>'rzeta_bkwd_fkr_dipsMiddle ( (3)'!$G$144:$G$150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(3)'!$V$144:$V$150</c:f>
              <c:numCache>
                <c:formatCode>0.0000</c:formatCode>
                <c:ptCount val="7"/>
                <c:pt idx="0">
                  <c:v>0.69996476078123704</c:v>
                </c:pt>
                <c:pt idx="1">
                  <c:v>0.69996476078123704</c:v>
                </c:pt>
                <c:pt idx="2">
                  <c:v>0.69996476078123704</c:v>
                </c:pt>
                <c:pt idx="3">
                  <c:v>0.69996476078123704</c:v>
                </c:pt>
                <c:pt idx="4">
                  <c:v>0.69996476078123704</c:v>
                </c:pt>
                <c:pt idx="5">
                  <c:v>0.69996476078123704</c:v>
                </c:pt>
                <c:pt idx="6">
                  <c:v>0.69996476078123704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6E-4A10-8E91-36FC0E9CB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  <c:max val="0.9"/>
          <c:min val="0.60000000000000009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272408672103"/>
          <c:y val="0.21287336791770214"/>
          <c:w val="0.83798490244140578"/>
          <c:h val="0.66888867334049107"/>
        </c:manualLayout>
      </c:layout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'rzeta_bkwd_fkr_dipsMiddle ( (3)'!$G$52:$G$58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(3)'!$I$52:$I$58</c:f>
              <c:numCache>
                <c:formatCode>0.0</c:formatCode>
                <c:ptCount val="7"/>
                <c:pt idx="0">
                  <c:v>23.058000000000003</c:v>
                </c:pt>
                <c:pt idx="1">
                  <c:v>45.85</c:v>
                </c:pt>
                <c:pt idx="2">
                  <c:v>68.67</c:v>
                </c:pt>
                <c:pt idx="3">
                  <c:v>94.48</c:v>
                </c:pt>
                <c:pt idx="4">
                  <c:v>121.47</c:v>
                </c:pt>
                <c:pt idx="5">
                  <c:v>147.88</c:v>
                </c:pt>
                <c:pt idx="6">
                  <c:v>174.58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AD-4021-ADE2-4560A4CC2841}"/>
            </c:ext>
          </c:extLst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'rzeta_bkwd_fkr_dipsMiddle ( (3)'!$G$52:$G$58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'rzeta_bkwd_fkr_dipsMiddle ( (3)'!$T$52:$T$58</c:f>
              <c:numCache>
                <c:formatCode>0.0</c:formatCode>
                <c:ptCount val="7"/>
                <c:pt idx="0">
                  <c:v>24.939409449436795</c:v>
                </c:pt>
                <c:pt idx="1">
                  <c:v>49.87881889887359</c:v>
                </c:pt>
                <c:pt idx="2">
                  <c:v>74.818228348310384</c:v>
                </c:pt>
                <c:pt idx="3">
                  <c:v>99.757637797747179</c:v>
                </c:pt>
                <c:pt idx="4">
                  <c:v>124.69704724718397</c:v>
                </c:pt>
                <c:pt idx="5">
                  <c:v>149.63645669662077</c:v>
                </c:pt>
                <c:pt idx="6">
                  <c:v>174.57586614605756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AD-4021-ADE2-4560A4CC2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90848"/>
        <c:axId val="105392384"/>
      </c:scatterChart>
      <c:valAx>
        <c:axId val="105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92384"/>
        <c:crosses val="autoZero"/>
        <c:crossBetween val="midCat"/>
      </c:valAx>
      <c:valAx>
        <c:axId val="105392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539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125678</xdr:colOff>
      <xdr:row>50</xdr:row>
      <xdr:rowOff>141551</xdr:rowOff>
    </xdr:from>
    <xdr:to>
      <xdr:col>27</xdr:col>
      <xdr:colOff>327291</xdr:colOff>
      <xdr:row>61</xdr:row>
      <xdr:rowOff>103451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191D47-C4CE-4251-8300-386CD7A14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505164</xdr:colOff>
      <xdr:row>175</xdr:row>
      <xdr:rowOff>150623</xdr:rowOff>
    </xdr:from>
    <xdr:to>
      <xdr:col>20</xdr:col>
      <xdr:colOff>28914</xdr:colOff>
      <xdr:row>187</xdr:row>
      <xdr:rowOff>14552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2B74BD-F921-4F28-8B02-13BA8560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554681</xdr:colOff>
      <xdr:row>174</xdr:row>
      <xdr:rowOff>202295</xdr:rowOff>
    </xdr:from>
    <xdr:to>
      <xdr:col>12</xdr:col>
      <xdr:colOff>571689</xdr:colOff>
      <xdr:row>186</xdr:row>
      <xdr:rowOff>7260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F6AEFB-EBED-470D-AF68-1C854132E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173307</xdr:colOff>
      <xdr:row>38</xdr:row>
      <xdr:rowOff>165627</xdr:rowOff>
    </xdr:from>
    <xdr:to>
      <xdr:col>29</xdr:col>
      <xdr:colOff>143145</xdr:colOff>
      <xdr:row>49</xdr:row>
      <xdr:rowOff>127527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2F0C93-547E-489F-B32E-AA1D9C45E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402166</xdr:colOff>
      <xdr:row>27</xdr:row>
      <xdr:rowOff>84667</xdr:rowOff>
    </xdr:from>
    <xdr:to>
      <xdr:col>13</xdr:col>
      <xdr:colOff>402166</xdr:colOff>
      <xdr:row>29</xdr:row>
      <xdr:rowOff>42333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8757E1B-DB99-4F36-AED5-1F6717AB4397}"/>
            </a:ext>
          </a:extLst>
        </xdr:cNvPr>
        <xdr:cNvCxnSpPr/>
      </xdr:nvCxnSpPr>
      <xdr:spPr>
        <a:xfrm>
          <a:off x="9479491" y="5361517"/>
          <a:ext cx="0" cy="3386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54241</xdr:colOff>
      <xdr:row>96</xdr:row>
      <xdr:rowOff>108211</xdr:rowOff>
    </xdr:from>
    <xdr:to>
      <xdr:col>27</xdr:col>
      <xdr:colOff>255854</xdr:colOff>
      <xdr:row>107</xdr:row>
      <xdr:rowOff>70111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BC3BE5D-F981-4E59-A22F-47A043F53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70915</xdr:colOff>
      <xdr:row>84</xdr:row>
      <xdr:rowOff>182298</xdr:rowOff>
    </xdr:from>
    <xdr:to>
      <xdr:col>29</xdr:col>
      <xdr:colOff>40753</xdr:colOff>
      <xdr:row>95</xdr:row>
      <xdr:rowOff>144198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7AB1BEB-3B74-4FFC-8BF1-C59E7CE43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349249</xdr:colOff>
      <xdr:row>89</xdr:row>
      <xdr:rowOff>119062</xdr:rowOff>
    </xdr:from>
    <xdr:to>
      <xdr:col>11</xdr:col>
      <xdr:colOff>355533</xdr:colOff>
      <xdr:row>90</xdr:row>
      <xdr:rowOff>179917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F49E008D-4086-4FF0-A268-9C743335B5C4}"/>
            </a:ext>
          </a:extLst>
        </xdr:cNvPr>
        <xdr:cNvCxnSpPr/>
      </xdr:nvCxnSpPr>
      <xdr:spPr>
        <a:xfrm flipH="1">
          <a:off x="7997824" y="17206912"/>
          <a:ext cx="6284" cy="2513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214993</xdr:colOff>
      <xdr:row>120</xdr:row>
      <xdr:rowOff>68035</xdr:rowOff>
    </xdr:from>
    <xdr:to>
      <xdr:col>28</xdr:col>
      <xdr:colOff>440418</xdr:colOff>
      <xdr:row>131</xdr:row>
      <xdr:rowOff>29935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AF6F866-18E8-4318-B9F4-66167172C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299697</xdr:colOff>
      <xdr:row>120</xdr:row>
      <xdr:rowOff>87427</xdr:rowOff>
    </xdr:from>
    <xdr:to>
      <xdr:col>16</xdr:col>
      <xdr:colOff>79489</xdr:colOff>
      <xdr:row>131</xdr:row>
      <xdr:rowOff>49327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1C889EA-3E9D-4DAD-B77D-C51D33C87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192202</xdr:colOff>
      <xdr:row>64</xdr:row>
      <xdr:rowOff>183698</xdr:rowOff>
    </xdr:from>
    <xdr:to>
      <xdr:col>29</xdr:col>
      <xdr:colOff>416040</xdr:colOff>
      <xdr:row>81</xdr:row>
      <xdr:rowOff>145598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B34B8C9-84E1-434C-A913-3AB0C96DB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47626</xdr:colOff>
      <xdr:row>108</xdr:row>
      <xdr:rowOff>47624</xdr:rowOff>
    </xdr:from>
    <xdr:to>
      <xdr:col>29</xdr:col>
      <xdr:colOff>271464</xdr:colOff>
      <xdr:row>117</xdr:row>
      <xdr:rowOff>161924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3A4DD66-F143-47DD-BED3-9CFC7CF04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386102</xdr:colOff>
      <xdr:row>120</xdr:row>
      <xdr:rowOff>32318</xdr:rowOff>
    </xdr:from>
    <xdr:to>
      <xdr:col>21</xdr:col>
      <xdr:colOff>895009</xdr:colOff>
      <xdr:row>132</xdr:row>
      <xdr:rowOff>32318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B2322D5-C0CB-48B5-B023-65C4A3303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778253</xdr:colOff>
      <xdr:row>176</xdr:row>
      <xdr:rowOff>203271</xdr:rowOff>
    </xdr:from>
    <xdr:to>
      <xdr:col>28</xdr:col>
      <xdr:colOff>88598</xdr:colOff>
      <xdr:row>187</xdr:row>
      <xdr:rowOff>42707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1382869-F001-4EBB-8A1F-55754149C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40</xdr:col>
      <xdr:colOff>105833</xdr:colOff>
      <xdr:row>157</xdr:row>
      <xdr:rowOff>105835</xdr:rowOff>
    </xdr:from>
    <xdr:to>
      <xdr:col>45</xdr:col>
      <xdr:colOff>648758</xdr:colOff>
      <xdr:row>166</xdr:row>
      <xdr:rowOff>101073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9E7AF8F-1DE7-4746-8B52-CEDC8A7C2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97894</xdr:colOff>
      <xdr:row>166</xdr:row>
      <xdr:rowOff>201082</xdr:rowOff>
    </xdr:from>
    <xdr:to>
      <xdr:col>45</xdr:col>
      <xdr:colOff>640819</xdr:colOff>
      <xdr:row>175</xdr:row>
      <xdr:rowOff>101069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A44CB2A-D9E0-4C68-B66F-D8A3FEBA4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71059</xdr:colOff>
      <xdr:row>159</xdr:row>
      <xdr:rowOff>67471</xdr:rowOff>
    </xdr:from>
    <xdr:to>
      <xdr:col>21</xdr:col>
      <xdr:colOff>116779</xdr:colOff>
      <xdr:row>172</xdr:row>
      <xdr:rowOff>163674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74EABE4-8857-4814-8F22-CA7B1D9C2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197869</xdr:colOff>
      <xdr:row>159</xdr:row>
      <xdr:rowOff>56697</xdr:rowOff>
    </xdr:from>
    <xdr:to>
      <xdr:col>28</xdr:col>
      <xdr:colOff>556009</xdr:colOff>
      <xdr:row>172</xdr:row>
      <xdr:rowOff>152900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7782690-AE63-44FF-BF64-794E56606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404811</xdr:colOff>
      <xdr:row>134</xdr:row>
      <xdr:rowOff>47624</xdr:rowOff>
    </xdr:from>
    <xdr:to>
      <xdr:col>8</xdr:col>
      <xdr:colOff>404811</xdr:colOff>
      <xdr:row>135</xdr:row>
      <xdr:rowOff>166686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3D32B4DA-B982-4167-A532-3C6FBB8731F3}"/>
            </a:ext>
          </a:extLst>
        </xdr:cNvPr>
        <xdr:cNvCxnSpPr/>
      </xdr:nvCxnSpPr>
      <xdr:spPr>
        <a:xfrm>
          <a:off x="5910261" y="25707974"/>
          <a:ext cx="0" cy="3095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354805</xdr:colOff>
      <xdr:row>135</xdr:row>
      <xdr:rowOff>57149</xdr:rowOff>
    </xdr:from>
    <xdr:to>
      <xdr:col>15</xdr:col>
      <xdr:colOff>354805</xdr:colOff>
      <xdr:row>136</xdr:row>
      <xdr:rowOff>176211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DC97FCB8-ABC8-4364-918B-C1415BC0B340}"/>
            </a:ext>
          </a:extLst>
        </xdr:cNvPr>
        <xdr:cNvCxnSpPr/>
      </xdr:nvCxnSpPr>
      <xdr:spPr>
        <a:xfrm>
          <a:off x="10860880" y="25907999"/>
          <a:ext cx="0" cy="3095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476249</xdr:colOff>
      <xdr:row>40</xdr:row>
      <xdr:rowOff>83343</xdr:rowOff>
    </xdr:from>
    <xdr:to>
      <xdr:col>12</xdr:col>
      <xdr:colOff>23812</xdr:colOff>
      <xdr:row>63</xdr:row>
      <xdr:rowOff>130968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29B9E933-F73E-4F88-9D3B-A67BD69FEF77}"/>
            </a:ext>
          </a:extLst>
        </xdr:cNvPr>
        <xdr:cNvCxnSpPr/>
      </xdr:nvCxnSpPr>
      <xdr:spPr>
        <a:xfrm>
          <a:off x="2409824" y="7836693"/>
          <a:ext cx="5976938" cy="44291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382324</xdr:colOff>
      <xdr:row>41</xdr:row>
      <xdr:rowOff>173301</xdr:rowOff>
    </xdr:from>
    <xdr:to>
      <xdr:col>20</xdr:col>
      <xdr:colOff>243417</xdr:colOff>
      <xdr:row>53</xdr:row>
      <xdr:rowOff>173301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DEE2E-F1E2-432A-BB83-49B9396A4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317500</xdr:colOff>
      <xdr:row>41</xdr:row>
      <xdr:rowOff>21167</xdr:rowOff>
    </xdr:from>
    <xdr:to>
      <xdr:col>7</xdr:col>
      <xdr:colOff>317500</xdr:colOff>
      <xdr:row>42</xdr:row>
      <xdr:rowOff>137583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5DDCC27-8105-4CBC-82F0-6F1FDB3F6637}"/>
            </a:ext>
          </a:extLst>
        </xdr:cNvPr>
        <xdr:cNvCxnSpPr/>
      </xdr:nvCxnSpPr>
      <xdr:spPr>
        <a:xfrm>
          <a:off x="4584700" y="8060267"/>
          <a:ext cx="0" cy="30691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306917</xdr:colOff>
      <xdr:row>91</xdr:row>
      <xdr:rowOff>74083</xdr:rowOff>
    </xdr:from>
    <xdr:to>
      <xdr:col>6</xdr:col>
      <xdr:colOff>306917</xdr:colOff>
      <xdr:row>93</xdr:row>
      <xdr:rowOff>116416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44B1DFD-C452-4E54-B944-9B80F8CB523B}"/>
            </a:ext>
          </a:extLst>
        </xdr:cNvPr>
        <xdr:cNvCxnSpPr/>
      </xdr:nvCxnSpPr>
      <xdr:spPr>
        <a:xfrm>
          <a:off x="3964517" y="17638183"/>
          <a:ext cx="0" cy="42333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382324</xdr:colOff>
      <xdr:row>124</xdr:row>
      <xdr:rowOff>141551</xdr:rowOff>
    </xdr:from>
    <xdr:to>
      <xdr:col>25</xdr:col>
      <xdr:colOff>43657</xdr:colOff>
      <xdr:row>139</xdr:row>
      <xdr:rowOff>27251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52B4AA-EC4E-4BCD-B97E-CA959F64F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306917</xdr:colOff>
      <xdr:row>166</xdr:row>
      <xdr:rowOff>74083</xdr:rowOff>
    </xdr:from>
    <xdr:to>
      <xdr:col>6</xdr:col>
      <xdr:colOff>306917</xdr:colOff>
      <xdr:row>168</xdr:row>
      <xdr:rowOff>116416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DFC486D-0BFE-428B-BFBC-0B87FFFEC5DB}"/>
            </a:ext>
          </a:extLst>
        </xdr:cNvPr>
        <xdr:cNvCxnSpPr/>
      </xdr:nvCxnSpPr>
      <xdr:spPr>
        <a:xfrm>
          <a:off x="3964517" y="31925683"/>
          <a:ext cx="0" cy="42333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412750</xdr:colOff>
      <xdr:row>110</xdr:row>
      <xdr:rowOff>30694</xdr:rowOff>
    </xdr:from>
    <xdr:to>
      <xdr:col>25</xdr:col>
      <xdr:colOff>531283</xdr:colOff>
      <xdr:row>122</xdr:row>
      <xdr:rowOff>30694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621B77-C0E0-4CA9-8EBC-C33C58912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571504</xdr:colOff>
      <xdr:row>37</xdr:row>
      <xdr:rowOff>9524</xdr:rowOff>
    </xdr:from>
    <xdr:to>
      <xdr:col>30</xdr:col>
      <xdr:colOff>232838</xdr:colOff>
      <xdr:row>51</xdr:row>
      <xdr:rowOff>9524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B0887EB-4962-4B80-B500-2BB0C76A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402166</xdr:colOff>
      <xdr:row>25</xdr:row>
      <xdr:rowOff>84667</xdr:rowOff>
    </xdr:from>
    <xdr:to>
      <xdr:col>25</xdr:col>
      <xdr:colOff>402166</xdr:colOff>
      <xdr:row>27</xdr:row>
      <xdr:rowOff>42333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B63F3BF-561A-4277-9F31-37C2FFC2C604}"/>
            </a:ext>
          </a:extLst>
        </xdr:cNvPr>
        <xdr:cNvCxnSpPr/>
      </xdr:nvCxnSpPr>
      <xdr:spPr>
        <a:xfrm>
          <a:off x="15594541" y="5075767"/>
          <a:ext cx="0" cy="3386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296333</xdr:colOff>
      <xdr:row>39</xdr:row>
      <xdr:rowOff>137583</xdr:rowOff>
    </xdr:from>
    <xdr:to>
      <xdr:col>11</xdr:col>
      <xdr:colOff>306916</xdr:colOff>
      <xdr:row>41</xdr:row>
      <xdr:rowOff>179917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DA13FFEF-C0E2-4F2C-A894-815C8313F0AB}"/>
            </a:ext>
          </a:extLst>
        </xdr:cNvPr>
        <xdr:cNvCxnSpPr/>
      </xdr:nvCxnSpPr>
      <xdr:spPr>
        <a:xfrm flipH="1">
          <a:off x="7001933" y="7795683"/>
          <a:ext cx="10583" cy="4233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296598</xdr:colOff>
      <xdr:row>106</xdr:row>
      <xdr:rowOff>137583</xdr:rowOff>
    </xdr:from>
    <xdr:to>
      <xdr:col>15</xdr:col>
      <xdr:colOff>306916</xdr:colOff>
      <xdr:row>108</xdr:row>
      <xdr:rowOff>169333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D0923B7-C812-4716-ABEF-6D6E6DFA7DE6}"/>
            </a:ext>
          </a:extLst>
        </xdr:cNvPr>
        <xdr:cNvCxnSpPr/>
      </xdr:nvCxnSpPr>
      <xdr:spPr>
        <a:xfrm flipH="1">
          <a:off x="9392973" y="20559183"/>
          <a:ext cx="10318" cy="412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226748</xdr:colOff>
      <xdr:row>106</xdr:row>
      <xdr:rowOff>184149</xdr:rowOff>
    </xdr:from>
    <xdr:to>
      <xdr:col>12</xdr:col>
      <xdr:colOff>237066</xdr:colOff>
      <xdr:row>109</xdr:row>
      <xdr:rowOff>25399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4038346-E6C6-4D9E-9D39-E050FFBD1C65}"/>
            </a:ext>
          </a:extLst>
        </xdr:cNvPr>
        <xdr:cNvCxnSpPr/>
      </xdr:nvCxnSpPr>
      <xdr:spPr>
        <a:xfrm flipH="1">
          <a:off x="7541948" y="20605749"/>
          <a:ext cx="10318" cy="412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402166</xdr:colOff>
      <xdr:row>124</xdr:row>
      <xdr:rowOff>51858</xdr:rowOff>
    </xdr:from>
    <xdr:to>
      <xdr:col>42</xdr:col>
      <xdr:colOff>656166</xdr:colOff>
      <xdr:row>138</xdr:row>
      <xdr:rowOff>128058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8B2C3D8-DC73-48C6-8F98-66D63FE93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402167</xdr:colOff>
      <xdr:row>124</xdr:row>
      <xdr:rowOff>10584</xdr:rowOff>
    </xdr:from>
    <xdr:to>
      <xdr:col>55</xdr:col>
      <xdr:colOff>560918</xdr:colOff>
      <xdr:row>138</xdr:row>
      <xdr:rowOff>148166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FEE7554-5C75-426E-9733-782CCCB83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18520</xdr:colOff>
      <xdr:row>75</xdr:row>
      <xdr:rowOff>82020</xdr:rowOff>
    </xdr:from>
    <xdr:to>
      <xdr:col>22</xdr:col>
      <xdr:colOff>370945</xdr:colOff>
      <xdr:row>88</xdr:row>
      <xdr:rowOff>43920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7BDD37-8F32-4880-9630-4F10850E8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505164</xdr:colOff>
      <xdr:row>312</xdr:row>
      <xdr:rowOff>150623</xdr:rowOff>
    </xdr:from>
    <xdr:to>
      <xdr:col>20</xdr:col>
      <xdr:colOff>28914</xdr:colOff>
      <xdr:row>324</xdr:row>
      <xdr:rowOff>14552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505BE07-D3E1-471B-96AF-E246829E4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554681</xdr:colOff>
      <xdr:row>311</xdr:row>
      <xdr:rowOff>202295</xdr:rowOff>
    </xdr:from>
    <xdr:to>
      <xdr:col>12</xdr:col>
      <xdr:colOff>571689</xdr:colOff>
      <xdr:row>323</xdr:row>
      <xdr:rowOff>7260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C7448AB-B867-9E72-39F6-F0239EE20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18525</xdr:colOff>
      <xdr:row>37</xdr:row>
      <xdr:rowOff>118001</xdr:rowOff>
    </xdr:from>
    <xdr:to>
      <xdr:col>13</xdr:col>
      <xdr:colOff>304275</xdr:colOff>
      <xdr:row>49</xdr:row>
      <xdr:rowOff>118001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C77799-9A96-804F-CE2B-90BFA90016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54241</xdr:colOff>
      <xdr:row>233</xdr:row>
      <xdr:rowOff>108211</xdr:rowOff>
    </xdr:from>
    <xdr:to>
      <xdr:col>27</xdr:col>
      <xdr:colOff>255854</xdr:colOff>
      <xdr:row>244</xdr:row>
      <xdr:rowOff>70111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09E7EB-532F-4A41-94CB-F301F9776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70915</xdr:colOff>
      <xdr:row>221</xdr:row>
      <xdr:rowOff>182298</xdr:rowOff>
    </xdr:from>
    <xdr:to>
      <xdr:col>29</xdr:col>
      <xdr:colOff>40753</xdr:colOff>
      <xdr:row>232</xdr:row>
      <xdr:rowOff>144198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4FC56F-DCA0-4742-93D4-B456F6305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349249</xdr:colOff>
      <xdr:row>226</xdr:row>
      <xdr:rowOff>119062</xdr:rowOff>
    </xdr:from>
    <xdr:to>
      <xdr:col>11</xdr:col>
      <xdr:colOff>355533</xdr:colOff>
      <xdr:row>227</xdr:row>
      <xdr:rowOff>179917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BCF7839-FA5D-40DF-93A1-3A98436860F5}"/>
            </a:ext>
          </a:extLst>
        </xdr:cNvPr>
        <xdr:cNvCxnSpPr/>
      </xdr:nvCxnSpPr>
      <xdr:spPr>
        <a:xfrm flipH="1">
          <a:off x="7993062" y="17811750"/>
          <a:ext cx="6284" cy="2513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214993</xdr:colOff>
      <xdr:row>257</xdr:row>
      <xdr:rowOff>68035</xdr:rowOff>
    </xdr:from>
    <xdr:to>
      <xdr:col>28</xdr:col>
      <xdr:colOff>440418</xdr:colOff>
      <xdr:row>268</xdr:row>
      <xdr:rowOff>29935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ED40DE6-9EC3-4E12-84D4-390067CFC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299697</xdr:colOff>
      <xdr:row>257</xdr:row>
      <xdr:rowOff>87427</xdr:rowOff>
    </xdr:from>
    <xdr:to>
      <xdr:col>16</xdr:col>
      <xdr:colOff>79489</xdr:colOff>
      <xdr:row>268</xdr:row>
      <xdr:rowOff>49327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09C3258-7B93-467B-8BCE-458C7F2A3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597013</xdr:colOff>
      <xdr:row>71</xdr:row>
      <xdr:rowOff>171793</xdr:rowOff>
    </xdr:from>
    <xdr:to>
      <xdr:col>30</xdr:col>
      <xdr:colOff>92188</xdr:colOff>
      <xdr:row>82</xdr:row>
      <xdr:rowOff>133693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D1444BD-A116-47A9-BEF0-57BA91C91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47626</xdr:colOff>
      <xdr:row>245</xdr:row>
      <xdr:rowOff>47624</xdr:rowOff>
    </xdr:from>
    <xdr:to>
      <xdr:col>29</xdr:col>
      <xdr:colOff>271464</xdr:colOff>
      <xdr:row>254</xdr:row>
      <xdr:rowOff>161924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DC6FEC5-E50F-4765-AC43-0DA114461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386102</xdr:colOff>
      <xdr:row>257</xdr:row>
      <xdr:rowOff>32318</xdr:rowOff>
    </xdr:from>
    <xdr:to>
      <xdr:col>21</xdr:col>
      <xdr:colOff>895009</xdr:colOff>
      <xdr:row>269</xdr:row>
      <xdr:rowOff>32318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C9A628DD-45EA-4C05-9362-9047717D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778253</xdr:colOff>
      <xdr:row>313</xdr:row>
      <xdr:rowOff>203271</xdr:rowOff>
    </xdr:from>
    <xdr:to>
      <xdr:col>28</xdr:col>
      <xdr:colOff>88598</xdr:colOff>
      <xdr:row>324</xdr:row>
      <xdr:rowOff>42707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A4DEB78-1E19-40F4-BEEC-8EE044A70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40</xdr:col>
      <xdr:colOff>105833</xdr:colOff>
      <xdr:row>294</xdr:row>
      <xdr:rowOff>105835</xdr:rowOff>
    </xdr:from>
    <xdr:to>
      <xdr:col>45</xdr:col>
      <xdr:colOff>648758</xdr:colOff>
      <xdr:row>303</xdr:row>
      <xdr:rowOff>101073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D8992D62-D695-4BAA-A782-B1828E6D8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97894</xdr:colOff>
      <xdr:row>303</xdr:row>
      <xdr:rowOff>201082</xdr:rowOff>
    </xdr:from>
    <xdr:to>
      <xdr:col>45</xdr:col>
      <xdr:colOff>640819</xdr:colOff>
      <xdr:row>312</xdr:row>
      <xdr:rowOff>101069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32AA9E99-E376-4C6E-9C3D-0E1973038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71059</xdr:colOff>
      <xdr:row>296</xdr:row>
      <xdr:rowOff>67471</xdr:rowOff>
    </xdr:from>
    <xdr:to>
      <xdr:col>21</xdr:col>
      <xdr:colOff>116779</xdr:colOff>
      <xdr:row>309</xdr:row>
      <xdr:rowOff>163674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BA301A77-0CCB-4016-8EC8-21E7100AD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197869</xdr:colOff>
      <xdr:row>296</xdr:row>
      <xdr:rowOff>56697</xdr:rowOff>
    </xdr:from>
    <xdr:to>
      <xdr:col>28</xdr:col>
      <xdr:colOff>556009</xdr:colOff>
      <xdr:row>309</xdr:row>
      <xdr:rowOff>152900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E8EEE98C-356F-4591-93B3-A14DDBEE4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404811</xdr:colOff>
      <xdr:row>271</xdr:row>
      <xdr:rowOff>47624</xdr:rowOff>
    </xdr:from>
    <xdr:to>
      <xdr:col>8</xdr:col>
      <xdr:colOff>404811</xdr:colOff>
      <xdr:row>272</xdr:row>
      <xdr:rowOff>166686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67F0F542-B3CC-4397-A914-F4F4285A635B}"/>
            </a:ext>
          </a:extLst>
        </xdr:cNvPr>
        <xdr:cNvCxnSpPr/>
      </xdr:nvCxnSpPr>
      <xdr:spPr>
        <a:xfrm>
          <a:off x="5905499" y="25741312"/>
          <a:ext cx="0" cy="3095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354805</xdr:colOff>
      <xdr:row>272</xdr:row>
      <xdr:rowOff>57149</xdr:rowOff>
    </xdr:from>
    <xdr:to>
      <xdr:col>15</xdr:col>
      <xdr:colOff>354805</xdr:colOff>
      <xdr:row>273</xdr:row>
      <xdr:rowOff>176211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4543DC3E-B449-4A01-B04C-2DD153373C34}"/>
            </a:ext>
          </a:extLst>
        </xdr:cNvPr>
        <xdr:cNvCxnSpPr/>
      </xdr:nvCxnSpPr>
      <xdr:spPr>
        <a:xfrm>
          <a:off x="10856118" y="25941337"/>
          <a:ext cx="0" cy="3095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330728</xdr:colOff>
      <xdr:row>36</xdr:row>
      <xdr:rowOff>25136</xdr:rowOff>
    </xdr:from>
    <xdr:to>
      <xdr:col>19</xdr:col>
      <xdr:colOff>330728</xdr:colOff>
      <xdr:row>37</xdr:row>
      <xdr:rowOff>173302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CA0C4AE-13AD-446C-8CA1-DB3D96C1B940}"/>
            </a:ext>
          </a:extLst>
        </xdr:cNvPr>
        <xdr:cNvCxnSpPr/>
      </xdr:nvCxnSpPr>
      <xdr:spPr>
        <a:xfrm>
          <a:off x="13689541" y="5335324"/>
          <a:ext cx="0" cy="3386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345281</xdr:colOff>
      <xdr:row>60</xdr:row>
      <xdr:rowOff>59531</xdr:rowOff>
    </xdr:from>
    <xdr:to>
      <xdr:col>5</xdr:col>
      <xdr:colOff>345281</xdr:colOff>
      <xdr:row>62</xdr:row>
      <xdr:rowOff>142874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525448AE-3721-5D31-20C1-E1BA8B336ADD}"/>
            </a:ext>
          </a:extLst>
        </xdr:cNvPr>
        <xdr:cNvCxnSpPr/>
      </xdr:nvCxnSpPr>
      <xdr:spPr>
        <a:xfrm>
          <a:off x="5845969" y="10894219"/>
          <a:ext cx="0" cy="2738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131</xdr:row>
      <xdr:rowOff>71437</xdr:rowOff>
    </xdr:from>
    <xdr:to>
      <xdr:col>22</xdr:col>
      <xdr:colOff>352425</xdr:colOff>
      <xdr:row>142</xdr:row>
      <xdr:rowOff>33337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8B3E5E5-EE50-435B-9F06-1B651D125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227921</xdr:colOff>
      <xdr:row>128</xdr:row>
      <xdr:rowOff>28917</xdr:rowOff>
    </xdr:from>
    <xdr:to>
      <xdr:col>30</xdr:col>
      <xdr:colOff>342221</xdr:colOff>
      <xdr:row>138</xdr:row>
      <xdr:rowOff>181317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21B2993-8389-478C-B65B-DC40759BE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345281</xdr:colOff>
      <xdr:row>119</xdr:row>
      <xdr:rowOff>59531</xdr:rowOff>
    </xdr:from>
    <xdr:to>
      <xdr:col>5</xdr:col>
      <xdr:colOff>345281</xdr:colOff>
      <xdr:row>120</xdr:row>
      <xdr:rowOff>142874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394B7161-55BF-4191-B13B-407EC34240B0}"/>
            </a:ext>
          </a:extLst>
        </xdr:cNvPr>
        <xdr:cNvCxnSpPr/>
      </xdr:nvCxnSpPr>
      <xdr:spPr>
        <a:xfrm>
          <a:off x="3702844" y="21752719"/>
          <a:ext cx="0" cy="2738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71437</xdr:colOff>
      <xdr:row>172</xdr:row>
      <xdr:rowOff>11906</xdr:rowOff>
    </xdr:from>
    <xdr:to>
      <xdr:col>22</xdr:col>
      <xdr:colOff>423862</xdr:colOff>
      <xdr:row>182</xdr:row>
      <xdr:rowOff>164306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1E928B2-9ECF-46BA-8E04-B9218708F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125527</xdr:colOff>
      <xdr:row>183</xdr:row>
      <xdr:rowOff>169070</xdr:rowOff>
    </xdr:from>
    <xdr:to>
      <xdr:col>22</xdr:col>
      <xdr:colOff>477952</xdr:colOff>
      <xdr:row>194</xdr:row>
      <xdr:rowOff>130970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2D8EDCC2-9D85-446F-89FC-00E9A41BB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345281</xdr:colOff>
      <xdr:row>173</xdr:row>
      <xdr:rowOff>59531</xdr:rowOff>
    </xdr:from>
    <xdr:to>
      <xdr:col>5</xdr:col>
      <xdr:colOff>345281</xdr:colOff>
      <xdr:row>174</xdr:row>
      <xdr:rowOff>142874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56902B14-65D2-4E83-A9A4-11D7AF43C0D1}"/>
            </a:ext>
          </a:extLst>
        </xdr:cNvPr>
        <xdr:cNvCxnSpPr/>
      </xdr:nvCxnSpPr>
      <xdr:spPr>
        <a:xfrm>
          <a:off x="3702844" y="20990719"/>
          <a:ext cx="0" cy="2738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</xdr:colOff>
      <xdr:row>59</xdr:row>
      <xdr:rowOff>176212</xdr:rowOff>
    </xdr:from>
    <xdr:to>
      <xdr:col>22</xdr:col>
      <xdr:colOff>358378</xdr:colOff>
      <xdr:row>70</xdr:row>
      <xdr:rowOff>138112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305640DB-8E22-21AF-7382-94D9C28B1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17</xdr:col>
      <xdr:colOff>53578</xdr:colOff>
      <xdr:row>117</xdr:row>
      <xdr:rowOff>164305</xdr:rowOff>
    </xdr:from>
    <xdr:to>
      <xdr:col>22</xdr:col>
      <xdr:colOff>406003</xdr:colOff>
      <xdr:row>128</xdr:row>
      <xdr:rowOff>126205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BC66306-4EC8-9454-47AD-CAA477265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9</xdr:row>
      <xdr:rowOff>127000</xdr:rowOff>
    </xdr:from>
    <xdr:to>
      <xdr:col>5</xdr:col>
      <xdr:colOff>0</xdr:colOff>
      <xdr:row>10</xdr:row>
      <xdr:rowOff>42333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2946400" y="1841500"/>
          <a:ext cx="101600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508000</xdr:colOff>
      <xdr:row>9</xdr:row>
      <xdr:rowOff>137584</xdr:rowOff>
    </xdr:from>
    <xdr:to>
      <xdr:col>11</xdr:col>
      <xdr:colOff>1</xdr:colOff>
      <xdr:row>10</xdr:row>
      <xdr:rowOff>52917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375400" y="1852084"/>
          <a:ext cx="101601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250032</xdr:colOff>
      <xdr:row>25</xdr:row>
      <xdr:rowOff>166688</xdr:rowOff>
    </xdr:from>
    <xdr:to>
      <xdr:col>17</xdr:col>
      <xdr:colOff>511969</xdr:colOff>
      <xdr:row>39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357187</xdr:colOff>
      <xdr:row>53</xdr:row>
      <xdr:rowOff>83343</xdr:rowOff>
    </xdr:from>
    <xdr:to>
      <xdr:col>6</xdr:col>
      <xdr:colOff>358030</xdr:colOff>
      <xdr:row>56</xdr:row>
      <xdr:rowOff>107155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4000500" y="9834562"/>
          <a:ext cx="843" cy="59531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306917</xdr:colOff>
      <xdr:row>23</xdr:row>
      <xdr:rowOff>95250</xdr:rowOff>
    </xdr:from>
    <xdr:to>
      <xdr:col>7</xdr:col>
      <xdr:colOff>306917</xdr:colOff>
      <xdr:row>26</xdr:row>
      <xdr:rowOff>130968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557448" y="3178969"/>
          <a:ext cx="0" cy="60721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317500</xdr:colOff>
      <xdr:row>10</xdr:row>
      <xdr:rowOff>105833</xdr:rowOff>
    </xdr:from>
    <xdr:to>
      <xdr:col>27</xdr:col>
      <xdr:colOff>317500</xdr:colOff>
      <xdr:row>24</xdr:row>
      <xdr:rowOff>64823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931333" y="11006666"/>
          <a:ext cx="0" cy="33999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274686</xdr:colOff>
      <xdr:row>7</xdr:row>
      <xdr:rowOff>95250</xdr:rowOff>
    </xdr:from>
    <xdr:to>
      <xdr:col>28</xdr:col>
      <xdr:colOff>274686</xdr:colOff>
      <xdr:row>24</xdr:row>
      <xdr:rowOff>107157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525217" y="6798469"/>
          <a:ext cx="0" cy="58340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535786</xdr:colOff>
      <xdr:row>52</xdr:row>
      <xdr:rowOff>178594</xdr:rowOff>
    </xdr:from>
    <xdr:to>
      <xdr:col>13</xdr:col>
      <xdr:colOff>583407</xdr:colOff>
      <xdr:row>56</xdr:row>
      <xdr:rowOff>130968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7822411" y="8786813"/>
          <a:ext cx="607215" cy="71437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321469</xdr:colOff>
      <xdr:row>25</xdr:row>
      <xdr:rowOff>23812</xdr:rowOff>
    </xdr:from>
    <xdr:to>
      <xdr:col>8</xdr:col>
      <xdr:colOff>321469</xdr:colOff>
      <xdr:row>25</xdr:row>
      <xdr:rowOff>189178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5179219" y="2536031"/>
          <a:ext cx="0" cy="16536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452437</xdr:colOff>
      <xdr:row>22</xdr:row>
      <xdr:rowOff>119062</xdr:rowOff>
    </xdr:from>
    <xdr:to>
      <xdr:col>21</xdr:col>
      <xdr:colOff>107156</xdr:colOff>
      <xdr:row>24</xdr:row>
      <xdr:rowOff>119062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727531" y="3964781"/>
          <a:ext cx="2083594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345283</xdr:colOff>
      <xdr:row>22</xdr:row>
      <xdr:rowOff>95250</xdr:rowOff>
    </xdr:from>
    <xdr:to>
      <xdr:col>12</xdr:col>
      <xdr:colOff>476250</xdr:colOff>
      <xdr:row>22</xdr:row>
      <xdr:rowOff>107156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6417471" y="3940969"/>
          <a:ext cx="1345404" cy="119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229466</xdr:colOff>
      <xdr:row>58</xdr:row>
      <xdr:rowOff>204354</xdr:rowOff>
    </xdr:from>
    <xdr:to>
      <xdr:col>49</xdr:col>
      <xdr:colOff>232930</xdr:colOff>
      <xdr:row>72</xdr:row>
      <xdr:rowOff>185303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79AC43-13B6-4A6D-123B-BFF12ACA3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8191" y="11367654"/>
          <a:ext cx="1832264" cy="2914649"/>
        </a:xfrm>
        <a:prstGeom prst="rect">
          <a:avLst/>
        </a:prstGeom>
      </xdr:spPr>
    </xdr:pic>
    <xdr:clientData/>
  </xdr:twoCellAnchor>
  <xdr:twoCellAnchor editAs="oneCell">
    <xdr:from>
      <xdr:col>37</xdr:col>
      <xdr:colOff>19050</xdr:colOff>
      <xdr:row>59</xdr:row>
      <xdr:rowOff>28575</xdr:rowOff>
    </xdr:from>
    <xdr:to>
      <xdr:col>39</xdr:col>
      <xdr:colOff>419100</xdr:colOff>
      <xdr:row>73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469764C-4D38-2614-B0B7-CE8B0860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0" y="11401425"/>
          <a:ext cx="1828800" cy="2914650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81</xdr:row>
      <xdr:rowOff>28575</xdr:rowOff>
    </xdr:from>
    <xdr:to>
      <xdr:col>39</xdr:col>
      <xdr:colOff>400050</xdr:colOff>
      <xdr:row>95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0B27914-D371-4BCF-AC02-5DFB2D8CC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15859125"/>
          <a:ext cx="1828800" cy="2914650"/>
        </a:xfrm>
        <a:prstGeom prst="rect">
          <a:avLst/>
        </a:prstGeom>
      </xdr:spPr>
    </xdr:pic>
    <xdr:clientData/>
  </xdr:twoCellAnchor>
  <xdr:oneCellAnchor>
    <xdr:from>
      <xdr:col>37</xdr:col>
      <xdr:colOff>9525</xdr:colOff>
      <xdr:row>103</xdr:row>
      <xdr:rowOff>28575</xdr:rowOff>
    </xdr:from>
    <xdr:ext cx="1828800" cy="2914650"/>
    <xdr:pic>
      <xdr:nvPicPr>
        <xdr:cNvPr id="17" name="Picture 16">
          <a:extLst>
            <a:ext uri="{FF2B5EF4-FFF2-40B4-BE49-F238E27FC236}">
              <a16:creationId xmlns:a16="http://schemas.microsoft.com/office/drawing/2014/main" id="{AB2905E6-66E5-4C39-A06D-0C10BD2B6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8975" y="20259675"/>
          <a:ext cx="1828800" cy="29146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107158</xdr:colOff>
      <xdr:row>16</xdr:row>
      <xdr:rowOff>178594</xdr:rowOff>
    </xdr:from>
    <xdr:to>
      <xdr:col>16</xdr:col>
      <xdr:colOff>678656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392907</xdr:colOff>
      <xdr:row>69</xdr:row>
      <xdr:rowOff>178593</xdr:rowOff>
    </xdr:from>
    <xdr:to>
      <xdr:col>10</xdr:col>
      <xdr:colOff>392907</xdr:colOff>
      <xdr:row>71</xdr:row>
      <xdr:rowOff>95249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7167563" y="11834812"/>
          <a:ext cx="0" cy="29765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390525</xdr:colOff>
      <xdr:row>71</xdr:row>
      <xdr:rowOff>97630</xdr:rowOff>
    </xdr:from>
    <xdr:to>
      <xdr:col>11</xdr:col>
      <xdr:colOff>402431</xdr:colOff>
      <xdr:row>71</xdr:row>
      <xdr:rowOff>97630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7134225" y="12137230"/>
          <a:ext cx="7929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392907</xdr:colOff>
      <xdr:row>69</xdr:row>
      <xdr:rowOff>178593</xdr:rowOff>
    </xdr:from>
    <xdr:to>
      <xdr:col>18</xdr:col>
      <xdr:colOff>392907</xdr:colOff>
      <xdr:row>71</xdr:row>
      <xdr:rowOff>95249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7136607" y="11837193"/>
          <a:ext cx="0" cy="29765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714375</xdr:colOff>
      <xdr:row>71</xdr:row>
      <xdr:rowOff>97630</xdr:rowOff>
    </xdr:from>
    <xdr:to>
      <xdr:col>18</xdr:col>
      <xdr:colOff>392906</xdr:colOff>
      <xdr:row>71</xdr:row>
      <xdr:rowOff>97630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989719" y="12134849"/>
          <a:ext cx="4643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107157</xdr:colOff>
      <xdr:row>18</xdr:row>
      <xdr:rowOff>130969</xdr:rowOff>
    </xdr:from>
    <xdr:to>
      <xdr:col>18</xdr:col>
      <xdr:colOff>369094</xdr:colOff>
      <xdr:row>32</xdr:row>
      <xdr:rowOff>154780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306917</xdr:colOff>
      <xdr:row>16</xdr:row>
      <xdr:rowOff>95250</xdr:rowOff>
    </xdr:from>
    <xdr:to>
      <xdr:col>7</xdr:col>
      <xdr:colOff>306917</xdr:colOff>
      <xdr:row>19</xdr:row>
      <xdr:rowOff>130968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4574117" y="3181350"/>
          <a:ext cx="0" cy="60721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317500</xdr:colOff>
      <xdr:row>6</xdr:row>
      <xdr:rowOff>105833</xdr:rowOff>
    </xdr:from>
    <xdr:to>
      <xdr:col>26</xdr:col>
      <xdr:colOff>317500</xdr:colOff>
      <xdr:row>17</xdr:row>
      <xdr:rowOff>64823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6119475" y="1286933"/>
          <a:ext cx="0" cy="205449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274686</xdr:colOff>
      <xdr:row>49</xdr:row>
      <xdr:rowOff>95250</xdr:rowOff>
    </xdr:from>
    <xdr:to>
      <xdr:col>27</xdr:col>
      <xdr:colOff>274686</xdr:colOff>
      <xdr:row>52</xdr:row>
      <xdr:rowOff>107157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6686261" y="9467850"/>
          <a:ext cx="0" cy="58340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274686</xdr:colOff>
      <xdr:row>5</xdr:row>
      <xdr:rowOff>95250</xdr:rowOff>
    </xdr:from>
    <xdr:to>
      <xdr:col>27</xdr:col>
      <xdr:colOff>274686</xdr:colOff>
      <xdr:row>17</xdr:row>
      <xdr:rowOff>107157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6686261" y="1085850"/>
          <a:ext cx="0" cy="229790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511974</xdr:colOff>
      <xdr:row>46</xdr:row>
      <xdr:rowOff>23812</xdr:rowOff>
    </xdr:from>
    <xdr:to>
      <xdr:col>16</xdr:col>
      <xdr:colOff>511970</xdr:colOff>
      <xdr:row>49</xdr:row>
      <xdr:rowOff>166686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9572630" y="8822531"/>
          <a:ext cx="607215" cy="71437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321469</xdr:colOff>
      <xdr:row>18</xdr:row>
      <xdr:rowOff>23812</xdr:rowOff>
    </xdr:from>
    <xdr:to>
      <xdr:col>8</xdr:col>
      <xdr:colOff>321469</xdr:colOff>
      <xdr:row>18</xdr:row>
      <xdr:rowOff>189178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5198269" y="3490912"/>
          <a:ext cx="0" cy="16536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9</xdr:row>
      <xdr:rowOff>127000</xdr:rowOff>
    </xdr:from>
    <xdr:to>
      <xdr:col>5</xdr:col>
      <xdr:colOff>0</xdr:colOff>
      <xdr:row>10</xdr:row>
      <xdr:rowOff>42333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H="1">
          <a:off x="2963333" y="1841500"/>
          <a:ext cx="105834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508000</xdr:colOff>
      <xdr:row>9</xdr:row>
      <xdr:rowOff>137584</xdr:rowOff>
    </xdr:from>
    <xdr:to>
      <xdr:col>11</xdr:col>
      <xdr:colOff>1</xdr:colOff>
      <xdr:row>10</xdr:row>
      <xdr:rowOff>52917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flipH="1">
          <a:off x="6413500" y="1852084"/>
          <a:ext cx="105834" cy="1058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FD76-F55E-4E71-9847-5460D56C1D81}">
  <sheetPr transitionEvaluation="1" transitionEntry="1">
    <pageSetUpPr fitToPage="1"/>
  </sheetPr>
  <dimension ref="A1:BS259"/>
  <sheetViews>
    <sheetView showGridLines="0" topLeftCell="F130" zoomScale="80" zoomScaleNormal="80" workbookViewId="0">
      <selection activeCell="K155" sqref="K155"/>
    </sheetView>
  </sheetViews>
  <sheetFormatPr defaultRowHeight="15.75" x14ac:dyDescent="0.25"/>
  <cols>
    <col min="1" max="2" width="9.140625" style="545"/>
    <col min="3" max="21" width="10.7109375" style="545" customWidth="1"/>
    <col min="22" max="22" width="13.5703125" style="545" customWidth="1"/>
    <col min="23" max="26" width="9.28515625" style="545" bestFit="1" customWidth="1"/>
    <col min="27" max="28" width="10.42578125" style="545" bestFit="1" customWidth="1"/>
    <col min="29" max="31" width="10.42578125" style="545" customWidth="1"/>
    <col min="32" max="32" width="13" style="545" customWidth="1"/>
    <col min="33" max="33" width="17.85546875" style="545" customWidth="1"/>
    <col min="34" max="34" width="17.140625" style="545" customWidth="1"/>
    <col min="35" max="35" width="8.42578125" style="545" customWidth="1"/>
    <col min="36" max="40" width="10.140625" style="545" customWidth="1"/>
    <col min="41" max="45" width="10.7109375" style="545" customWidth="1"/>
    <col min="46" max="46" width="10.42578125" style="545" customWidth="1"/>
    <col min="47" max="53" width="10.7109375" style="545" customWidth="1"/>
    <col min="54" max="59" width="9.28515625" style="545" bestFit="1" customWidth="1"/>
    <col min="60" max="60" width="11.140625" style="545" bestFit="1" customWidth="1"/>
    <col min="61" max="64" width="9.28515625" style="545" bestFit="1" customWidth="1"/>
    <col min="65" max="16384" width="9.140625" style="545"/>
  </cols>
  <sheetData>
    <row r="1" spans="1:52" x14ac:dyDescent="0.25">
      <c r="AZ1" s="545" t="s">
        <v>210</v>
      </c>
    </row>
    <row r="3" spans="1:52" x14ac:dyDescent="0.25">
      <c r="A3" s="545" t="s">
        <v>237</v>
      </c>
      <c r="B3" s="546" t="s">
        <v>333</v>
      </c>
    </row>
    <row r="4" spans="1:52" x14ac:dyDescent="0.25">
      <c r="B4" s="545" t="s">
        <v>242</v>
      </c>
    </row>
    <row r="5" spans="1:52" x14ac:dyDescent="0.25">
      <c r="B5" s="545" t="s">
        <v>334</v>
      </c>
    </row>
    <row r="6" spans="1:52" x14ac:dyDescent="0.25">
      <c r="B6" s="545" t="s">
        <v>335</v>
      </c>
    </row>
    <row r="7" spans="1:52" x14ac:dyDescent="0.25">
      <c r="B7" s="530" t="s">
        <v>336</v>
      </c>
    </row>
    <row r="8" spans="1:52" x14ac:dyDescent="0.25">
      <c r="A8" s="530" t="s">
        <v>337</v>
      </c>
      <c r="B8" s="530"/>
    </row>
    <row r="10" spans="1:52" x14ac:dyDescent="0.25">
      <c r="B10" s="546"/>
    </row>
    <row r="11" spans="1:52" x14ac:dyDescent="0.25">
      <c r="B11" s="530"/>
    </row>
    <row r="13" spans="1:52" x14ac:dyDescent="0.25">
      <c r="B13" s="546" t="s">
        <v>237</v>
      </c>
      <c r="C13" s="548"/>
      <c r="J13" s="545" t="s">
        <v>341</v>
      </c>
    </row>
    <row r="14" spans="1:52" x14ac:dyDescent="0.25">
      <c r="C14" s="530" t="s">
        <v>338</v>
      </c>
      <c r="J14" s="545" t="s">
        <v>282</v>
      </c>
    </row>
    <row r="15" spans="1:52" ht="15" customHeight="1" x14ac:dyDescent="0.25">
      <c r="B15" s="546"/>
      <c r="C15" s="530" t="s">
        <v>339</v>
      </c>
      <c r="J15" s="530" t="s">
        <v>284</v>
      </c>
      <c r="K15" s="547"/>
    </row>
    <row r="16" spans="1:52" ht="15" customHeight="1" x14ac:dyDescent="0.25">
      <c r="A16" s="530"/>
      <c r="B16" s="546"/>
      <c r="C16" s="530" t="s">
        <v>340</v>
      </c>
      <c r="D16" s="549"/>
      <c r="J16" s="530" t="s">
        <v>282</v>
      </c>
    </row>
    <row r="17" spans="1:61" ht="15" customHeight="1" x14ac:dyDescent="0.25">
      <c r="A17" s="530"/>
      <c r="C17" s="530" t="s">
        <v>251</v>
      </c>
      <c r="D17" s="549"/>
      <c r="J17" s="530" t="s">
        <v>283</v>
      </c>
    </row>
    <row r="18" spans="1:61" ht="15" customHeight="1" x14ac:dyDescent="0.25">
      <c r="A18" s="530"/>
      <c r="B18" s="546"/>
      <c r="C18" s="530"/>
      <c r="D18" s="549"/>
    </row>
    <row r="19" spans="1:61" ht="15" customHeight="1" x14ac:dyDescent="0.25">
      <c r="A19" s="530"/>
      <c r="B19" s="546"/>
      <c r="C19" s="530"/>
      <c r="D19" s="549"/>
    </row>
    <row r="20" spans="1:61" ht="15" customHeight="1" x14ac:dyDescent="0.25">
      <c r="A20" s="530"/>
      <c r="B20" s="546"/>
      <c r="C20" s="530"/>
    </row>
    <row r="21" spans="1:61" ht="15" customHeight="1" x14ac:dyDescent="0.25">
      <c r="A21" s="530"/>
      <c r="B21" s="546"/>
      <c r="C21" s="530"/>
    </row>
    <row r="22" spans="1:61" ht="15" customHeight="1" x14ac:dyDescent="0.25">
      <c r="A22" s="530"/>
      <c r="B22" s="546" t="s">
        <v>349</v>
      </c>
    </row>
    <row r="23" spans="1:61" ht="15" customHeight="1" x14ac:dyDescent="0.25">
      <c r="A23" s="530"/>
      <c r="B23" s="546"/>
      <c r="C23" s="530" t="s">
        <v>342</v>
      </c>
    </row>
    <row r="24" spans="1:61" ht="15" customHeight="1" x14ac:dyDescent="0.25">
      <c r="A24" s="530"/>
      <c r="B24" s="546"/>
      <c r="C24" s="545" t="s">
        <v>343</v>
      </c>
    </row>
    <row r="25" spans="1:61" ht="15" customHeight="1" x14ac:dyDescent="0.25">
      <c r="A25" s="530"/>
      <c r="B25" s="546"/>
      <c r="C25" s="530" t="s">
        <v>344</v>
      </c>
      <c r="G25" s="530"/>
    </row>
    <row r="26" spans="1:61" ht="15" customHeight="1" x14ac:dyDescent="0.25">
      <c r="A26" s="530"/>
      <c r="G26" s="530"/>
    </row>
    <row r="27" spans="1:61" ht="15" customHeight="1" x14ac:dyDescent="0.25">
      <c r="A27" s="530"/>
      <c r="C27" s="654" t="s">
        <v>350</v>
      </c>
      <c r="D27" s="552"/>
      <c r="E27" s="552"/>
      <c r="F27" s="552"/>
      <c r="G27" s="552"/>
      <c r="H27" s="552"/>
      <c r="I27" s="552"/>
      <c r="J27" s="643"/>
      <c r="K27" s="552"/>
      <c r="L27" s="552"/>
      <c r="M27" s="552"/>
      <c r="N27" s="552" t="s">
        <v>318</v>
      </c>
      <c r="O27" s="552"/>
      <c r="P27" s="552"/>
      <c r="Q27" s="552"/>
      <c r="R27" s="552"/>
      <c r="S27" s="552"/>
      <c r="T27" s="552"/>
      <c r="U27" s="552"/>
      <c r="V27" s="562"/>
      <c r="BI27" s="545" t="s">
        <v>276</v>
      </c>
    </row>
    <row r="28" spans="1:61" ht="15" customHeight="1" x14ac:dyDescent="0.25">
      <c r="A28" s="530"/>
      <c r="B28" s="546"/>
      <c r="C28" s="554"/>
      <c r="J28" s="644"/>
      <c r="V28" s="645"/>
    </row>
    <row r="29" spans="1:61" ht="15" customHeight="1" x14ac:dyDescent="0.25">
      <c r="A29" s="530"/>
      <c r="B29" s="546"/>
      <c r="C29" s="554"/>
      <c r="D29" s="545" t="s">
        <v>263</v>
      </c>
      <c r="U29" s="537" t="s">
        <v>312</v>
      </c>
      <c r="V29" s="528" t="s">
        <v>313</v>
      </c>
    </row>
    <row r="30" spans="1:61" ht="15" customHeight="1" x14ac:dyDescent="0.25">
      <c r="A30" s="530"/>
      <c r="B30" s="546"/>
      <c r="C30" s="646" t="s">
        <v>35</v>
      </c>
      <c r="D30" s="550" t="s">
        <v>259</v>
      </c>
      <c r="E30" s="550" t="s">
        <v>260</v>
      </c>
      <c r="F30" s="550" t="s">
        <v>261</v>
      </c>
      <c r="H30" s="537" t="s">
        <v>35</v>
      </c>
      <c r="I30" s="537" t="s">
        <v>312</v>
      </c>
      <c r="J30" s="537" t="s">
        <v>313</v>
      </c>
      <c r="K30" s="537" t="s">
        <v>314</v>
      </c>
      <c r="L30" s="537" t="s">
        <v>315</v>
      </c>
      <c r="M30" s="647" t="s">
        <v>316</v>
      </c>
      <c r="P30" s="537" t="s">
        <v>35</v>
      </c>
      <c r="Q30" s="537" t="s">
        <v>312</v>
      </c>
      <c r="R30" s="537" t="s">
        <v>313</v>
      </c>
      <c r="S30" s="537" t="s">
        <v>314</v>
      </c>
      <c r="T30" s="537" t="s">
        <v>315</v>
      </c>
      <c r="U30" s="537" t="s">
        <v>316</v>
      </c>
      <c r="V30" s="528"/>
    </row>
    <row r="31" spans="1:61" ht="15" customHeight="1" x14ac:dyDescent="0.25">
      <c r="A31" s="530"/>
      <c r="B31" s="546"/>
      <c r="C31" s="595" t="s">
        <v>310</v>
      </c>
      <c r="D31" s="535">
        <v>2.7</v>
      </c>
      <c r="E31" s="537">
        <v>0.9</v>
      </c>
      <c r="F31" s="775">
        <f>D31*E31</f>
        <v>2.4300000000000002</v>
      </c>
      <c r="G31" s="535">
        <f t="shared" ref="G31:G36" si="0">F31*0.87</f>
        <v>2.1141000000000001</v>
      </c>
      <c r="H31" s="551" t="s">
        <v>256</v>
      </c>
      <c r="I31" s="584">
        <v>1.9</v>
      </c>
      <c r="J31" s="552">
        <v>4.2</v>
      </c>
      <c r="K31" s="553">
        <f>J31/I31</f>
        <v>2.2105263157894739</v>
      </c>
      <c r="L31" s="648">
        <f>(J31+I31)/2</f>
        <v>3.05</v>
      </c>
      <c r="M31" s="648">
        <f>L31*0.87</f>
        <v>2.6534999999999997</v>
      </c>
      <c r="N31" s="537">
        <v>2.5</v>
      </c>
      <c r="P31" s="551" t="s">
        <v>256</v>
      </c>
      <c r="Q31" s="552">
        <v>2</v>
      </c>
      <c r="R31" s="552">
        <v>3.6</v>
      </c>
      <c r="S31" s="553">
        <f>R31/Q31</f>
        <v>1.8</v>
      </c>
      <c r="T31" s="781">
        <f>(R31+Q31)/2</f>
        <v>2.8</v>
      </c>
      <c r="U31" s="781">
        <f>T31*0.87</f>
        <v>2.4359999999999999</v>
      </c>
      <c r="V31" s="782"/>
    </row>
    <row r="32" spans="1:61" ht="15" customHeight="1" x14ac:dyDescent="0.25">
      <c r="A32" s="530"/>
      <c r="B32" s="546"/>
      <c r="C32" s="595" t="s">
        <v>311</v>
      </c>
      <c r="D32" s="535">
        <v>4.0999999999999996</v>
      </c>
      <c r="E32" s="537">
        <v>1.05</v>
      </c>
      <c r="F32" s="775">
        <f>D32*E32</f>
        <v>4.3049999999999997</v>
      </c>
      <c r="G32" s="535">
        <f t="shared" si="0"/>
        <v>3.7453499999999997</v>
      </c>
      <c r="H32" s="554" t="s">
        <v>255</v>
      </c>
      <c r="I32" s="591">
        <v>3</v>
      </c>
      <c r="J32" s="545">
        <v>5.2</v>
      </c>
      <c r="K32" s="555">
        <f>J32/I32</f>
        <v>1.7333333333333334</v>
      </c>
      <c r="L32" s="648">
        <f>(J32+I32)/2</f>
        <v>4.0999999999999996</v>
      </c>
      <c r="M32" s="648">
        <f t="shared" ref="M32:M36" si="1">L32*0.87</f>
        <v>3.5669999999999997</v>
      </c>
      <c r="N32" s="537">
        <v>3.7</v>
      </c>
      <c r="P32" s="554" t="s">
        <v>255</v>
      </c>
      <c r="Q32" s="545">
        <v>3</v>
      </c>
      <c r="R32" s="545">
        <v>5.2</v>
      </c>
      <c r="S32" s="555">
        <f>R32/Q32</f>
        <v>1.7333333333333334</v>
      </c>
      <c r="T32" s="781">
        <f>(R32+Q32)/2</f>
        <v>4.0999999999999996</v>
      </c>
      <c r="U32" s="781">
        <f t="shared" ref="U32:U36" si="2">T32*0.87</f>
        <v>3.5669999999999997</v>
      </c>
      <c r="V32" s="782"/>
    </row>
    <row r="33" spans="1:23" ht="15" customHeight="1" x14ac:dyDescent="0.25">
      <c r="A33" s="530"/>
      <c r="B33" s="546"/>
      <c r="C33" s="595" t="s">
        <v>258</v>
      </c>
      <c r="D33" s="535">
        <v>5.6</v>
      </c>
      <c r="E33" s="537">
        <v>1.0900000000000001</v>
      </c>
      <c r="F33" s="775">
        <f>D33*E33</f>
        <v>6.1040000000000001</v>
      </c>
      <c r="G33" s="535">
        <f t="shared" si="0"/>
        <v>5.3104800000000001</v>
      </c>
      <c r="H33" s="554" t="s">
        <v>307</v>
      </c>
      <c r="I33" s="591">
        <v>4.2</v>
      </c>
      <c r="J33" s="545">
        <v>7</v>
      </c>
      <c r="K33" s="555">
        <f t="shared" ref="K33:K36" si="3">J33/I33</f>
        <v>1.6666666666666665</v>
      </c>
      <c r="L33" s="648">
        <f>(J33+I33)/2</f>
        <v>5.6</v>
      </c>
      <c r="M33" s="648">
        <f t="shared" si="1"/>
        <v>4.8719999999999999</v>
      </c>
      <c r="N33" s="537">
        <v>5.3</v>
      </c>
      <c r="P33" s="554" t="s">
        <v>307</v>
      </c>
      <c r="Q33" s="545">
        <v>4.3</v>
      </c>
      <c r="R33" s="545">
        <v>7</v>
      </c>
      <c r="S33" s="555">
        <f t="shared" ref="S33:S36" si="4">R33/Q33</f>
        <v>1.6279069767441861</v>
      </c>
      <c r="T33" s="781">
        <f>(R33+Q33)/2</f>
        <v>5.65</v>
      </c>
      <c r="U33" s="781">
        <f t="shared" si="2"/>
        <v>4.9155000000000006</v>
      </c>
      <c r="V33" s="782"/>
    </row>
    <row r="34" spans="1:23" ht="15" customHeight="1" x14ac:dyDescent="0.25">
      <c r="A34" s="530"/>
      <c r="B34" s="546"/>
      <c r="C34" s="595" t="s">
        <v>305</v>
      </c>
      <c r="D34" s="535">
        <v>7.3</v>
      </c>
      <c r="E34" s="537">
        <v>1.0900000000000001</v>
      </c>
      <c r="F34" s="775">
        <f>D34*E34</f>
        <v>7.9570000000000007</v>
      </c>
      <c r="G34" s="535">
        <f t="shared" si="0"/>
        <v>6.9225900000000005</v>
      </c>
      <c r="H34" s="554" t="s">
        <v>308</v>
      </c>
      <c r="I34" s="591">
        <v>5.6</v>
      </c>
      <c r="J34" s="545">
        <v>9</v>
      </c>
      <c r="K34" s="555">
        <f t="shared" si="3"/>
        <v>1.6071428571428572</v>
      </c>
      <c r="L34" s="648">
        <f t="shared" ref="L34:L36" si="5">(J34+I34)/2</f>
        <v>7.3</v>
      </c>
      <c r="M34" s="648">
        <f t="shared" si="1"/>
        <v>6.351</v>
      </c>
      <c r="N34" s="537">
        <v>6.9</v>
      </c>
      <c r="P34" s="554" t="s">
        <v>308</v>
      </c>
      <c r="Q34" s="545">
        <v>5.6</v>
      </c>
      <c r="R34" s="545">
        <v>8.9</v>
      </c>
      <c r="S34" s="555">
        <f t="shared" si="4"/>
        <v>1.5892857142857144</v>
      </c>
      <c r="T34" s="781">
        <f t="shared" ref="T34:T36" si="6">(R34+Q34)/2</f>
        <v>7.25</v>
      </c>
      <c r="U34" s="781">
        <f t="shared" si="2"/>
        <v>6.3075000000000001</v>
      </c>
      <c r="V34" s="782"/>
    </row>
    <row r="35" spans="1:23" ht="15" customHeight="1" x14ac:dyDescent="0.25">
      <c r="A35" s="530"/>
      <c r="B35" s="546"/>
      <c r="C35" s="595" t="s">
        <v>306</v>
      </c>
      <c r="D35" s="535">
        <v>9.5</v>
      </c>
      <c r="E35" s="537">
        <v>1.07</v>
      </c>
      <c r="F35" s="775">
        <f>D35*E35</f>
        <v>10.165000000000001</v>
      </c>
      <c r="G35" s="535">
        <f t="shared" si="0"/>
        <v>8.8435500000000005</v>
      </c>
      <c r="H35" s="554" t="s">
        <v>309</v>
      </c>
      <c r="I35" s="591">
        <v>7.1</v>
      </c>
      <c r="J35" s="545">
        <v>11.9</v>
      </c>
      <c r="K35" s="555">
        <f t="shared" si="3"/>
        <v>1.6760563380281692</v>
      </c>
      <c r="L35" s="648">
        <f t="shared" si="5"/>
        <v>9.5</v>
      </c>
      <c r="M35" s="648">
        <f t="shared" si="1"/>
        <v>8.2650000000000006</v>
      </c>
      <c r="N35" s="537">
        <v>8.9</v>
      </c>
      <c r="P35" s="554" t="s">
        <v>309</v>
      </c>
      <c r="Q35" s="545">
        <v>7.1</v>
      </c>
      <c r="R35" s="545">
        <v>11.4</v>
      </c>
      <c r="S35" s="555">
        <f t="shared" si="4"/>
        <v>1.6056338028169015</v>
      </c>
      <c r="T35" s="781">
        <f t="shared" si="6"/>
        <v>9.25</v>
      </c>
      <c r="U35" s="781">
        <f t="shared" si="2"/>
        <v>8.0474999999999994</v>
      </c>
      <c r="V35" s="782"/>
    </row>
    <row r="36" spans="1:23" ht="15" customHeight="1" x14ac:dyDescent="0.25">
      <c r="A36" s="530"/>
      <c r="B36" s="546"/>
      <c r="C36" s="649" t="s">
        <v>264</v>
      </c>
      <c r="D36" s="535">
        <v>21.35</v>
      </c>
      <c r="E36" s="537">
        <v>1.08</v>
      </c>
      <c r="F36" s="775">
        <f t="shared" ref="F36:F37" si="7">D36*E36</f>
        <v>23.058000000000003</v>
      </c>
      <c r="G36" s="535">
        <f t="shared" si="0"/>
        <v>20.060460000000003</v>
      </c>
      <c r="H36" s="559" t="s">
        <v>317</v>
      </c>
      <c r="I36" s="776">
        <v>17.100000000000001</v>
      </c>
      <c r="J36" s="556">
        <v>25.6</v>
      </c>
      <c r="K36" s="557">
        <f t="shared" si="3"/>
        <v>1.4970760233918128</v>
      </c>
      <c r="L36" s="648">
        <f t="shared" si="5"/>
        <v>21.35</v>
      </c>
      <c r="M36" s="648">
        <f t="shared" si="1"/>
        <v>18.5745</v>
      </c>
      <c r="N36" s="537">
        <v>19.5</v>
      </c>
      <c r="P36" s="559" t="s">
        <v>317</v>
      </c>
      <c r="Q36" s="556">
        <v>17.100000000000001</v>
      </c>
      <c r="R36" s="556">
        <v>24.8</v>
      </c>
      <c r="S36" s="557">
        <f t="shared" si="4"/>
        <v>1.4502923976608186</v>
      </c>
      <c r="T36" s="781">
        <f t="shared" si="6"/>
        <v>20.950000000000003</v>
      </c>
      <c r="U36" s="781">
        <f t="shared" si="2"/>
        <v>18.226500000000001</v>
      </c>
      <c r="V36" s="782"/>
    </row>
    <row r="37" spans="1:23" ht="15" customHeight="1" x14ac:dyDescent="0.25">
      <c r="A37" s="530"/>
      <c r="C37" s="595" t="s">
        <v>266</v>
      </c>
      <c r="D37" s="535">
        <v>62</v>
      </c>
      <c r="E37" s="537">
        <v>1.0900000000000001</v>
      </c>
      <c r="F37" s="535">
        <f t="shared" si="7"/>
        <v>67.58</v>
      </c>
      <c r="G37" s="560"/>
      <c r="V37" s="645"/>
    </row>
    <row r="38" spans="1:23" ht="15" customHeight="1" x14ac:dyDescent="0.25">
      <c r="A38" s="530"/>
      <c r="C38" s="623" t="s">
        <v>267</v>
      </c>
      <c r="D38" s="650">
        <v>154</v>
      </c>
      <c r="E38" s="651">
        <v>1.111</v>
      </c>
      <c r="F38" s="650">
        <f>D38*E38</f>
        <v>171.09399999999999</v>
      </c>
      <c r="G38" s="652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653"/>
    </row>
    <row r="39" spans="1:23" ht="15" customHeight="1" x14ac:dyDescent="0.25">
      <c r="A39" s="530"/>
      <c r="C39" s="537"/>
      <c r="D39" s="535"/>
      <c r="E39" s="537"/>
      <c r="F39" s="535"/>
      <c r="G39" s="560"/>
    </row>
    <row r="40" spans="1:23" ht="15" customHeight="1" x14ac:dyDescent="0.25">
      <c r="A40" s="530"/>
      <c r="C40" s="548"/>
      <c r="D40" s="530"/>
    </row>
    <row r="41" spans="1:23" ht="15" customHeight="1" x14ac:dyDescent="0.25">
      <c r="A41" s="530"/>
      <c r="D41" s="530"/>
      <c r="E41" s="537"/>
      <c r="H41" s="530"/>
      <c r="O41" s="537"/>
      <c r="P41" s="535"/>
      <c r="Q41" s="537"/>
      <c r="R41" s="535"/>
    </row>
    <row r="42" spans="1:23" ht="15" customHeight="1" x14ac:dyDescent="0.25">
      <c r="A42" s="530"/>
      <c r="D42" s="530"/>
      <c r="H42" s="530"/>
      <c r="O42" s="537"/>
      <c r="P42" s="535"/>
      <c r="Q42" s="537"/>
      <c r="R42" s="535"/>
    </row>
    <row r="43" spans="1:23" ht="15" customHeight="1" x14ac:dyDescent="0.3">
      <c r="A43" s="530"/>
      <c r="B43" s="546" t="s">
        <v>349</v>
      </c>
      <c r="C43" s="431" t="s">
        <v>419</v>
      </c>
      <c r="G43" s="546"/>
      <c r="H43" s="530"/>
      <c r="L43" s="547"/>
      <c r="W43" s="558"/>
    </row>
    <row r="44" spans="1:23" ht="15" customHeight="1" x14ac:dyDescent="0.3">
      <c r="A44" s="530"/>
      <c r="B44" s="546"/>
      <c r="H44" s="537" t="s">
        <v>345</v>
      </c>
      <c r="I44" s="530"/>
      <c r="L44" s="431" t="s">
        <v>426</v>
      </c>
      <c r="W44" s="558"/>
    </row>
    <row r="45" spans="1:23" ht="15" customHeight="1" x14ac:dyDescent="0.25">
      <c r="A45" s="530"/>
      <c r="B45" s="546"/>
      <c r="C45" s="561" t="s">
        <v>15</v>
      </c>
      <c r="D45" s="552"/>
      <c r="E45" s="562"/>
      <c r="G45" s="563"/>
      <c r="H45" s="760" t="s">
        <v>283</v>
      </c>
      <c r="I45" s="564"/>
      <c r="J45" s="563"/>
      <c r="K45" s="642" t="s">
        <v>111</v>
      </c>
      <c r="L45" s="563" t="s">
        <v>191</v>
      </c>
      <c r="W45" s="558"/>
    </row>
    <row r="46" spans="1:23" ht="15" customHeight="1" x14ac:dyDescent="0.25">
      <c r="A46" s="530"/>
      <c r="B46" s="546"/>
      <c r="C46" s="565" t="s">
        <v>61</v>
      </c>
      <c r="D46" s="566" t="s">
        <v>19</v>
      </c>
      <c r="E46" s="528">
        <v>0.9</v>
      </c>
      <c r="G46" s="567" t="s">
        <v>2</v>
      </c>
      <c r="H46" s="568" t="s">
        <v>250</v>
      </c>
      <c r="I46" s="567" t="s">
        <v>295</v>
      </c>
      <c r="J46" s="568" t="s">
        <v>133</v>
      </c>
      <c r="K46" s="568" t="s">
        <v>127</v>
      </c>
      <c r="L46" s="568" t="s">
        <v>128</v>
      </c>
      <c r="W46" s="558"/>
    </row>
    <row r="47" spans="1:23" ht="15" customHeight="1" x14ac:dyDescent="0.25">
      <c r="A47" s="530"/>
      <c r="B47" s="546"/>
      <c r="C47" s="565" t="s">
        <v>62</v>
      </c>
      <c r="D47" s="566" t="s">
        <v>20</v>
      </c>
      <c r="E47" s="528">
        <v>0.96</v>
      </c>
      <c r="G47" s="570">
        <v>1</v>
      </c>
      <c r="H47" s="670">
        <f t="shared" ref="H47:H58" si="8">D53</f>
        <v>2.3100000000000005</v>
      </c>
      <c r="I47" s="667">
        <f>F$31</f>
        <v>2.4300000000000002</v>
      </c>
      <c r="J47" s="667">
        <f>I47*2</f>
        <v>4.8600000000000003</v>
      </c>
      <c r="K47" s="679">
        <f>(J47/G47)</f>
        <v>4.8600000000000003</v>
      </c>
      <c r="L47" s="659">
        <f t="shared" ref="L47:L58" si="9">SQRT(12*32.2*K47^2/(4*$E$49*($E$47*56)*$E$46^2))</f>
        <v>0.78513299735102959</v>
      </c>
      <c r="U47" s="675" t="s">
        <v>361</v>
      </c>
      <c r="W47" s="558"/>
    </row>
    <row r="48" spans="1:23" ht="15" customHeight="1" x14ac:dyDescent="0.25">
      <c r="A48" s="530"/>
      <c r="B48" s="546"/>
      <c r="C48" s="565" t="s">
        <v>356</v>
      </c>
      <c r="E48" s="665">
        <f>(E47*2.20462*25.4*12)</f>
        <v>645.0894489599998</v>
      </c>
      <c r="G48" s="537">
        <v>2</v>
      </c>
      <c r="H48" s="671">
        <f t="shared" si="8"/>
        <v>3.9700000000000006</v>
      </c>
      <c r="I48" s="667">
        <f>F$32</f>
        <v>4.3049999999999997</v>
      </c>
      <c r="J48" s="539">
        <f t="shared" ref="J48:J58" si="10">I48*2</f>
        <v>8.61</v>
      </c>
      <c r="K48" s="639">
        <f t="shared" ref="K48:K58" si="11">(J48/G48)</f>
        <v>4.3049999999999997</v>
      </c>
      <c r="L48" s="660">
        <f t="shared" si="9"/>
        <v>0.69547274765353551</v>
      </c>
      <c r="R48" s="537" t="s">
        <v>359</v>
      </c>
      <c r="S48" s="537" t="s">
        <v>359</v>
      </c>
      <c r="T48" s="537" t="s">
        <v>359</v>
      </c>
      <c r="U48" s="676" t="s">
        <v>359</v>
      </c>
      <c r="W48" s="558"/>
    </row>
    <row r="49" spans="1:23" ht="15" customHeight="1" x14ac:dyDescent="0.25">
      <c r="A49" s="530"/>
      <c r="B49" s="546"/>
      <c r="C49" s="571" t="s">
        <v>59</v>
      </c>
      <c r="D49" s="572" t="s">
        <v>28</v>
      </c>
      <c r="E49" s="573">
        <v>85</v>
      </c>
      <c r="G49" s="574">
        <v>3</v>
      </c>
      <c r="H49" s="672">
        <f t="shared" si="8"/>
        <v>6.37</v>
      </c>
      <c r="I49" s="667">
        <f>F$33</f>
        <v>6.1040000000000001</v>
      </c>
      <c r="J49" s="668">
        <f t="shared" si="10"/>
        <v>12.208</v>
      </c>
      <c r="K49" s="674">
        <f t="shared" si="11"/>
        <v>4.0693333333333337</v>
      </c>
      <c r="L49" s="661">
        <f t="shared" si="9"/>
        <v>0.65740079778198701</v>
      </c>
      <c r="Q49" s="675" t="s">
        <v>361</v>
      </c>
      <c r="R49" s="558" t="s">
        <v>360</v>
      </c>
      <c r="S49" s="558" t="s">
        <v>360</v>
      </c>
      <c r="T49" s="558" t="s">
        <v>360</v>
      </c>
      <c r="U49" s="675" t="s">
        <v>360</v>
      </c>
      <c r="W49" s="558"/>
    </row>
    <row r="50" spans="1:23" ht="15" customHeight="1" x14ac:dyDescent="0.25">
      <c r="A50" s="530"/>
      <c r="G50" s="537">
        <v>4</v>
      </c>
      <c r="H50" s="671">
        <f t="shared" si="8"/>
        <v>8.9499999999999993</v>
      </c>
      <c r="I50" s="667">
        <f>F$34</f>
        <v>7.9570000000000007</v>
      </c>
      <c r="J50" s="539">
        <f t="shared" si="10"/>
        <v>15.914000000000001</v>
      </c>
      <c r="K50" s="639">
        <f t="shared" si="11"/>
        <v>3.9785000000000004</v>
      </c>
      <c r="L50" s="660">
        <f t="shared" si="9"/>
        <v>0.6427266728314962</v>
      </c>
      <c r="N50" s="537" t="s">
        <v>354</v>
      </c>
      <c r="O50" s="537" t="s">
        <v>357</v>
      </c>
      <c r="P50" s="537" t="s">
        <v>357</v>
      </c>
      <c r="Q50" s="676" t="s">
        <v>295</v>
      </c>
      <c r="R50" s="537" t="s">
        <v>267</v>
      </c>
      <c r="S50" s="537" t="s">
        <v>267</v>
      </c>
      <c r="T50" s="537" t="s">
        <v>267</v>
      </c>
      <c r="U50" s="676" t="s">
        <v>267</v>
      </c>
      <c r="W50" s="558"/>
    </row>
    <row r="51" spans="1:23" ht="15" customHeight="1" x14ac:dyDescent="0.25">
      <c r="A51" s="530"/>
      <c r="B51" s="655"/>
      <c r="C51" s="655" t="s">
        <v>349</v>
      </c>
      <c r="D51" s="655"/>
      <c r="G51" s="537">
        <v>5</v>
      </c>
      <c r="H51" s="671">
        <f t="shared" si="8"/>
        <v>11.48</v>
      </c>
      <c r="I51" s="667">
        <f>F$35</f>
        <v>10.165000000000001</v>
      </c>
      <c r="J51" s="539">
        <f t="shared" si="10"/>
        <v>20.330000000000002</v>
      </c>
      <c r="K51" s="639">
        <f t="shared" si="11"/>
        <v>4.0660000000000007</v>
      </c>
      <c r="L51" s="660">
        <f t="shared" si="9"/>
        <v>0.65686229778380389</v>
      </c>
      <c r="M51" s="550" t="s">
        <v>332</v>
      </c>
      <c r="N51" s="550" t="s">
        <v>355</v>
      </c>
      <c r="O51" s="550" t="s">
        <v>26</v>
      </c>
      <c r="P51" s="666" t="s">
        <v>288</v>
      </c>
      <c r="Q51" s="677" t="s">
        <v>358</v>
      </c>
      <c r="R51" s="550" t="s">
        <v>82</v>
      </c>
      <c r="S51" s="550" t="s">
        <v>26</v>
      </c>
      <c r="T51" s="666" t="s">
        <v>288</v>
      </c>
      <c r="U51" s="677" t="s">
        <v>358</v>
      </c>
      <c r="W51" s="558"/>
    </row>
    <row r="52" spans="1:23" ht="15" customHeight="1" x14ac:dyDescent="0.25">
      <c r="A52" s="530"/>
      <c r="B52" s="641"/>
      <c r="C52" s="656" t="s">
        <v>345</v>
      </c>
      <c r="D52" s="657" t="s">
        <v>346</v>
      </c>
      <c r="G52" s="574">
        <v>10</v>
      </c>
      <c r="H52" s="672">
        <f t="shared" si="8"/>
        <v>23.700000000000003</v>
      </c>
      <c r="I52" s="678">
        <f>F$36</f>
        <v>23.058000000000003</v>
      </c>
      <c r="J52" s="668">
        <f t="shared" si="10"/>
        <v>46.116000000000007</v>
      </c>
      <c r="K52" s="674">
        <f t="shared" si="11"/>
        <v>4.611600000000001</v>
      </c>
      <c r="L52" s="661">
        <f t="shared" si="9"/>
        <v>0.74500397748642166</v>
      </c>
      <c r="M52" s="630">
        <f>((L$58-L$52)/6*(G52-G$52)/10+L$52)</f>
        <v>0.74500397748642166</v>
      </c>
      <c r="N52" s="535">
        <f>M52/L$58</f>
        <v>0.92453889334402584</v>
      </c>
      <c r="O52" s="639">
        <f>($M52*$E$46*SQRT(4*$E$49*$E$48/32.2)/12)</f>
        <v>4.6114908026071664</v>
      </c>
      <c r="P52" s="539">
        <f>(O52*G52)/2</f>
        <v>23.05745401303583</v>
      </c>
      <c r="Q52" s="673">
        <f>P52-I52</f>
        <v>-5.4598696417329506E-4</v>
      </c>
      <c r="R52" s="630">
        <f>L58</f>
        <v>0.80581139728126261</v>
      </c>
      <c r="S52" s="639">
        <f>($R52*$E$46*SQRT(4*$E$49*$E$48/32.2)/12)</f>
        <v>4.9878818898873591</v>
      </c>
      <c r="T52" s="539">
        <f>(S52*G52)/2</f>
        <v>24.939409449436795</v>
      </c>
      <c r="U52" s="673">
        <f>T52-I52</f>
        <v>1.8814094494367914</v>
      </c>
      <c r="W52" s="558"/>
    </row>
    <row r="53" spans="1:23" ht="15" customHeight="1" x14ac:dyDescent="0.25">
      <c r="A53" s="530"/>
      <c r="B53" s="546"/>
      <c r="C53" s="7">
        <v>-2.3100000000000005</v>
      </c>
      <c r="D53" s="535">
        <f>-C53</f>
        <v>2.3100000000000005</v>
      </c>
      <c r="G53" s="537">
        <v>20</v>
      </c>
      <c r="H53" s="671">
        <f t="shared" si="8"/>
        <v>45.85</v>
      </c>
      <c r="I53" s="539">
        <f>H53</f>
        <v>45.85</v>
      </c>
      <c r="J53" s="539">
        <f t="shared" si="10"/>
        <v>91.7</v>
      </c>
      <c r="K53" s="639">
        <f t="shared" si="11"/>
        <v>4.585</v>
      </c>
      <c r="L53" s="660">
        <f t="shared" si="9"/>
        <v>0.74070674750091992</v>
      </c>
      <c r="M53" s="630">
        <f t="shared" ref="M53:M58" si="12">((L$58-L$52)/6*(G53-G$52)/10+L$52)</f>
        <v>0.75513854745222853</v>
      </c>
      <c r="N53" s="535">
        <f t="shared" ref="N53:N58" si="13">M53/L$58</f>
        <v>0.93711574445335488</v>
      </c>
      <c r="O53" s="639">
        <f t="shared" ref="O53:O58" si="14">($M53*$E$46*SQRT(4*$E$49*$E$48/32.2)/12)</f>
        <v>4.6742226504871986</v>
      </c>
      <c r="P53" s="539">
        <f t="shared" ref="P53:P58" si="15">(O53*G53)/2</f>
        <v>46.742226504871986</v>
      </c>
      <c r="Q53" s="673">
        <f t="shared" ref="Q53:Q58" si="16">P53-I53</f>
        <v>0.89222650487198507</v>
      </c>
      <c r="R53" s="630">
        <f>L58</f>
        <v>0.80581139728126261</v>
      </c>
      <c r="S53" s="639">
        <f t="shared" ref="S53:S58" si="17">($R53*$E$46*SQRT(4*$E$49*$E$48/32.2)/12)</f>
        <v>4.9878818898873591</v>
      </c>
      <c r="T53" s="539">
        <f t="shared" ref="T53:T58" si="18">(S53*G53)/2</f>
        <v>49.87881889887359</v>
      </c>
      <c r="U53" s="673">
        <f t="shared" ref="U53:U58" si="19">T53-I53</f>
        <v>4.0288188988735882</v>
      </c>
      <c r="W53" s="558"/>
    </row>
    <row r="54" spans="1:23" ht="15" customHeight="1" x14ac:dyDescent="0.25">
      <c r="A54" s="530"/>
      <c r="B54" s="546"/>
      <c r="C54" s="7">
        <v>-3.9700000000000006</v>
      </c>
      <c r="D54" s="535">
        <f t="shared" ref="D54:D64" si="20">-C54</f>
        <v>3.9700000000000006</v>
      </c>
      <c r="G54" s="574">
        <v>30</v>
      </c>
      <c r="H54" s="672">
        <f t="shared" si="8"/>
        <v>68.67</v>
      </c>
      <c r="I54" s="668">
        <f t="shared" ref="I54:I58" si="21">H54</f>
        <v>68.67</v>
      </c>
      <c r="J54" s="668">
        <f>I54*2</f>
        <v>137.34</v>
      </c>
      <c r="K54" s="674">
        <f>(J54/G54)</f>
        <v>4.5780000000000003</v>
      </c>
      <c r="L54" s="661">
        <f t="shared" si="9"/>
        <v>0.7395758975047354</v>
      </c>
      <c r="M54" s="630">
        <f t="shared" si="12"/>
        <v>0.76527311741803528</v>
      </c>
      <c r="N54" s="536">
        <f t="shared" si="13"/>
        <v>0.94969259556268382</v>
      </c>
      <c r="O54" s="639">
        <f t="shared" si="14"/>
        <v>4.73695449836723</v>
      </c>
      <c r="P54" s="539">
        <f t="shared" si="15"/>
        <v>71.054317475508455</v>
      </c>
      <c r="Q54" s="680">
        <f t="shared" si="16"/>
        <v>2.3843174755084533</v>
      </c>
      <c r="R54" s="630">
        <f>L58</f>
        <v>0.80581139728126261</v>
      </c>
      <c r="S54" s="639">
        <f t="shared" si="17"/>
        <v>4.9878818898873591</v>
      </c>
      <c r="T54" s="539">
        <f t="shared" si="18"/>
        <v>74.818228348310384</v>
      </c>
      <c r="U54" s="680">
        <f t="shared" si="19"/>
        <v>6.1482283483103828</v>
      </c>
      <c r="W54" s="558"/>
    </row>
    <row r="55" spans="1:23" ht="15" customHeight="1" x14ac:dyDescent="0.25">
      <c r="A55" s="530"/>
      <c r="B55" s="546"/>
      <c r="C55" s="640">
        <v>-6.37</v>
      </c>
      <c r="D55" s="535">
        <f t="shared" si="20"/>
        <v>6.37</v>
      </c>
      <c r="G55" s="537">
        <v>40</v>
      </c>
      <c r="H55" s="671">
        <f t="shared" si="8"/>
        <v>94.48</v>
      </c>
      <c r="I55" s="539">
        <f t="shared" si="21"/>
        <v>94.48</v>
      </c>
      <c r="J55" s="539">
        <f t="shared" si="10"/>
        <v>188.96</v>
      </c>
      <c r="K55" s="639">
        <f t="shared" si="11"/>
        <v>4.7240000000000002</v>
      </c>
      <c r="L55" s="660">
        <f t="shared" si="9"/>
        <v>0.76316219742515723</v>
      </c>
      <c r="M55" s="630">
        <f t="shared" si="12"/>
        <v>0.77540768738384214</v>
      </c>
      <c r="N55" s="535">
        <f t="shared" si="13"/>
        <v>0.96226944667201286</v>
      </c>
      <c r="O55" s="639">
        <f t="shared" si="14"/>
        <v>4.7996863462472623</v>
      </c>
      <c r="P55" s="539">
        <f t="shared" si="15"/>
        <v>95.99372692494525</v>
      </c>
      <c r="Q55" s="673">
        <f t="shared" si="16"/>
        <v>1.5137269249452459</v>
      </c>
      <c r="R55" s="630">
        <f>L58</f>
        <v>0.80581139728126261</v>
      </c>
      <c r="S55" s="639">
        <f t="shared" si="17"/>
        <v>4.9878818898873591</v>
      </c>
      <c r="T55" s="539">
        <f t="shared" si="18"/>
        <v>99.757637797747179</v>
      </c>
      <c r="U55" s="673">
        <f t="shared" si="19"/>
        <v>5.2776377977471753</v>
      </c>
      <c r="W55" s="558"/>
    </row>
    <row r="56" spans="1:23" ht="15" customHeight="1" x14ac:dyDescent="0.25">
      <c r="A56" s="530"/>
      <c r="B56" s="546"/>
      <c r="C56" s="7">
        <v>-8.9499999999999993</v>
      </c>
      <c r="D56" s="535">
        <f t="shared" si="20"/>
        <v>8.9499999999999993</v>
      </c>
      <c r="G56" s="537">
        <v>50</v>
      </c>
      <c r="H56" s="671">
        <f t="shared" si="8"/>
        <v>121.47</v>
      </c>
      <c r="I56" s="539">
        <f t="shared" si="21"/>
        <v>121.47</v>
      </c>
      <c r="J56" s="539">
        <f t="shared" si="10"/>
        <v>242.94</v>
      </c>
      <c r="K56" s="639">
        <f t="shared" si="11"/>
        <v>4.8587999999999996</v>
      </c>
      <c r="L56" s="660">
        <f t="shared" si="9"/>
        <v>0.78493913735168364</v>
      </c>
      <c r="M56" s="630">
        <f t="shared" si="12"/>
        <v>0.785542257349649</v>
      </c>
      <c r="N56" s="535">
        <f t="shared" si="13"/>
        <v>0.97484629778134202</v>
      </c>
      <c r="O56" s="639">
        <f t="shared" si="14"/>
        <v>4.8624181941272946</v>
      </c>
      <c r="P56" s="539">
        <f t="shared" si="15"/>
        <v>121.56045485318236</v>
      </c>
      <c r="Q56" s="673">
        <f t="shared" si="16"/>
        <v>9.0454853182365014E-2</v>
      </c>
      <c r="R56" s="630">
        <f>L58</f>
        <v>0.80581139728126261</v>
      </c>
      <c r="S56" s="639">
        <f t="shared" si="17"/>
        <v>4.9878818898873591</v>
      </c>
      <c r="T56" s="539">
        <f t="shared" si="18"/>
        <v>124.69704724718397</v>
      </c>
      <c r="U56" s="673">
        <f t="shared" si="19"/>
        <v>3.2270472471839753</v>
      </c>
      <c r="W56" s="558"/>
    </row>
    <row r="57" spans="1:23" ht="15" customHeight="1" x14ac:dyDescent="0.25">
      <c r="A57" s="530"/>
      <c r="B57" s="546"/>
      <c r="C57" s="7">
        <v>-11.48</v>
      </c>
      <c r="D57" s="535">
        <f t="shared" si="20"/>
        <v>11.48</v>
      </c>
      <c r="G57" s="537">
        <v>60</v>
      </c>
      <c r="H57" s="671">
        <f t="shared" si="8"/>
        <v>147.88</v>
      </c>
      <c r="I57" s="539">
        <f t="shared" si="21"/>
        <v>147.88</v>
      </c>
      <c r="J57" s="539">
        <f t="shared" si="10"/>
        <v>295.76</v>
      </c>
      <c r="K57" s="639">
        <f t="shared" si="11"/>
        <v>4.9293333333333331</v>
      </c>
      <c r="L57" s="660">
        <f t="shared" si="9"/>
        <v>0.79633379731323906</v>
      </c>
      <c r="M57" s="630">
        <f t="shared" si="12"/>
        <v>0.79567682731545575</v>
      </c>
      <c r="N57" s="535">
        <f t="shared" si="13"/>
        <v>0.98742314889067095</v>
      </c>
      <c r="O57" s="639">
        <f t="shared" si="14"/>
        <v>4.9251500420073269</v>
      </c>
      <c r="P57" s="539">
        <f t="shared" si="15"/>
        <v>147.7545012602198</v>
      </c>
      <c r="Q57" s="673">
        <f t="shared" si="16"/>
        <v>-0.12549873978019832</v>
      </c>
      <c r="R57" s="630">
        <f>L58</f>
        <v>0.80581139728126261</v>
      </c>
      <c r="S57" s="639">
        <f t="shared" si="17"/>
        <v>4.9878818898873591</v>
      </c>
      <c r="T57" s="539">
        <f t="shared" si="18"/>
        <v>149.63645669662077</v>
      </c>
      <c r="U57" s="673">
        <f t="shared" si="19"/>
        <v>1.7564566966207735</v>
      </c>
      <c r="W57" s="558"/>
    </row>
    <row r="58" spans="1:23" ht="15" customHeight="1" x14ac:dyDescent="0.25">
      <c r="A58" s="530"/>
      <c r="B58" s="546"/>
      <c r="C58" s="640">
        <v>-23.700000000000003</v>
      </c>
      <c r="D58" s="535">
        <f t="shared" si="20"/>
        <v>23.700000000000003</v>
      </c>
      <c r="G58" s="574">
        <v>70</v>
      </c>
      <c r="H58" s="672">
        <f t="shared" si="8"/>
        <v>174.58</v>
      </c>
      <c r="I58" s="668">
        <f t="shared" si="21"/>
        <v>174.58</v>
      </c>
      <c r="J58" s="668">
        <f t="shared" si="10"/>
        <v>349.16</v>
      </c>
      <c r="K58" s="674">
        <f t="shared" si="11"/>
        <v>4.9880000000000004</v>
      </c>
      <c r="L58" s="661">
        <f t="shared" si="9"/>
        <v>0.80581139728126261</v>
      </c>
      <c r="M58" s="630">
        <f t="shared" si="12"/>
        <v>0.80581139728126261</v>
      </c>
      <c r="N58" s="535">
        <f t="shared" si="13"/>
        <v>1</v>
      </c>
      <c r="O58" s="639">
        <f t="shared" si="14"/>
        <v>4.9878818898873591</v>
      </c>
      <c r="P58" s="539">
        <f t="shared" si="15"/>
        <v>174.57586614605756</v>
      </c>
      <c r="Q58" s="673">
        <f t="shared" si="16"/>
        <v>-4.1338539424486953E-3</v>
      </c>
      <c r="R58" s="630">
        <f>L58</f>
        <v>0.80581139728126261</v>
      </c>
      <c r="S58" s="639">
        <f t="shared" si="17"/>
        <v>4.9878818898873591</v>
      </c>
      <c r="T58" s="539">
        <f t="shared" si="18"/>
        <v>174.57586614605756</v>
      </c>
      <c r="U58" s="673">
        <f t="shared" si="19"/>
        <v>-4.1338539424486953E-3</v>
      </c>
      <c r="W58" s="558"/>
    </row>
    <row r="59" spans="1:23" ht="15" customHeight="1" x14ac:dyDescent="0.25">
      <c r="A59" s="530"/>
      <c r="B59" s="546"/>
      <c r="C59" s="7">
        <v>-45.85</v>
      </c>
      <c r="D59" s="535">
        <f t="shared" si="20"/>
        <v>45.85</v>
      </c>
      <c r="I59" s="537"/>
      <c r="J59" s="535"/>
      <c r="K59" s="535"/>
      <c r="L59" s="662">
        <f>L54/L58</f>
        <v>0.91780272654370487</v>
      </c>
      <c r="M59" s="538"/>
      <c r="R59" s="537"/>
      <c r="W59" s="558"/>
    </row>
    <row r="60" spans="1:23" ht="15" customHeight="1" x14ac:dyDescent="0.25">
      <c r="A60" s="530"/>
      <c r="B60" s="546"/>
      <c r="C60" s="7">
        <v>-68.67</v>
      </c>
      <c r="D60" s="535">
        <f t="shared" si="20"/>
        <v>68.67</v>
      </c>
      <c r="G60" s="537"/>
      <c r="H60" s="535"/>
      <c r="I60" s="537"/>
      <c r="J60" s="535"/>
      <c r="K60" s="535"/>
      <c r="L60" s="578"/>
      <c r="M60" s="538"/>
      <c r="W60" s="558"/>
    </row>
    <row r="61" spans="1:23" ht="15" customHeight="1" x14ac:dyDescent="0.25">
      <c r="A61" s="530"/>
      <c r="B61" s="546"/>
      <c r="C61" s="7">
        <v>-94.48</v>
      </c>
      <c r="D61" s="535">
        <f t="shared" si="20"/>
        <v>94.48</v>
      </c>
      <c r="W61" s="558"/>
    </row>
    <row r="62" spans="1:23" ht="15" customHeight="1" x14ac:dyDescent="0.25">
      <c r="A62" s="530"/>
      <c r="B62" s="546"/>
      <c r="C62" s="7">
        <v>-121.47</v>
      </c>
      <c r="D62" s="535">
        <f t="shared" si="20"/>
        <v>121.47</v>
      </c>
      <c r="W62" s="558"/>
    </row>
    <row r="63" spans="1:23" ht="15" customHeight="1" x14ac:dyDescent="0.25">
      <c r="B63" s="546"/>
      <c r="C63" s="7">
        <v>-147.88</v>
      </c>
      <c r="D63" s="535">
        <f t="shared" si="20"/>
        <v>147.88</v>
      </c>
      <c r="W63" s="558"/>
    </row>
    <row r="64" spans="1:23" ht="15" customHeight="1" x14ac:dyDescent="0.25">
      <c r="B64" s="546"/>
      <c r="C64" s="640">
        <v>-174.58</v>
      </c>
      <c r="D64" s="535">
        <f t="shared" si="20"/>
        <v>174.58</v>
      </c>
    </row>
    <row r="65" spans="2:16" ht="15" customHeight="1" x14ac:dyDescent="0.25">
      <c r="B65" s="579"/>
    </row>
    <row r="66" spans="2:16" ht="15" customHeight="1" x14ac:dyDescent="0.25">
      <c r="C66" s="575" t="s">
        <v>139</v>
      </c>
      <c r="D66" s="576"/>
      <c r="E66" s="576"/>
      <c r="F66" s="577"/>
      <c r="J66" s="530" t="s">
        <v>112</v>
      </c>
      <c r="L66" s="530" t="s">
        <v>83</v>
      </c>
      <c r="O66" s="545" t="s">
        <v>270</v>
      </c>
      <c r="P66" s="530"/>
    </row>
    <row r="67" spans="2:16" ht="15" customHeight="1" x14ac:dyDescent="0.25">
      <c r="C67" s="580"/>
      <c r="J67" s="530" t="s">
        <v>113</v>
      </c>
      <c r="L67" s="530" t="s">
        <v>84</v>
      </c>
      <c r="P67" s="530"/>
    </row>
    <row r="68" spans="2:16" ht="15" customHeight="1" x14ac:dyDescent="0.25">
      <c r="C68" s="561" t="s">
        <v>15</v>
      </c>
      <c r="D68" s="552"/>
      <c r="E68" s="562"/>
      <c r="G68" s="581"/>
      <c r="H68" s="582"/>
      <c r="J68" s="583" t="s">
        <v>76</v>
      </c>
      <c r="K68" s="584"/>
      <c r="L68" s="583" t="s">
        <v>81</v>
      </c>
      <c r="M68" s="585"/>
      <c r="N68" s="584"/>
      <c r="O68" s="586" t="s">
        <v>347</v>
      </c>
      <c r="P68" s="587"/>
    </row>
    <row r="69" spans="2:16" ht="15" customHeight="1" x14ac:dyDescent="0.25">
      <c r="C69" s="565" t="s">
        <v>61</v>
      </c>
      <c r="D69" s="566" t="s">
        <v>19</v>
      </c>
      <c r="E69" s="528">
        <v>0.9</v>
      </c>
      <c r="G69" s="588" t="s">
        <v>35</v>
      </c>
      <c r="H69" s="589" t="s">
        <v>58</v>
      </c>
      <c r="J69" s="590" t="s">
        <v>80</v>
      </c>
      <c r="K69" s="591"/>
      <c r="L69" s="592" t="s">
        <v>82</v>
      </c>
      <c r="M69" s="593"/>
      <c r="N69" s="594" t="s">
        <v>136</v>
      </c>
      <c r="O69" s="595" t="s">
        <v>348</v>
      </c>
      <c r="P69" s="596" t="s">
        <v>142</v>
      </c>
    </row>
    <row r="70" spans="2:16" ht="15" customHeight="1" x14ac:dyDescent="0.25">
      <c r="C70" s="565" t="s">
        <v>62</v>
      </c>
      <c r="D70" s="566" t="s">
        <v>20</v>
      </c>
      <c r="E70" s="528">
        <v>0.96</v>
      </c>
      <c r="G70" s="531"/>
      <c r="H70" s="597"/>
      <c r="J70" s="598" t="s">
        <v>24</v>
      </c>
      <c r="K70" s="599" t="s">
        <v>26</v>
      </c>
      <c r="L70" s="598" t="s">
        <v>30</v>
      </c>
      <c r="M70" s="600" t="s">
        <v>32</v>
      </c>
      <c r="N70" s="601" t="s">
        <v>32</v>
      </c>
      <c r="O70" s="595"/>
      <c r="P70" s="602"/>
    </row>
    <row r="71" spans="2:16" ht="15" customHeight="1" x14ac:dyDescent="0.25">
      <c r="C71" s="565" t="s">
        <v>356</v>
      </c>
      <c r="E71" s="665">
        <f>(E70*2.20462*25.4*12)</f>
        <v>645.0894489599998</v>
      </c>
      <c r="G71" s="532"/>
      <c r="H71" s="603"/>
      <c r="J71" s="604" t="s">
        <v>25</v>
      </c>
      <c r="K71" s="605" t="s">
        <v>27</v>
      </c>
      <c r="L71" s="604" t="s">
        <v>31</v>
      </c>
      <c r="M71" s="606" t="s">
        <v>33</v>
      </c>
      <c r="N71" s="605" t="s">
        <v>33</v>
      </c>
      <c r="O71" s="595"/>
      <c r="P71" s="596"/>
    </row>
    <row r="72" spans="2:16" ht="15" customHeight="1" x14ac:dyDescent="0.25">
      <c r="C72" s="571" t="s">
        <v>59</v>
      </c>
      <c r="D72" s="572" t="s">
        <v>28</v>
      </c>
      <c r="E72" s="573">
        <v>85</v>
      </c>
      <c r="G72" s="607">
        <v>1</v>
      </c>
      <c r="H72" s="608">
        <f t="shared" ref="H72:H83" si="22">L47</f>
        <v>0.78513299735102959</v>
      </c>
      <c r="J72" s="609">
        <f>E70*2.20462*25.4*12</f>
        <v>645.0894489599998</v>
      </c>
      <c r="K72" s="610">
        <f t="shared" ref="K72:K83" si="23">($H72*$E$69*SQRT(4*$E$72*$J$72/32.2)/12)</f>
        <v>4.8598849207803854</v>
      </c>
      <c r="L72" s="607">
        <v>1</v>
      </c>
      <c r="M72" s="611">
        <f t="shared" ref="M72:M83" si="24">L72*K72</f>
        <v>4.8598849207803854</v>
      </c>
      <c r="N72" s="612">
        <f>M72/2</f>
        <v>2.4299424603901927</v>
      </c>
      <c r="O72" s="613">
        <f t="shared" ref="O72:O83" si="25">I47</f>
        <v>2.4300000000000002</v>
      </c>
      <c r="P72" s="602">
        <f>O72/N72</f>
        <v>1.0000236794124739</v>
      </c>
    </row>
    <row r="73" spans="2:16" ht="15" customHeight="1" x14ac:dyDescent="0.25">
      <c r="C73" s="546"/>
      <c r="G73" s="595">
        <v>2</v>
      </c>
      <c r="H73" s="614">
        <f t="shared" si="22"/>
        <v>0.69547274765353551</v>
      </c>
      <c r="J73" s="595"/>
      <c r="K73" s="615">
        <f t="shared" si="23"/>
        <v>4.3048980625431188</v>
      </c>
      <c r="L73" s="595">
        <v>2</v>
      </c>
      <c r="M73" s="602">
        <f t="shared" si="24"/>
        <v>8.6097961250862376</v>
      </c>
      <c r="N73" s="613">
        <f t="shared" ref="N73:N83" si="26">M73/2</f>
        <v>4.3048980625431188</v>
      </c>
      <c r="O73" s="613">
        <f t="shared" si="25"/>
        <v>4.3049999999999997</v>
      </c>
      <c r="P73" s="602">
        <f t="shared" ref="P73:P83" si="27">O73/N73</f>
        <v>1.0000236794124739</v>
      </c>
    </row>
    <row r="74" spans="2:16" ht="15" customHeight="1" x14ac:dyDescent="0.25">
      <c r="G74" s="616">
        <v>3</v>
      </c>
      <c r="H74" s="617">
        <f t="shared" si="22"/>
        <v>0.65740079778198701</v>
      </c>
      <c r="J74" s="595"/>
      <c r="K74" s="618">
        <f t="shared" si="23"/>
        <v>4.0692369761925198</v>
      </c>
      <c r="L74" s="616">
        <v>3</v>
      </c>
      <c r="M74" s="619">
        <f t="shared" si="24"/>
        <v>12.207710928577558</v>
      </c>
      <c r="N74" s="620">
        <f t="shared" si="26"/>
        <v>6.1038554642887792</v>
      </c>
      <c r="O74" s="613">
        <f t="shared" si="25"/>
        <v>6.1040000000000001</v>
      </c>
      <c r="P74" s="602">
        <f t="shared" si="27"/>
        <v>1.0000236794124739</v>
      </c>
    </row>
    <row r="75" spans="2:16" ht="15" customHeight="1" x14ac:dyDescent="0.25">
      <c r="G75" s="595">
        <v>4</v>
      </c>
      <c r="H75" s="614">
        <f t="shared" si="22"/>
        <v>0.6427266728314962</v>
      </c>
      <c r="J75" s="595"/>
      <c r="K75" s="615">
        <f t="shared" si="23"/>
        <v>3.9784057936882227</v>
      </c>
      <c r="L75" s="595">
        <v>4</v>
      </c>
      <c r="M75" s="602">
        <f t="shared" si="24"/>
        <v>15.913623174752891</v>
      </c>
      <c r="N75" s="613">
        <f t="shared" si="26"/>
        <v>7.9568115873764453</v>
      </c>
      <c r="O75" s="613">
        <f t="shared" si="25"/>
        <v>7.9570000000000007</v>
      </c>
      <c r="P75" s="602">
        <f t="shared" si="27"/>
        <v>1.0000236794124739</v>
      </c>
    </row>
    <row r="76" spans="2:16" ht="15" customHeight="1" x14ac:dyDescent="0.25">
      <c r="G76" s="595">
        <v>5</v>
      </c>
      <c r="H76" s="614">
        <f t="shared" si="22"/>
        <v>0.65686229778380389</v>
      </c>
      <c r="J76" s="595"/>
      <c r="K76" s="615">
        <f t="shared" si="23"/>
        <v>4.0659037217886933</v>
      </c>
      <c r="L76" s="595">
        <v>5</v>
      </c>
      <c r="M76" s="602">
        <f t="shared" si="24"/>
        <v>20.329518608943467</v>
      </c>
      <c r="N76" s="613">
        <f t="shared" si="26"/>
        <v>10.164759304471733</v>
      </c>
      <c r="O76" s="613">
        <f t="shared" si="25"/>
        <v>10.165000000000001</v>
      </c>
      <c r="P76" s="602">
        <f t="shared" si="27"/>
        <v>1.0000236794124737</v>
      </c>
    </row>
    <row r="77" spans="2:16" ht="15" customHeight="1" x14ac:dyDescent="0.25">
      <c r="G77" s="616">
        <v>10</v>
      </c>
      <c r="H77" s="617">
        <f t="shared" si="22"/>
        <v>0.74500397748642166</v>
      </c>
      <c r="J77" s="595"/>
      <c r="K77" s="618">
        <f t="shared" si="23"/>
        <v>4.6114908026071664</v>
      </c>
      <c r="L77" s="616">
        <v>10</v>
      </c>
      <c r="M77" s="619">
        <f t="shared" si="24"/>
        <v>46.11490802607166</v>
      </c>
      <c r="N77" s="620">
        <f t="shared" si="26"/>
        <v>23.05745401303583</v>
      </c>
      <c r="O77" s="613">
        <f t="shared" si="25"/>
        <v>23.058000000000003</v>
      </c>
      <c r="P77" s="602">
        <f t="shared" si="27"/>
        <v>1.0000236794124739</v>
      </c>
    </row>
    <row r="78" spans="2:16" ht="15" customHeight="1" x14ac:dyDescent="0.25">
      <c r="G78" s="595">
        <v>20</v>
      </c>
      <c r="H78" s="614">
        <f t="shared" si="22"/>
        <v>0.74070674750091992</v>
      </c>
      <c r="J78" s="595"/>
      <c r="K78" s="615">
        <f t="shared" si="23"/>
        <v>4.5848914324646222</v>
      </c>
      <c r="L78" s="595">
        <v>20</v>
      </c>
      <c r="M78" s="602">
        <f t="shared" si="24"/>
        <v>91.697828649292447</v>
      </c>
      <c r="N78" s="613">
        <f t="shared" si="26"/>
        <v>45.848914324646223</v>
      </c>
      <c r="O78" s="613">
        <f t="shared" si="25"/>
        <v>45.85</v>
      </c>
      <c r="P78" s="602">
        <f t="shared" si="27"/>
        <v>1.0000236794124739</v>
      </c>
    </row>
    <row r="79" spans="2:16" ht="15" customHeight="1" x14ac:dyDescent="0.25">
      <c r="G79" s="595">
        <v>30</v>
      </c>
      <c r="H79" s="614">
        <f t="shared" si="22"/>
        <v>0.7395758975047354</v>
      </c>
      <c r="J79" s="595"/>
      <c r="K79" s="615">
        <f t="shared" si="23"/>
        <v>4.5778915982165858</v>
      </c>
      <c r="L79" s="595">
        <v>30</v>
      </c>
      <c r="M79" s="602">
        <f t="shared" si="24"/>
        <v>137.33674794649758</v>
      </c>
      <c r="N79" s="613">
        <f t="shared" si="26"/>
        <v>68.668373973248791</v>
      </c>
      <c r="O79" s="613">
        <f t="shared" si="25"/>
        <v>68.67</v>
      </c>
      <c r="P79" s="602">
        <f t="shared" si="27"/>
        <v>1.0000236794124737</v>
      </c>
    </row>
    <row r="80" spans="2:16" ht="15" customHeight="1" x14ac:dyDescent="0.25">
      <c r="G80" s="595">
        <v>40</v>
      </c>
      <c r="H80" s="614">
        <f t="shared" si="22"/>
        <v>0.76316219742515723</v>
      </c>
      <c r="J80" s="595"/>
      <c r="K80" s="615">
        <f t="shared" si="23"/>
        <v>4.7238881411042266</v>
      </c>
      <c r="L80" s="595">
        <v>40</v>
      </c>
      <c r="M80" s="602">
        <f t="shared" si="24"/>
        <v>188.95552564416906</v>
      </c>
      <c r="N80" s="613">
        <f t="shared" si="26"/>
        <v>94.477762822084529</v>
      </c>
      <c r="O80" s="613">
        <f t="shared" si="25"/>
        <v>94.48</v>
      </c>
      <c r="P80" s="602">
        <f t="shared" si="27"/>
        <v>1.0000236794124739</v>
      </c>
    </row>
    <row r="81" spans="1:26" ht="15" customHeight="1" x14ac:dyDescent="0.25">
      <c r="G81" s="595">
        <v>50</v>
      </c>
      <c r="H81" s="614">
        <f t="shared" si="22"/>
        <v>0.78493913735168364</v>
      </c>
      <c r="J81" s="595"/>
      <c r="K81" s="615">
        <f t="shared" si="23"/>
        <v>4.8586849491950064</v>
      </c>
      <c r="L81" s="595">
        <v>50</v>
      </c>
      <c r="M81" s="602">
        <f t="shared" si="24"/>
        <v>242.93424745975031</v>
      </c>
      <c r="N81" s="613">
        <f t="shared" si="26"/>
        <v>121.46712372987515</v>
      </c>
      <c r="O81" s="613">
        <f t="shared" si="25"/>
        <v>121.47</v>
      </c>
      <c r="P81" s="602">
        <f t="shared" si="27"/>
        <v>1.0000236794124742</v>
      </c>
    </row>
    <row r="82" spans="1:26" ht="15" customHeight="1" x14ac:dyDescent="0.25">
      <c r="G82" s="595">
        <v>60</v>
      </c>
      <c r="H82" s="614">
        <f t="shared" si="22"/>
        <v>0.79633379731323906</v>
      </c>
      <c r="J82" s="595"/>
      <c r="K82" s="615">
        <f t="shared" si="23"/>
        <v>4.929216612379995</v>
      </c>
      <c r="L82" s="595">
        <v>60</v>
      </c>
      <c r="M82" s="602">
        <f t="shared" si="24"/>
        <v>295.75299674279972</v>
      </c>
      <c r="N82" s="613">
        <f t="shared" si="26"/>
        <v>147.87649837139986</v>
      </c>
      <c r="O82" s="613">
        <f t="shared" si="25"/>
        <v>147.88</v>
      </c>
      <c r="P82" s="602">
        <f t="shared" si="27"/>
        <v>1.0000236794124739</v>
      </c>
    </row>
    <row r="83" spans="1:26" ht="15" customHeight="1" x14ac:dyDescent="0.25">
      <c r="G83" s="621">
        <v>70</v>
      </c>
      <c r="H83" s="622">
        <f t="shared" si="22"/>
        <v>0.80581139728126261</v>
      </c>
      <c r="J83" s="623"/>
      <c r="K83" s="624">
        <f t="shared" si="23"/>
        <v>4.9878818898873591</v>
      </c>
      <c r="L83" s="621">
        <v>70</v>
      </c>
      <c r="M83" s="625">
        <f t="shared" si="24"/>
        <v>349.15173229211513</v>
      </c>
      <c r="N83" s="626">
        <f t="shared" si="26"/>
        <v>174.57586614605756</v>
      </c>
      <c r="O83" s="627">
        <f t="shared" si="25"/>
        <v>174.58</v>
      </c>
      <c r="P83" s="628">
        <f t="shared" si="27"/>
        <v>1.0000236794124737</v>
      </c>
    </row>
    <row r="84" spans="1:26" ht="15" customHeight="1" x14ac:dyDescent="0.25">
      <c r="B84" s="556"/>
      <c r="C84" s="556"/>
      <c r="D84" s="556"/>
      <c r="E84" s="556"/>
      <c r="F84" s="556"/>
      <c r="G84" s="556"/>
      <c r="H84" s="556"/>
      <c r="I84" s="556"/>
      <c r="J84" s="556"/>
      <c r="K84" s="556"/>
      <c r="L84" s="556"/>
      <c r="M84" s="556"/>
      <c r="N84" s="556"/>
      <c r="O84" s="556"/>
      <c r="P84" s="556"/>
      <c r="Q84" s="631"/>
      <c r="R84" s="632"/>
      <c r="S84" s="632"/>
      <c r="T84" s="556"/>
      <c r="U84" s="556"/>
      <c r="V84" s="556"/>
      <c r="W84" s="556"/>
      <c r="X84" s="556"/>
      <c r="Y84" s="556"/>
      <c r="Z84" s="556"/>
    </row>
    <row r="85" spans="1:26" ht="15" customHeight="1" x14ac:dyDescent="0.25">
      <c r="Q85" s="629"/>
      <c r="R85" s="630"/>
      <c r="S85" s="630"/>
    </row>
    <row r="86" spans="1:26" ht="15" customHeight="1" x14ac:dyDescent="0.25">
      <c r="C86" s="548"/>
      <c r="Q86" s="629"/>
      <c r="R86" s="630"/>
      <c r="S86" s="630"/>
    </row>
    <row r="87" spans="1:26" ht="15" customHeight="1" x14ac:dyDescent="0.3">
      <c r="B87" s="546" t="s">
        <v>282</v>
      </c>
      <c r="C87" s="431" t="s">
        <v>420</v>
      </c>
      <c r="Q87" s="629"/>
      <c r="R87" s="630"/>
      <c r="S87" s="630"/>
    </row>
    <row r="88" spans="1:26" ht="15" customHeight="1" x14ac:dyDescent="0.3">
      <c r="A88" s="530"/>
      <c r="C88" s="431" t="s">
        <v>424</v>
      </c>
      <c r="D88" s="530"/>
      <c r="H88" s="530"/>
      <c r="L88" s="745" t="s">
        <v>320</v>
      </c>
      <c r="O88" s="537"/>
      <c r="P88" s="535"/>
      <c r="Q88" s="537"/>
      <c r="R88" s="535"/>
    </row>
    <row r="89" spans="1:26" ht="15" customHeight="1" x14ac:dyDescent="0.3">
      <c r="A89" s="530"/>
      <c r="B89" s="546"/>
      <c r="C89" s="431" t="s">
        <v>421</v>
      </c>
      <c r="H89" s="530"/>
      <c r="L89" s="763" t="s">
        <v>319</v>
      </c>
      <c r="W89" s="558"/>
    </row>
    <row r="90" spans="1:26" ht="15" customHeight="1" thickBot="1" x14ac:dyDescent="0.3">
      <c r="A90" s="530"/>
      <c r="B90" s="546"/>
      <c r="H90" s="537" t="s">
        <v>345</v>
      </c>
      <c r="I90" s="530"/>
      <c r="W90" s="558"/>
    </row>
    <row r="91" spans="1:26" ht="15" customHeight="1" x14ac:dyDescent="0.25">
      <c r="A91" s="530"/>
      <c r="B91" s="546"/>
      <c r="C91" s="561" t="s">
        <v>15</v>
      </c>
      <c r="D91" s="552"/>
      <c r="E91" s="562"/>
      <c r="G91" s="563"/>
      <c r="H91" s="569" t="s">
        <v>282</v>
      </c>
      <c r="I91" s="564"/>
      <c r="J91" s="563"/>
      <c r="K91" s="642" t="s">
        <v>111</v>
      </c>
      <c r="L91" s="764"/>
      <c r="W91" s="558"/>
    </row>
    <row r="92" spans="1:26" ht="15" customHeight="1" x14ac:dyDescent="0.25">
      <c r="A92" s="530"/>
      <c r="B92" s="546"/>
      <c r="C92" s="565" t="s">
        <v>61</v>
      </c>
      <c r="D92" s="566" t="s">
        <v>19</v>
      </c>
      <c r="E92" s="528">
        <v>0.9</v>
      </c>
      <c r="G92" s="567" t="s">
        <v>2</v>
      </c>
      <c r="H92" s="568" t="s">
        <v>250</v>
      </c>
      <c r="I92" s="569">
        <v>0</v>
      </c>
      <c r="J92" s="568" t="s">
        <v>133</v>
      </c>
      <c r="K92" s="568" t="s">
        <v>127</v>
      </c>
      <c r="L92" s="765" t="s">
        <v>128</v>
      </c>
      <c r="W92" s="558"/>
    </row>
    <row r="93" spans="1:26" ht="15" customHeight="1" x14ac:dyDescent="0.25">
      <c r="A93" s="530"/>
      <c r="B93" s="546"/>
      <c r="C93" s="565" t="s">
        <v>62</v>
      </c>
      <c r="D93" s="566" t="s">
        <v>20</v>
      </c>
      <c r="E93" s="528">
        <v>0.96</v>
      </c>
      <c r="G93" s="570">
        <v>1</v>
      </c>
      <c r="H93" s="778">
        <f t="shared" ref="H93:H104" si="28">D99</f>
        <v>2.0999999999999996</v>
      </c>
      <c r="I93" s="529">
        <f>F$31</f>
        <v>2.4300000000000002</v>
      </c>
      <c r="J93" s="529">
        <f>I93*2</f>
        <v>4.8600000000000003</v>
      </c>
      <c r="K93" s="529">
        <f>(J93/G93)</f>
        <v>4.8600000000000003</v>
      </c>
      <c r="L93" s="766">
        <f t="shared" ref="L93:L104" si="29">SQRT(12*32.2*K93^2/(4*$E$95*($E$93*56)*$E$92^2))</f>
        <v>0.78513299735102959</v>
      </c>
      <c r="U93" s="675" t="s">
        <v>361</v>
      </c>
      <c r="W93" s="558"/>
    </row>
    <row r="94" spans="1:26" ht="15" customHeight="1" x14ac:dyDescent="0.25">
      <c r="A94" s="530"/>
      <c r="B94" s="546"/>
      <c r="C94" s="565" t="s">
        <v>356</v>
      </c>
      <c r="E94" s="665">
        <f>(E93*2.20462*25.4*12)</f>
        <v>645.0894489599998</v>
      </c>
      <c r="G94" s="537">
        <v>2</v>
      </c>
      <c r="H94" s="779">
        <f t="shared" si="28"/>
        <v>3.5999999999999996</v>
      </c>
      <c r="I94" s="529">
        <f>F$32</f>
        <v>4.3049999999999997</v>
      </c>
      <c r="J94" s="535">
        <f t="shared" ref="J94:J99" si="30">I94*2</f>
        <v>8.61</v>
      </c>
      <c r="K94" s="535">
        <f t="shared" ref="K94:K99" si="31">(J94/G94)</f>
        <v>4.3049999999999997</v>
      </c>
      <c r="L94" s="767">
        <f t="shared" si="29"/>
        <v>0.69547274765353551</v>
      </c>
      <c r="R94" s="537" t="s">
        <v>359</v>
      </c>
      <c r="S94" s="537" t="s">
        <v>359</v>
      </c>
      <c r="T94" s="537" t="s">
        <v>359</v>
      </c>
      <c r="U94" s="676" t="s">
        <v>359</v>
      </c>
      <c r="W94" s="558"/>
    </row>
    <row r="95" spans="1:26" ht="15" customHeight="1" x14ac:dyDescent="0.25">
      <c r="A95" s="530"/>
      <c r="B95" s="546"/>
      <c r="C95" s="571" t="s">
        <v>59</v>
      </c>
      <c r="D95" s="572" t="s">
        <v>28</v>
      </c>
      <c r="E95" s="573">
        <v>85</v>
      </c>
      <c r="G95" s="574">
        <v>3</v>
      </c>
      <c r="H95" s="780">
        <f t="shared" si="28"/>
        <v>5.8999999999999995</v>
      </c>
      <c r="I95" s="529">
        <f>F$33</f>
        <v>6.1040000000000001</v>
      </c>
      <c r="J95" s="536">
        <f t="shared" si="30"/>
        <v>12.208</v>
      </c>
      <c r="K95" s="536">
        <f t="shared" si="31"/>
        <v>4.0693333333333337</v>
      </c>
      <c r="L95" s="768">
        <f t="shared" si="29"/>
        <v>0.65740079778198701</v>
      </c>
      <c r="Q95" s="675" t="s">
        <v>361</v>
      </c>
      <c r="R95" s="558" t="s">
        <v>360</v>
      </c>
      <c r="S95" s="558" t="s">
        <v>360</v>
      </c>
      <c r="T95" s="558" t="s">
        <v>360</v>
      </c>
      <c r="U95" s="675" t="s">
        <v>360</v>
      </c>
      <c r="W95" s="558"/>
    </row>
    <row r="96" spans="1:26" ht="15" customHeight="1" x14ac:dyDescent="0.25">
      <c r="A96" s="530"/>
      <c r="G96" s="537">
        <v>4</v>
      </c>
      <c r="H96" s="779">
        <f t="shared" si="28"/>
        <v>8.2999999999999989</v>
      </c>
      <c r="I96" s="529">
        <f>F$34</f>
        <v>7.9570000000000007</v>
      </c>
      <c r="J96" s="535">
        <f t="shared" si="30"/>
        <v>15.914000000000001</v>
      </c>
      <c r="K96" s="535">
        <f t="shared" si="31"/>
        <v>3.9785000000000004</v>
      </c>
      <c r="L96" s="767">
        <f t="shared" si="29"/>
        <v>0.6427266728314962</v>
      </c>
      <c r="N96" s="537" t="s">
        <v>354</v>
      </c>
      <c r="O96" s="537" t="s">
        <v>357</v>
      </c>
      <c r="P96" s="537" t="s">
        <v>357</v>
      </c>
      <c r="Q96" s="676" t="s">
        <v>295</v>
      </c>
      <c r="R96" s="537" t="s">
        <v>267</v>
      </c>
      <c r="S96" s="537" t="s">
        <v>267</v>
      </c>
      <c r="T96" s="537" t="s">
        <v>267</v>
      </c>
      <c r="U96" s="676" t="s">
        <v>267</v>
      </c>
      <c r="W96" s="558"/>
    </row>
    <row r="97" spans="1:23" ht="15" customHeight="1" x14ac:dyDescent="0.25">
      <c r="A97" s="530"/>
      <c r="B97" s="655"/>
      <c r="C97" s="655" t="s">
        <v>351</v>
      </c>
      <c r="D97" s="655"/>
      <c r="G97" s="537">
        <v>5</v>
      </c>
      <c r="H97" s="779">
        <f t="shared" si="28"/>
        <v>10.799999999999999</v>
      </c>
      <c r="I97" s="529">
        <f>F$35</f>
        <v>10.165000000000001</v>
      </c>
      <c r="J97" s="535">
        <f t="shared" si="30"/>
        <v>20.330000000000002</v>
      </c>
      <c r="K97" s="535">
        <f t="shared" si="31"/>
        <v>4.0660000000000007</v>
      </c>
      <c r="L97" s="767">
        <f t="shared" si="29"/>
        <v>0.65686229778380389</v>
      </c>
      <c r="M97" s="550" t="s">
        <v>332</v>
      </c>
      <c r="N97" s="550" t="s">
        <v>355</v>
      </c>
      <c r="O97" s="550" t="s">
        <v>26</v>
      </c>
      <c r="P97" s="666" t="s">
        <v>288</v>
      </c>
      <c r="Q97" s="677" t="s">
        <v>358</v>
      </c>
      <c r="R97" s="550" t="s">
        <v>82</v>
      </c>
      <c r="S97" s="550" t="s">
        <v>26</v>
      </c>
      <c r="T97" s="666" t="s">
        <v>288</v>
      </c>
      <c r="U97" s="677" t="s">
        <v>358</v>
      </c>
      <c r="W97" s="558"/>
    </row>
    <row r="98" spans="1:23" ht="15" customHeight="1" x14ac:dyDescent="0.25">
      <c r="A98" s="530"/>
      <c r="B98" s="641"/>
      <c r="C98" s="777" t="s">
        <v>427</v>
      </c>
      <c r="D98" s="657" t="s">
        <v>346</v>
      </c>
      <c r="G98" s="574">
        <v>10</v>
      </c>
      <c r="H98" s="780">
        <f t="shared" si="28"/>
        <v>23</v>
      </c>
      <c r="I98" s="658">
        <f>F$36</f>
        <v>23.058000000000003</v>
      </c>
      <c r="J98" s="536">
        <f>I98*2</f>
        <v>46.116000000000007</v>
      </c>
      <c r="K98" s="536">
        <f>(J98/G98)</f>
        <v>4.611600000000001</v>
      </c>
      <c r="L98" s="768">
        <f t="shared" si="29"/>
        <v>0.74500397748642166</v>
      </c>
      <c r="M98" s="630">
        <f>((L$104-L$98)/6*(G98-G$98)/10+L$98)</f>
        <v>0.74500397748642166</v>
      </c>
      <c r="N98" s="639">
        <f>M98/L$104</f>
        <v>0.94833137485311436</v>
      </c>
      <c r="O98" s="639">
        <f>($M98*$E$92*SQRT(4*$E$95*$E$94/32.2)/12)</f>
        <v>4.6114908026071664</v>
      </c>
      <c r="P98" s="539">
        <f>(O98*G98)/2</f>
        <v>23.05745401303583</v>
      </c>
      <c r="Q98" s="673">
        <f>P98-I98</f>
        <v>-5.4598696417329506E-4</v>
      </c>
      <c r="R98" s="630">
        <f>L104</f>
        <v>0.78559456877804368</v>
      </c>
      <c r="S98" s="639">
        <f>($R98*$E$92*SQRT(4*$E$95*$E$94/32.2)/12)</f>
        <v>4.862741995983666</v>
      </c>
      <c r="T98" s="539">
        <f>(S98*G98)/2</f>
        <v>24.313709979918329</v>
      </c>
      <c r="U98" s="673">
        <f>T98-I98</f>
        <v>1.2557099799183256</v>
      </c>
      <c r="W98" s="558"/>
    </row>
    <row r="99" spans="1:23" ht="15" customHeight="1" x14ac:dyDescent="0.25">
      <c r="A99" s="530"/>
      <c r="B99" s="546"/>
      <c r="C99" s="7">
        <v>-2.0999999999999996</v>
      </c>
      <c r="D99" s="535">
        <f>-C99</f>
        <v>2.0999999999999996</v>
      </c>
      <c r="G99" s="537">
        <v>20</v>
      </c>
      <c r="H99" s="779">
        <f t="shared" si="28"/>
        <v>45.099999999999994</v>
      </c>
      <c r="I99" s="537">
        <f t="shared" ref="I99:I104" si="32">H99</f>
        <v>45.099999999999994</v>
      </c>
      <c r="J99" s="535">
        <f t="shared" si="30"/>
        <v>90.199999999999989</v>
      </c>
      <c r="K99" s="535">
        <f t="shared" si="31"/>
        <v>4.51</v>
      </c>
      <c r="L99" s="767">
        <f t="shared" si="29"/>
        <v>0.72859049754179905</v>
      </c>
      <c r="M99" s="630">
        <f t="shared" ref="M99:M104" si="33">((L$104-L$98)/6*(G99-G$98)/10+L$98)</f>
        <v>0.7517690760350253</v>
      </c>
      <c r="N99" s="639">
        <f t="shared" ref="N99:N104" si="34">M99/L$104</f>
        <v>0.95694281237759526</v>
      </c>
      <c r="O99" s="639">
        <f t="shared" ref="O99:O104" si="35">($M99*$E$92*SQRT(4*$E$95*$E$94/32.2)/12)</f>
        <v>4.6533660015032501</v>
      </c>
      <c r="P99" s="539">
        <f t="shared" ref="P99:P104" si="36">(O99*G99)/2</f>
        <v>46.533660015032503</v>
      </c>
      <c r="Q99" s="673">
        <f t="shared" ref="Q99:Q104" si="37">P99-I99</f>
        <v>1.4336600150325083</v>
      </c>
      <c r="R99" s="630">
        <f>L104</f>
        <v>0.78559456877804368</v>
      </c>
      <c r="S99" s="639">
        <f t="shared" ref="S99:S104" si="38">($R99*$E$92*SQRT(4*$E$95*$E$94/32.2)/12)</f>
        <v>4.862741995983666</v>
      </c>
      <c r="T99" s="539">
        <f t="shared" ref="T99:T104" si="39">(S99*G99)/2</f>
        <v>48.627419959836658</v>
      </c>
      <c r="U99" s="673">
        <f t="shared" ref="U99:U104" si="40">T99-I99</f>
        <v>3.5274199598366636</v>
      </c>
      <c r="W99" s="558"/>
    </row>
    <row r="100" spans="1:23" ht="15" customHeight="1" x14ac:dyDescent="0.25">
      <c r="A100" s="530"/>
      <c r="B100" s="546"/>
      <c r="C100" s="7">
        <v>-3.5999999999999996</v>
      </c>
      <c r="D100" s="535">
        <f t="shared" ref="D100:D110" si="41">-C100</f>
        <v>3.5999999999999996</v>
      </c>
      <c r="G100" s="574">
        <v>30</v>
      </c>
      <c r="H100" s="780">
        <f t="shared" si="28"/>
        <v>67.400000000000006</v>
      </c>
      <c r="I100" s="574">
        <f t="shared" si="32"/>
        <v>67.400000000000006</v>
      </c>
      <c r="J100" s="536">
        <f>I100*2</f>
        <v>134.80000000000001</v>
      </c>
      <c r="K100" s="536">
        <f>(J100/G100)</f>
        <v>4.4933333333333341</v>
      </c>
      <c r="L100" s="768">
        <f t="shared" si="29"/>
        <v>0.72589799755088336</v>
      </c>
      <c r="M100" s="630">
        <f t="shared" si="33"/>
        <v>0.75853417458362904</v>
      </c>
      <c r="N100" s="674">
        <f t="shared" si="34"/>
        <v>0.96555424990207628</v>
      </c>
      <c r="O100" s="639">
        <f t="shared" si="35"/>
        <v>4.6952412003993329</v>
      </c>
      <c r="P100" s="539">
        <f>(O100*G100)/2</f>
        <v>70.428618005989989</v>
      </c>
      <c r="Q100" s="680">
        <f>P100-I100</f>
        <v>3.0286180059899834</v>
      </c>
      <c r="R100" s="630">
        <f>L104</f>
        <v>0.78559456877804368</v>
      </c>
      <c r="S100" s="639">
        <f t="shared" si="38"/>
        <v>4.862741995983666</v>
      </c>
      <c r="T100" s="539">
        <f>(S100*G100)/2</f>
        <v>72.941129939754987</v>
      </c>
      <c r="U100" s="680">
        <f>T100-I100</f>
        <v>5.5411299397549811</v>
      </c>
      <c r="W100" s="558"/>
    </row>
    <row r="101" spans="1:23" ht="15" customHeight="1" x14ac:dyDescent="0.25">
      <c r="A101" s="530"/>
      <c r="B101" s="546"/>
      <c r="C101" s="640">
        <v>-5.8999999999999995</v>
      </c>
      <c r="D101" s="535">
        <f t="shared" si="41"/>
        <v>5.8999999999999995</v>
      </c>
      <c r="G101" s="537">
        <v>40</v>
      </c>
      <c r="H101" s="779">
        <f t="shared" si="28"/>
        <v>92</v>
      </c>
      <c r="I101" s="537">
        <f t="shared" si="32"/>
        <v>92</v>
      </c>
      <c r="J101" s="535">
        <f t="shared" ref="J101:J104" si="42">I101*2</f>
        <v>184</v>
      </c>
      <c r="K101" s="535">
        <f t="shared" ref="K101:K104" si="43">(J101/G101)</f>
        <v>4.5999999999999996</v>
      </c>
      <c r="L101" s="767">
        <f t="shared" si="29"/>
        <v>0.743129997492744</v>
      </c>
      <c r="M101" s="630">
        <f t="shared" si="33"/>
        <v>0.76529927313223267</v>
      </c>
      <c r="N101" s="639">
        <f t="shared" si="34"/>
        <v>0.97416568742655718</v>
      </c>
      <c r="O101" s="639">
        <f t="shared" si="35"/>
        <v>4.7371163992954157</v>
      </c>
      <c r="P101" s="539">
        <f t="shared" si="36"/>
        <v>94.742327985908318</v>
      </c>
      <c r="Q101" s="673">
        <f t="shared" si="37"/>
        <v>2.7423279859083181</v>
      </c>
      <c r="R101" s="630">
        <f>L104</f>
        <v>0.78559456877804368</v>
      </c>
      <c r="S101" s="639">
        <f t="shared" si="38"/>
        <v>4.862741995983666</v>
      </c>
      <c r="T101" s="539">
        <f t="shared" si="39"/>
        <v>97.254839919673316</v>
      </c>
      <c r="U101" s="673">
        <f t="shared" si="40"/>
        <v>5.2548399196733158</v>
      </c>
      <c r="W101" s="558"/>
    </row>
    <row r="102" spans="1:23" ht="15" customHeight="1" x14ac:dyDescent="0.25">
      <c r="A102" s="530"/>
      <c r="B102" s="546"/>
      <c r="C102" s="7">
        <v>-8.2999999999999989</v>
      </c>
      <c r="D102" s="535">
        <f t="shared" si="41"/>
        <v>8.2999999999999989</v>
      </c>
      <c r="G102" s="537">
        <v>50</v>
      </c>
      <c r="H102" s="779">
        <f t="shared" si="28"/>
        <v>117.5</v>
      </c>
      <c r="I102" s="537">
        <f>H102</f>
        <v>117.5</v>
      </c>
      <c r="J102" s="535">
        <f t="shared" si="42"/>
        <v>235</v>
      </c>
      <c r="K102" s="535">
        <f t="shared" si="43"/>
        <v>4.7</v>
      </c>
      <c r="L102" s="767">
        <f t="shared" si="29"/>
        <v>0.75928499743823863</v>
      </c>
      <c r="M102" s="630">
        <f t="shared" si="33"/>
        <v>0.7720643716808363</v>
      </c>
      <c r="N102" s="639">
        <f t="shared" si="34"/>
        <v>0.98277712495103808</v>
      </c>
      <c r="O102" s="639">
        <f t="shared" si="35"/>
        <v>4.7789915981914985</v>
      </c>
      <c r="P102" s="539">
        <f t="shared" si="36"/>
        <v>119.47478995478747</v>
      </c>
      <c r="Q102" s="673">
        <f t="shared" si="37"/>
        <v>1.9747899547874681</v>
      </c>
      <c r="R102" s="630">
        <f>L104</f>
        <v>0.78559456877804368</v>
      </c>
      <c r="S102" s="639">
        <f t="shared" si="38"/>
        <v>4.862741995983666</v>
      </c>
      <c r="T102" s="539">
        <f t="shared" si="39"/>
        <v>121.56854989959164</v>
      </c>
      <c r="U102" s="673">
        <f t="shared" si="40"/>
        <v>4.0685498995916447</v>
      </c>
      <c r="W102" s="558"/>
    </row>
    <row r="103" spans="1:23" ht="15" customHeight="1" x14ac:dyDescent="0.25">
      <c r="A103" s="530"/>
      <c r="B103" s="546"/>
      <c r="C103" s="7">
        <v>-10.799999999999999</v>
      </c>
      <c r="D103" s="535">
        <f t="shared" si="41"/>
        <v>10.799999999999999</v>
      </c>
      <c r="G103" s="537">
        <v>60</v>
      </c>
      <c r="H103" s="779">
        <f t="shared" si="28"/>
        <v>143</v>
      </c>
      <c r="I103" s="537">
        <f t="shared" si="32"/>
        <v>143</v>
      </c>
      <c r="J103" s="535">
        <f t="shared" si="42"/>
        <v>286</v>
      </c>
      <c r="K103" s="535">
        <f t="shared" si="43"/>
        <v>4.7666666666666666</v>
      </c>
      <c r="L103" s="767">
        <f t="shared" si="29"/>
        <v>0.77005499740190142</v>
      </c>
      <c r="M103" s="630">
        <f t="shared" si="33"/>
        <v>0.77882947022944005</v>
      </c>
      <c r="N103" s="639">
        <f t="shared" si="34"/>
        <v>0.9913885624755191</v>
      </c>
      <c r="O103" s="639">
        <f t="shared" si="35"/>
        <v>4.8208667970875823</v>
      </c>
      <c r="P103" s="539">
        <f t="shared" si="36"/>
        <v>144.62600391262748</v>
      </c>
      <c r="Q103" s="673">
        <f t="shared" si="37"/>
        <v>1.6260039126274819</v>
      </c>
      <c r="R103" s="630">
        <f>L104</f>
        <v>0.78559456877804368</v>
      </c>
      <c r="S103" s="639">
        <f t="shared" si="38"/>
        <v>4.862741995983666</v>
      </c>
      <c r="T103" s="539">
        <f t="shared" si="39"/>
        <v>145.88225987950997</v>
      </c>
      <c r="U103" s="673">
        <f t="shared" si="40"/>
        <v>2.8822598795099736</v>
      </c>
      <c r="W103" s="558"/>
    </row>
    <row r="104" spans="1:23" ht="15" customHeight="1" thickBot="1" x14ac:dyDescent="0.3">
      <c r="A104" s="530"/>
      <c r="B104" s="546"/>
      <c r="C104" s="640">
        <v>-23</v>
      </c>
      <c r="D104" s="535">
        <f t="shared" si="41"/>
        <v>23</v>
      </c>
      <c r="G104" s="574">
        <v>70</v>
      </c>
      <c r="H104" s="780">
        <f t="shared" si="28"/>
        <v>170.2</v>
      </c>
      <c r="I104" s="574">
        <f t="shared" si="32"/>
        <v>170.2</v>
      </c>
      <c r="J104" s="536">
        <f t="shared" si="42"/>
        <v>340.4</v>
      </c>
      <c r="K104" s="536">
        <f t="shared" si="43"/>
        <v>4.8628571428571421</v>
      </c>
      <c r="L104" s="769">
        <f t="shared" si="29"/>
        <v>0.78559456877804368</v>
      </c>
      <c r="M104" s="630">
        <f t="shared" si="33"/>
        <v>0.78559456877804368</v>
      </c>
      <c r="N104" s="639">
        <f t="shared" si="34"/>
        <v>1</v>
      </c>
      <c r="O104" s="639">
        <f t="shared" si="35"/>
        <v>4.862741995983666</v>
      </c>
      <c r="P104" s="539">
        <f t="shared" si="36"/>
        <v>170.19596985942832</v>
      </c>
      <c r="Q104" s="673">
        <f t="shared" si="37"/>
        <v>-4.0301405716718364E-3</v>
      </c>
      <c r="R104" s="630">
        <f>L104</f>
        <v>0.78559456877804368</v>
      </c>
      <c r="S104" s="639">
        <f t="shared" si="38"/>
        <v>4.862741995983666</v>
      </c>
      <c r="T104" s="539">
        <f t="shared" si="39"/>
        <v>170.19596985942832</v>
      </c>
      <c r="U104" s="673">
        <f t="shared" si="40"/>
        <v>-4.0301405716718364E-3</v>
      </c>
      <c r="W104" s="558"/>
    </row>
    <row r="105" spans="1:23" ht="15" customHeight="1" x14ac:dyDescent="0.25">
      <c r="A105" s="530"/>
      <c r="B105" s="546"/>
      <c r="C105" s="7">
        <v>-45.099999999999994</v>
      </c>
      <c r="D105" s="535">
        <f t="shared" si="41"/>
        <v>45.099999999999994</v>
      </c>
      <c r="G105" s="537"/>
      <c r="H105" s="535"/>
      <c r="I105" s="537"/>
      <c r="J105" s="535"/>
      <c r="K105" s="535"/>
      <c r="L105" s="662">
        <f>L100/L104</f>
        <v>0.9240109674892284</v>
      </c>
      <c r="M105" s="639"/>
      <c r="N105" s="639"/>
      <c r="W105" s="558"/>
    </row>
    <row r="106" spans="1:23" ht="15" customHeight="1" x14ac:dyDescent="0.25">
      <c r="A106" s="530"/>
      <c r="B106" s="546"/>
      <c r="C106" s="7">
        <v>-67.400000000000006</v>
      </c>
      <c r="D106" s="535">
        <f t="shared" si="41"/>
        <v>67.400000000000006</v>
      </c>
      <c r="G106" s="537"/>
      <c r="H106" s="535"/>
      <c r="I106" s="537"/>
      <c r="J106" s="535"/>
      <c r="K106" s="535"/>
      <c r="L106" s="578"/>
      <c r="M106" s="538"/>
      <c r="W106" s="558"/>
    </row>
    <row r="107" spans="1:23" ht="15" customHeight="1" x14ac:dyDescent="0.25">
      <c r="A107" s="530"/>
      <c r="B107" s="546"/>
      <c r="C107" s="7">
        <v>-92</v>
      </c>
      <c r="D107" s="535">
        <f t="shared" si="41"/>
        <v>92</v>
      </c>
      <c r="W107" s="558"/>
    </row>
    <row r="108" spans="1:23" ht="15" customHeight="1" x14ac:dyDescent="0.25">
      <c r="A108" s="530"/>
      <c r="B108" s="546"/>
      <c r="C108" s="7">
        <v>-117.5</v>
      </c>
      <c r="D108" s="535">
        <f t="shared" si="41"/>
        <v>117.5</v>
      </c>
      <c r="W108" s="558"/>
    </row>
    <row r="109" spans="1:23" ht="15" customHeight="1" x14ac:dyDescent="0.25">
      <c r="B109" s="546"/>
      <c r="C109" s="7">
        <v>-143</v>
      </c>
      <c r="D109" s="535">
        <f t="shared" si="41"/>
        <v>143</v>
      </c>
      <c r="Q109" s="629"/>
      <c r="R109" s="630"/>
      <c r="S109" s="630"/>
    </row>
    <row r="110" spans="1:23" ht="15" customHeight="1" x14ac:dyDescent="0.25">
      <c r="B110" s="546"/>
      <c r="C110" s="640">
        <v>-170.2</v>
      </c>
      <c r="D110" s="535">
        <f t="shared" si="41"/>
        <v>170.2</v>
      </c>
      <c r="F110" s="546"/>
      <c r="Q110" s="629"/>
      <c r="R110" s="630"/>
      <c r="S110" s="630"/>
    </row>
    <row r="111" spans="1:23" ht="15" customHeight="1" x14ac:dyDescent="0.25">
      <c r="F111" s="546"/>
      <c r="Q111" s="629"/>
      <c r="R111" s="630"/>
      <c r="S111" s="630"/>
    </row>
    <row r="112" spans="1:23" ht="15" customHeight="1" x14ac:dyDescent="0.25">
      <c r="F112" s="546"/>
      <c r="Q112" s="629"/>
      <c r="R112" s="630"/>
      <c r="S112" s="630"/>
    </row>
    <row r="113" spans="2:26" ht="15" customHeight="1" x14ac:dyDescent="0.25">
      <c r="F113" s="546"/>
      <c r="Q113" s="629"/>
      <c r="R113" s="630"/>
      <c r="S113" s="630"/>
    </row>
    <row r="114" spans="2:26" ht="15" customHeight="1" x14ac:dyDescent="0.25">
      <c r="F114" s="546"/>
      <c r="Q114" s="629"/>
      <c r="R114" s="630"/>
      <c r="S114" s="630"/>
    </row>
    <row r="115" spans="2:26" ht="15" customHeight="1" x14ac:dyDescent="0.25">
      <c r="F115" s="546"/>
      <c r="Q115" s="629"/>
      <c r="R115" s="630"/>
      <c r="S115" s="630"/>
    </row>
    <row r="116" spans="2:26" ht="15" customHeight="1" x14ac:dyDescent="0.25">
      <c r="F116" s="546"/>
      <c r="Q116" s="629"/>
      <c r="R116" s="630"/>
      <c r="S116" s="630"/>
    </row>
    <row r="117" spans="2:26" ht="15" customHeight="1" x14ac:dyDescent="0.25">
      <c r="F117" s="546"/>
      <c r="Q117" s="629"/>
      <c r="R117" s="630"/>
      <c r="S117" s="630"/>
    </row>
    <row r="118" spans="2:26" ht="15" customHeight="1" x14ac:dyDescent="0.25">
      <c r="Q118" s="629"/>
      <c r="R118" s="630"/>
      <c r="S118" s="630"/>
    </row>
    <row r="119" spans="2:26" ht="15" customHeight="1" x14ac:dyDescent="0.25">
      <c r="B119" s="556"/>
      <c r="C119" s="556"/>
      <c r="D119" s="556"/>
      <c r="E119" s="556"/>
      <c r="F119" s="556"/>
      <c r="G119" s="556"/>
      <c r="H119" s="556"/>
      <c r="I119" s="556"/>
      <c r="J119" s="556"/>
      <c r="K119" s="556"/>
      <c r="L119" s="556"/>
      <c r="M119" s="556"/>
      <c r="N119" s="556"/>
      <c r="O119" s="556"/>
      <c r="P119" s="556"/>
      <c r="Q119" s="631"/>
      <c r="R119" s="632"/>
      <c r="S119" s="632"/>
      <c r="T119" s="556"/>
      <c r="U119" s="556"/>
      <c r="V119" s="556"/>
      <c r="W119" s="556"/>
      <c r="X119" s="556"/>
      <c r="Y119" s="556"/>
      <c r="Z119" s="556"/>
    </row>
    <row r="120" spans="2:26" ht="15" customHeight="1" x14ac:dyDescent="0.25">
      <c r="B120" s="546"/>
      <c r="C120" s="530"/>
      <c r="Q120" s="629"/>
      <c r="R120" s="630"/>
      <c r="S120" s="630"/>
    </row>
    <row r="121" spans="2:26" ht="15" customHeight="1" x14ac:dyDescent="0.25">
      <c r="B121" s="546"/>
      <c r="C121" s="530"/>
      <c r="Q121" s="629"/>
      <c r="R121" s="630"/>
      <c r="S121" s="630"/>
    </row>
    <row r="122" spans="2:26" ht="15" customHeight="1" x14ac:dyDescent="0.25">
      <c r="B122" s="546"/>
      <c r="C122" s="530"/>
      <c r="Q122" s="629"/>
      <c r="R122" s="630"/>
      <c r="S122" s="630"/>
    </row>
    <row r="123" spans="2:26" ht="15" customHeight="1" x14ac:dyDescent="0.25">
      <c r="B123" s="546"/>
      <c r="C123" s="530"/>
      <c r="Q123" s="629"/>
      <c r="R123" s="630"/>
      <c r="S123" s="630"/>
    </row>
    <row r="124" spans="2:26" ht="15" customHeight="1" x14ac:dyDescent="0.25">
      <c r="B124" s="546"/>
      <c r="C124" s="530"/>
      <c r="Q124" s="629"/>
      <c r="R124" s="630"/>
      <c r="S124" s="630"/>
    </row>
    <row r="125" spans="2:26" ht="15" customHeight="1" x14ac:dyDescent="0.25">
      <c r="B125" s="546"/>
      <c r="C125" s="530" t="s">
        <v>352</v>
      </c>
      <c r="Q125" s="629"/>
      <c r="R125" s="630"/>
      <c r="S125" s="630"/>
    </row>
    <row r="126" spans="2:26" ht="15" customHeight="1" x14ac:dyDescent="0.25">
      <c r="B126" s="546"/>
      <c r="C126" s="530"/>
      <c r="Q126" s="629"/>
      <c r="R126" s="630"/>
      <c r="S126" s="630"/>
    </row>
    <row r="127" spans="2:26" ht="15" customHeight="1" x14ac:dyDescent="0.25">
      <c r="B127" s="546"/>
      <c r="C127" s="530"/>
      <c r="Q127" s="629"/>
      <c r="R127" s="630"/>
      <c r="S127" s="630"/>
    </row>
    <row r="128" spans="2:26" ht="15" customHeight="1" x14ac:dyDescent="0.25">
      <c r="B128" s="546"/>
      <c r="C128" s="530"/>
      <c r="Q128" s="629"/>
      <c r="R128" s="630"/>
      <c r="S128" s="630"/>
    </row>
    <row r="129" spans="1:71" ht="15" customHeight="1" x14ac:dyDescent="0.25">
      <c r="B129" s="546" t="s">
        <v>353</v>
      </c>
      <c r="C129" s="548"/>
      <c r="Q129" s="629"/>
      <c r="R129" s="630"/>
      <c r="S129" s="630"/>
    </row>
    <row r="130" spans="1:71" ht="15" customHeight="1" x14ac:dyDescent="0.3">
      <c r="B130" s="546"/>
      <c r="C130" s="431" t="s">
        <v>420</v>
      </c>
      <c r="Q130" s="629"/>
      <c r="R130" s="630"/>
      <c r="S130" s="630"/>
      <c r="T130" s="533"/>
    </row>
    <row r="131" spans="1:71" ht="15" customHeight="1" x14ac:dyDescent="0.3">
      <c r="B131" s="546"/>
      <c r="C131" s="431" t="s">
        <v>423</v>
      </c>
      <c r="Q131" s="629"/>
      <c r="R131" s="630"/>
      <c r="S131" s="630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</row>
    <row r="132" spans="1:71" ht="15" customHeight="1" x14ac:dyDescent="0.3">
      <c r="B132" s="546"/>
      <c r="C132" s="431" t="s">
        <v>421</v>
      </c>
      <c r="D132" s="530"/>
      <c r="O132" s="530"/>
      <c r="Q132" s="629"/>
      <c r="R132" s="630"/>
      <c r="S132" s="630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</row>
    <row r="133" spans="1:71" ht="15" customHeight="1" x14ac:dyDescent="0.25">
      <c r="B133" s="546"/>
      <c r="D133" s="530"/>
      <c r="H133" s="551" t="s">
        <v>409</v>
      </c>
      <c r="I133" s="552"/>
      <c r="J133" s="552"/>
      <c r="K133" s="552"/>
      <c r="L133" s="552"/>
      <c r="M133" s="562"/>
      <c r="Q133" s="629"/>
      <c r="R133" s="630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</row>
    <row r="134" spans="1:71" ht="15" customHeight="1" x14ac:dyDescent="0.25">
      <c r="B134" s="546"/>
      <c r="C134" s="530"/>
      <c r="D134" s="530"/>
      <c r="H134" s="559" t="s">
        <v>279</v>
      </c>
      <c r="I134" s="556"/>
      <c r="J134" s="556"/>
      <c r="K134" s="556"/>
      <c r="L134" s="556"/>
      <c r="M134" s="653"/>
      <c r="P134" s="745" t="s">
        <v>320</v>
      </c>
      <c r="Q134" s="629"/>
      <c r="R134" s="630"/>
      <c r="S134" s="630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</row>
    <row r="135" spans="1:71" ht="15" customHeight="1" x14ac:dyDescent="0.25">
      <c r="B135" s="546"/>
      <c r="C135" s="530"/>
      <c r="H135" s="537"/>
      <c r="P135" s="763" t="s">
        <v>319</v>
      </c>
      <c r="Q135" s="629"/>
      <c r="R135" s="630"/>
      <c r="S135" s="630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</row>
    <row r="136" spans="1:71" ht="15" customHeight="1" thickBot="1" x14ac:dyDescent="0.3">
      <c r="A136" s="530"/>
      <c r="B136" s="546"/>
      <c r="C136" s="530"/>
      <c r="I136" s="560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S136" s="545" t="s">
        <v>328</v>
      </c>
    </row>
    <row r="137" spans="1:71" ht="15" customHeight="1" x14ac:dyDescent="0.25">
      <c r="A137" s="530"/>
      <c r="B137" s="546"/>
      <c r="C137" s="561" t="s">
        <v>15</v>
      </c>
      <c r="D137" s="552"/>
      <c r="E137" s="562"/>
      <c r="G137" s="633"/>
      <c r="H137" s="663"/>
      <c r="I137" s="663" t="s">
        <v>282</v>
      </c>
      <c r="J137" s="634"/>
      <c r="K137" s="664" t="s">
        <v>111</v>
      </c>
      <c r="L137" s="636"/>
      <c r="M137" s="633" t="s">
        <v>411</v>
      </c>
      <c r="N137" s="634"/>
      <c r="O137" s="635" t="s">
        <v>111</v>
      </c>
      <c r="P137" s="764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</row>
    <row r="138" spans="1:71" ht="15" customHeight="1" x14ac:dyDescent="0.25">
      <c r="A138" s="530"/>
      <c r="B138" s="546"/>
      <c r="C138" s="565" t="s">
        <v>61</v>
      </c>
      <c r="D138" s="566" t="s">
        <v>19</v>
      </c>
      <c r="E138" s="528">
        <v>0.9</v>
      </c>
      <c r="G138" s="637" t="s">
        <v>2</v>
      </c>
      <c r="H138" s="568"/>
      <c r="I138" s="568" t="s">
        <v>250</v>
      </c>
      <c r="J138" s="568" t="s">
        <v>133</v>
      </c>
      <c r="K138" s="568" t="s">
        <v>127</v>
      </c>
      <c r="L138" s="638" t="s">
        <v>128</v>
      </c>
      <c r="M138" s="534">
        <v>0.89100000000000001</v>
      </c>
      <c r="N138" s="568" t="s">
        <v>133</v>
      </c>
      <c r="O138" s="568" t="s">
        <v>127</v>
      </c>
      <c r="P138" s="770" t="s">
        <v>415</v>
      </c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</row>
    <row r="139" spans="1:71" ht="15" customHeight="1" x14ac:dyDescent="0.25">
      <c r="A139" s="530"/>
      <c r="B139" s="546"/>
      <c r="C139" s="565" t="s">
        <v>62</v>
      </c>
      <c r="D139" s="566" t="s">
        <v>20</v>
      </c>
      <c r="E139" s="528">
        <v>0.96</v>
      </c>
      <c r="G139" s="607">
        <v>1</v>
      </c>
      <c r="H139" s="529"/>
      <c r="I139" s="667">
        <f>I93</f>
        <v>2.4300000000000002</v>
      </c>
      <c r="J139" s="667">
        <f>I139*2</f>
        <v>4.8600000000000003</v>
      </c>
      <c r="K139" s="529">
        <f>(J139/$G139)</f>
        <v>4.8600000000000003</v>
      </c>
      <c r="L139" s="541">
        <f t="shared" ref="L139:L150" si="44">SQRT(12*32.2*K139^2/(4*$E$141*($E$139*56)*$E$138^2))</f>
        <v>0.78513299735102959</v>
      </c>
      <c r="M139" s="612">
        <f>I139*M$138</f>
        <v>2.16513</v>
      </c>
      <c r="N139" s="667">
        <f>M139*2</f>
        <v>4.33026</v>
      </c>
      <c r="O139" s="529">
        <f t="shared" ref="O139:O150" si="45">(N139/$G139)</f>
        <v>4.33026</v>
      </c>
      <c r="P139" s="766">
        <f t="shared" ref="P139:P150" si="46">SQRT(12*32.2*O139^2/(4*$E$141*($E$139*56)*$E$138^2))</f>
        <v>0.6995535006397674</v>
      </c>
      <c r="Y139" s="675" t="s">
        <v>361</v>
      </c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</row>
    <row r="140" spans="1:71" ht="15" customHeight="1" x14ac:dyDescent="0.25">
      <c r="A140" s="530"/>
      <c r="B140" s="546"/>
      <c r="C140" s="565" t="s">
        <v>356</v>
      </c>
      <c r="E140" s="665">
        <f>(E139*2.20462*25.4*12)</f>
        <v>645.0894489599998</v>
      </c>
      <c r="G140" s="595">
        <v>2</v>
      </c>
      <c r="H140" s="535"/>
      <c r="I140" s="539">
        <f t="shared" ref="I140:I150" si="47">I94</f>
        <v>4.3049999999999997</v>
      </c>
      <c r="J140" s="539">
        <f t="shared" ref="J140:J150" si="48">I140*2</f>
        <v>8.61</v>
      </c>
      <c r="K140" s="535">
        <f t="shared" ref="K140:K149" si="49">(J140/$G140)</f>
        <v>4.3049999999999997</v>
      </c>
      <c r="L140" s="542">
        <f t="shared" si="44"/>
        <v>0.69547274765353551</v>
      </c>
      <c r="M140" s="613">
        <f t="shared" ref="M140:M150" si="50">I140*M$138</f>
        <v>3.8357549999999998</v>
      </c>
      <c r="N140" s="539">
        <f t="shared" ref="N140:N145" si="51">M140*2</f>
        <v>7.6715099999999996</v>
      </c>
      <c r="O140" s="535">
        <f t="shared" si="45"/>
        <v>3.8357549999999998</v>
      </c>
      <c r="P140" s="767">
        <f t="shared" si="46"/>
        <v>0.61966621815930012</v>
      </c>
      <c r="V140" s="537" t="s">
        <v>359</v>
      </c>
      <c r="W140" s="537" t="s">
        <v>359</v>
      </c>
      <c r="X140" s="537" t="s">
        <v>359</v>
      </c>
      <c r="Y140" s="676" t="s">
        <v>359</v>
      </c>
      <c r="AF140" s="751"/>
      <c r="AG140" s="752"/>
      <c r="AH140" s="752"/>
      <c r="AI140" s="733"/>
      <c r="AJ140" s="733"/>
      <c r="AK140" s="733"/>
      <c r="AL140" s="733"/>
      <c r="AM140" s="733"/>
      <c r="AN140" s="733"/>
      <c r="AO140" s="733"/>
      <c r="AP140" s="733"/>
      <c r="AQ140" s="733"/>
      <c r="AR140" s="733"/>
      <c r="AS140" s="733"/>
      <c r="AT140" s="734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</row>
    <row r="141" spans="1:71" ht="15" customHeight="1" x14ac:dyDescent="0.25">
      <c r="A141" s="530"/>
      <c r="B141" s="546"/>
      <c r="C141" s="571" t="s">
        <v>59</v>
      </c>
      <c r="D141" s="572" t="s">
        <v>28</v>
      </c>
      <c r="E141" s="573">
        <v>85</v>
      </c>
      <c r="G141" s="616">
        <v>3</v>
      </c>
      <c r="H141" s="536"/>
      <c r="I141" s="668">
        <f t="shared" si="47"/>
        <v>6.1040000000000001</v>
      </c>
      <c r="J141" s="668">
        <f t="shared" si="48"/>
        <v>12.208</v>
      </c>
      <c r="K141" s="536">
        <f t="shared" si="49"/>
        <v>4.0693333333333337</v>
      </c>
      <c r="L141" s="543">
        <f t="shared" si="44"/>
        <v>0.65740079778198701</v>
      </c>
      <c r="M141" s="620">
        <f t="shared" si="50"/>
        <v>5.4386640000000002</v>
      </c>
      <c r="N141" s="668">
        <f>M141*2</f>
        <v>10.877328</v>
      </c>
      <c r="O141" s="536">
        <f t="shared" si="45"/>
        <v>3.6257760000000001</v>
      </c>
      <c r="P141" s="768">
        <f t="shared" si="46"/>
        <v>0.58574411082375044</v>
      </c>
      <c r="U141" s="675" t="s">
        <v>361</v>
      </c>
      <c r="V141" s="558" t="s">
        <v>360</v>
      </c>
      <c r="W141" s="558" t="s">
        <v>360</v>
      </c>
      <c r="X141" s="558" t="s">
        <v>360</v>
      </c>
      <c r="Y141" s="675" t="s">
        <v>360</v>
      </c>
      <c r="AF141" s="737"/>
      <c r="AI141"/>
      <c r="AJ141"/>
      <c r="AK141"/>
      <c r="AL141"/>
      <c r="AM141"/>
      <c r="AN141"/>
      <c r="AO141"/>
      <c r="AP141"/>
      <c r="AQ141"/>
      <c r="AR141"/>
      <c r="AS141"/>
      <c r="AT141" s="736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</row>
    <row r="142" spans="1:71" ht="15" customHeight="1" x14ac:dyDescent="0.25">
      <c r="A142" s="530"/>
      <c r="B142" s="546"/>
      <c r="C142" s="546" t="s">
        <v>286</v>
      </c>
      <c r="G142" s="595">
        <v>4</v>
      </c>
      <c r="H142" s="535"/>
      <c r="I142" s="539">
        <f t="shared" si="47"/>
        <v>7.9570000000000007</v>
      </c>
      <c r="J142" s="539">
        <f t="shared" si="48"/>
        <v>15.914000000000001</v>
      </c>
      <c r="K142" s="535">
        <f t="shared" si="49"/>
        <v>3.9785000000000004</v>
      </c>
      <c r="L142" s="542">
        <f t="shared" si="44"/>
        <v>0.6427266728314962</v>
      </c>
      <c r="M142" s="613">
        <f t="shared" si="50"/>
        <v>7.0896870000000005</v>
      </c>
      <c r="N142" s="539">
        <f t="shared" si="51"/>
        <v>14.179374000000001</v>
      </c>
      <c r="O142" s="535">
        <f t="shared" si="45"/>
        <v>3.5448435000000003</v>
      </c>
      <c r="P142" s="767">
        <f t="shared" si="46"/>
        <v>0.57266946549286313</v>
      </c>
      <c r="R142" s="537" t="s">
        <v>354</v>
      </c>
      <c r="S142" s="537" t="s">
        <v>357</v>
      </c>
      <c r="T142" s="537"/>
      <c r="U142" s="676" t="s">
        <v>295</v>
      </c>
      <c r="V142" s="537" t="s">
        <v>267</v>
      </c>
      <c r="W142" s="537" t="s">
        <v>267</v>
      </c>
      <c r="X142" s="537" t="s">
        <v>267</v>
      </c>
      <c r="Y142" s="676" t="s">
        <v>267</v>
      </c>
      <c r="AF142" s="737"/>
      <c r="AI142"/>
      <c r="AJ142"/>
      <c r="AK142"/>
      <c r="AL142"/>
      <c r="AM142"/>
      <c r="AN142"/>
      <c r="AO142"/>
      <c r="AP142"/>
      <c r="AQ142"/>
      <c r="AR142"/>
      <c r="AS142"/>
      <c r="AT142" s="736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</row>
    <row r="143" spans="1:71" ht="15" customHeight="1" x14ac:dyDescent="0.25">
      <c r="A143" s="530"/>
      <c r="B143" s="546"/>
      <c r="G143" s="595">
        <v>5</v>
      </c>
      <c r="H143" s="535"/>
      <c r="I143" s="539">
        <f t="shared" si="47"/>
        <v>10.165000000000001</v>
      </c>
      <c r="J143" s="539">
        <f t="shared" si="48"/>
        <v>20.330000000000002</v>
      </c>
      <c r="K143" s="535">
        <f t="shared" si="49"/>
        <v>4.0660000000000007</v>
      </c>
      <c r="L143" s="542">
        <f t="shared" si="44"/>
        <v>0.65686229778380389</v>
      </c>
      <c r="M143" s="613">
        <f t="shared" si="50"/>
        <v>9.0570150000000016</v>
      </c>
      <c r="N143" s="539">
        <f t="shared" si="51"/>
        <v>18.114030000000003</v>
      </c>
      <c r="O143" s="535">
        <f t="shared" si="45"/>
        <v>3.6228060000000006</v>
      </c>
      <c r="P143" s="767">
        <f t="shared" si="46"/>
        <v>0.58526430732536927</v>
      </c>
      <c r="Q143" s="550" t="s">
        <v>412</v>
      </c>
      <c r="R143" s="550" t="s">
        <v>355</v>
      </c>
      <c r="S143" s="550" t="s">
        <v>26</v>
      </c>
      <c r="T143" s="666" t="s">
        <v>418</v>
      </c>
      <c r="U143" s="677" t="s">
        <v>358</v>
      </c>
      <c r="V143" s="558" t="s">
        <v>410</v>
      </c>
      <c r="W143" s="550" t="s">
        <v>26</v>
      </c>
      <c r="X143" s="666" t="s">
        <v>288</v>
      </c>
      <c r="Y143" s="677" t="s">
        <v>358</v>
      </c>
      <c r="AF143" s="737"/>
      <c r="AI143"/>
      <c r="AJ143"/>
      <c r="AK143"/>
      <c r="AL143"/>
      <c r="AM143"/>
      <c r="AN143"/>
      <c r="AO143"/>
      <c r="AP143"/>
      <c r="AQ143"/>
      <c r="AR143"/>
      <c r="AS143"/>
      <c r="AT143" s="736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</row>
    <row r="144" spans="1:71" ht="15" customHeight="1" x14ac:dyDescent="0.25">
      <c r="A144" s="530"/>
      <c r="B144" s="546"/>
      <c r="G144" s="616">
        <v>10</v>
      </c>
      <c r="H144" s="536"/>
      <c r="I144" s="668">
        <f t="shared" si="47"/>
        <v>23.058000000000003</v>
      </c>
      <c r="J144" s="668">
        <f t="shared" si="48"/>
        <v>46.116000000000007</v>
      </c>
      <c r="K144" s="536">
        <f t="shared" si="49"/>
        <v>4.611600000000001</v>
      </c>
      <c r="L144" s="543">
        <f t="shared" si="44"/>
        <v>0.74500397748642166</v>
      </c>
      <c r="M144" s="620">
        <f>I144*M$138</f>
        <v>20.544678000000005</v>
      </c>
      <c r="N144" s="668">
        <f t="shared" si="51"/>
        <v>41.089356000000009</v>
      </c>
      <c r="O144" s="536">
        <f t="shared" si="45"/>
        <v>4.1089356000000006</v>
      </c>
      <c r="P144" s="768">
        <f t="shared" si="46"/>
        <v>0.66379854394040161</v>
      </c>
      <c r="Q144" s="630">
        <f>((P$150-P$144)/6*(G144-G$144)/10+P$144)</f>
        <v>0.66379854394040161</v>
      </c>
      <c r="R144" s="639">
        <f>Q144/P$150</f>
        <v>0.94833137485311403</v>
      </c>
      <c r="S144" s="639">
        <f>($Q144*$E$138*SQRT(4*$E$141*$E$140/32.2)/12)</f>
        <v>4.1088383051229851</v>
      </c>
      <c r="T144" s="539">
        <f>(S144*G144)/2</f>
        <v>20.544191525614927</v>
      </c>
      <c r="U144" s="673">
        <f>T144-M144</f>
        <v>-4.8647438507742891E-4</v>
      </c>
      <c r="V144" s="630">
        <f>P150</f>
        <v>0.69996476078123704</v>
      </c>
      <c r="W144" s="639">
        <f>($V144*$E$138*SQRT(4*$E$141*$E$140/32.2)/12)</f>
        <v>4.3327031184214464</v>
      </c>
      <c r="X144" s="539">
        <f>(W144*G144)/2</f>
        <v>21.663515592107231</v>
      </c>
      <c r="Y144" s="673">
        <f>X144-M144</f>
        <v>1.1188375921072264</v>
      </c>
      <c r="AF144" s="737"/>
      <c r="AI144"/>
      <c r="AJ144"/>
      <c r="AK144"/>
      <c r="AL144"/>
      <c r="AM144"/>
      <c r="AN144"/>
      <c r="AO144"/>
      <c r="AP144"/>
      <c r="AQ144"/>
      <c r="AR144"/>
      <c r="AS144"/>
      <c r="AT144" s="736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</row>
    <row r="145" spans="1:69" ht="15" customHeight="1" x14ac:dyDescent="0.25">
      <c r="A145" s="530"/>
      <c r="B145" s="546"/>
      <c r="G145" s="595">
        <v>20</v>
      </c>
      <c r="H145" s="535"/>
      <c r="I145" s="539">
        <f t="shared" si="47"/>
        <v>45.099999999999994</v>
      </c>
      <c r="J145" s="539">
        <f t="shared" si="48"/>
        <v>90.199999999999989</v>
      </c>
      <c r="K145" s="535">
        <f t="shared" si="49"/>
        <v>4.51</v>
      </c>
      <c r="L145" s="542">
        <f t="shared" si="44"/>
        <v>0.72859049754179905</v>
      </c>
      <c r="M145" s="613">
        <f t="shared" si="50"/>
        <v>40.184099999999994</v>
      </c>
      <c r="N145" s="539">
        <f t="shared" si="51"/>
        <v>80.368199999999987</v>
      </c>
      <c r="O145" s="535">
        <f t="shared" si="45"/>
        <v>4.0184099999999994</v>
      </c>
      <c r="P145" s="767">
        <f t="shared" si="46"/>
        <v>0.64917413330974283</v>
      </c>
      <c r="Q145" s="630">
        <f t="shared" ref="Q145:Q150" si="52">((P$150-P$144)/6*(G145-G$144)/10+P$144)</f>
        <v>0.66982624674720748</v>
      </c>
      <c r="R145" s="639">
        <f t="shared" ref="R145:R150" si="53">Q145/P$150</f>
        <v>0.95694281237759504</v>
      </c>
      <c r="S145" s="639">
        <f t="shared" ref="S145:S150" si="54">($Q145*$E$138*SQRT(4*$E$141*$E$140/32.2)/12)</f>
        <v>4.1461491073393946</v>
      </c>
      <c r="T145" s="539">
        <f t="shared" ref="T145:T150" si="55">(S145*G145)/2</f>
        <v>41.461491073393944</v>
      </c>
      <c r="U145" s="673">
        <f t="shared" ref="U145:U150" si="56">T145-M145</f>
        <v>1.2773910733939502</v>
      </c>
      <c r="V145" s="630">
        <f>P150</f>
        <v>0.69996476078123704</v>
      </c>
      <c r="W145" s="639">
        <f t="shared" ref="W145:W150" si="57">($V145*$E$138*SQRT(4*$E$141*$E$140/32.2)/12)</f>
        <v>4.3327031184214464</v>
      </c>
      <c r="X145" s="539">
        <f t="shared" ref="X145:X150" si="58">(W145*G145)/2</f>
        <v>43.327031184214462</v>
      </c>
      <c r="Y145" s="673">
        <f t="shared" ref="Y145" si="59">X145-M145</f>
        <v>3.1429311842144685</v>
      </c>
      <c r="AF145" s="737"/>
      <c r="AI145"/>
      <c r="AJ145"/>
      <c r="AK145"/>
      <c r="AL145"/>
      <c r="AM145"/>
      <c r="AN145"/>
      <c r="AO145"/>
      <c r="AP145"/>
      <c r="AQ145"/>
      <c r="AR145"/>
      <c r="AS145"/>
      <c r="AT145" s="736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</row>
    <row r="146" spans="1:69" ht="15" customHeight="1" x14ac:dyDescent="0.25">
      <c r="A146" s="530"/>
      <c r="B146" s="546"/>
      <c r="G146" s="616">
        <v>30</v>
      </c>
      <c r="H146" s="536"/>
      <c r="I146" s="668">
        <f t="shared" si="47"/>
        <v>67.400000000000006</v>
      </c>
      <c r="J146" s="668">
        <f t="shared" si="48"/>
        <v>134.80000000000001</v>
      </c>
      <c r="K146" s="536">
        <f t="shared" si="49"/>
        <v>4.4933333333333341</v>
      </c>
      <c r="L146" s="543">
        <f t="shared" si="44"/>
        <v>0.72589799755088336</v>
      </c>
      <c r="M146" s="928">
        <f t="shared" si="50"/>
        <v>60.053400000000003</v>
      </c>
      <c r="N146" s="668">
        <f>M146*2</f>
        <v>120.10680000000001</v>
      </c>
      <c r="O146" s="536">
        <f t="shared" si="45"/>
        <v>4.0035600000000002</v>
      </c>
      <c r="P146" s="768">
        <f t="shared" si="46"/>
        <v>0.64677511581783709</v>
      </c>
      <c r="Q146" s="630">
        <f t="shared" si="52"/>
        <v>0.67585394955401346</v>
      </c>
      <c r="R146" s="674">
        <f>Q146/P$150</f>
        <v>0.96555424990207606</v>
      </c>
      <c r="S146" s="639">
        <f t="shared" si="54"/>
        <v>4.1834599095558058</v>
      </c>
      <c r="T146" s="539">
        <f t="shared" si="55"/>
        <v>62.751898643337086</v>
      </c>
      <c r="U146" s="680">
        <f>T146-M146</f>
        <v>2.6984986433370821</v>
      </c>
      <c r="V146" s="630">
        <f>P150</f>
        <v>0.69996476078123704</v>
      </c>
      <c r="W146" s="639">
        <f t="shared" si="57"/>
        <v>4.3327031184214464</v>
      </c>
      <c r="X146" s="539">
        <f t="shared" si="58"/>
        <v>64.990546776321693</v>
      </c>
      <c r="Y146" s="680">
        <f>X146-M146</f>
        <v>4.9371467763216899</v>
      </c>
      <c r="AF146" s="737"/>
      <c r="AI146"/>
      <c r="AJ146"/>
      <c r="AK146"/>
      <c r="AL146"/>
      <c r="AM146"/>
      <c r="AN146"/>
      <c r="AO146"/>
      <c r="AP146"/>
      <c r="AQ146"/>
      <c r="AR146"/>
      <c r="AS146"/>
      <c r="AT146" s="73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</row>
    <row r="147" spans="1:69" ht="15" customHeight="1" x14ac:dyDescent="0.25">
      <c r="A147" s="530"/>
      <c r="B147" s="546"/>
      <c r="G147" s="595">
        <v>40</v>
      </c>
      <c r="H147" s="535"/>
      <c r="I147" s="539">
        <f t="shared" si="47"/>
        <v>92</v>
      </c>
      <c r="J147" s="539">
        <f t="shared" si="48"/>
        <v>184</v>
      </c>
      <c r="K147" s="535">
        <f t="shared" si="49"/>
        <v>4.5999999999999996</v>
      </c>
      <c r="L147" s="542">
        <f t="shared" si="44"/>
        <v>0.743129997492744</v>
      </c>
      <c r="M147" s="613">
        <f t="shared" si="50"/>
        <v>81.972000000000008</v>
      </c>
      <c r="N147" s="539">
        <f t="shared" ref="N147:N150" si="60">M147*2</f>
        <v>163.94400000000002</v>
      </c>
      <c r="O147" s="535">
        <f t="shared" si="45"/>
        <v>4.0986000000000002</v>
      </c>
      <c r="P147" s="767">
        <f t="shared" si="46"/>
        <v>0.66212882776603499</v>
      </c>
      <c r="Q147" s="630">
        <f t="shared" si="52"/>
        <v>0.68188165236081932</v>
      </c>
      <c r="R147" s="639">
        <f t="shared" si="53"/>
        <v>0.97416568742655707</v>
      </c>
      <c r="S147" s="639">
        <f t="shared" si="54"/>
        <v>4.2207707117722153</v>
      </c>
      <c r="T147" s="539">
        <f t="shared" si="55"/>
        <v>84.415414235444302</v>
      </c>
      <c r="U147" s="673">
        <f t="shared" si="56"/>
        <v>2.443414235444294</v>
      </c>
      <c r="V147" s="630">
        <f>P150</f>
        <v>0.69996476078123704</v>
      </c>
      <c r="W147" s="639">
        <f t="shared" si="57"/>
        <v>4.3327031184214464</v>
      </c>
      <c r="X147" s="539">
        <f t="shared" si="58"/>
        <v>86.654062368428924</v>
      </c>
      <c r="Y147" s="673">
        <f t="shared" ref="Y147:Y150" si="61">X147-M147</f>
        <v>4.682062368428916</v>
      </c>
      <c r="AF147" s="737"/>
      <c r="AI147"/>
      <c r="AJ147"/>
      <c r="AK147"/>
      <c r="AL147"/>
      <c r="AM147"/>
      <c r="AN147"/>
      <c r="AO147"/>
      <c r="AP147"/>
      <c r="AQ147"/>
      <c r="AR147"/>
      <c r="AS147"/>
      <c r="AT147" s="736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</row>
    <row r="148" spans="1:69" ht="15" customHeight="1" x14ac:dyDescent="0.25">
      <c r="A148" s="530"/>
      <c r="B148" s="546"/>
      <c r="G148" s="595">
        <v>50</v>
      </c>
      <c r="H148" s="535"/>
      <c r="I148" s="539">
        <f t="shared" si="47"/>
        <v>117.5</v>
      </c>
      <c r="J148" s="539">
        <f t="shared" si="48"/>
        <v>235</v>
      </c>
      <c r="K148" s="535">
        <f t="shared" si="49"/>
        <v>4.7</v>
      </c>
      <c r="L148" s="542">
        <f t="shared" si="44"/>
        <v>0.75928499743823863</v>
      </c>
      <c r="M148" s="613">
        <f t="shared" si="50"/>
        <v>104.6925</v>
      </c>
      <c r="N148" s="539">
        <f t="shared" si="60"/>
        <v>209.38499999999999</v>
      </c>
      <c r="O148" s="535">
        <f t="shared" si="45"/>
        <v>4.1876999999999995</v>
      </c>
      <c r="P148" s="767">
        <f t="shared" si="46"/>
        <v>0.67652293271747044</v>
      </c>
      <c r="Q148" s="630">
        <f t="shared" si="52"/>
        <v>0.68790935516762519</v>
      </c>
      <c r="R148" s="639">
        <f t="shared" si="53"/>
        <v>0.98277712495103797</v>
      </c>
      <c r="S148" s="639">
        <f t="shared" si="54"/>
        <v>4.2580815139886257</v>
      </c>
      <c r="T148" s="539">
        <f t="shared" si="55"/>
        <v>106.45203784971564</v>
      </c>
      <c r="U148" s="673">
        <f t="shared" si="56"/>
        <v>1.7595378497156418</v>
      </c>
      <c r="V148" s="630">
        <f>P150</f>
        <v>0.69996476078123704</v>
      </c>
      <c r="W148" s="639">
        <f t="shared" si="57"/>
        <v>4.3327031184214464</v>
      </c>
      <c r="X148" s="539">
        <f t="shared" si="58"/>
        <v>108.31757796053616</v>
      </c>
      <c r="Y148" s="673">
        <f t="shared" si="61"/>
        <v>3.62507796053616</v>
      </c>
      <c r="AF148" s="737"/>
      <c r="AI148"/>
      <c r="AJ148"/>
      <c r="AK148"/>
      <c r="AL148"/>
      <c r="AM148"/>
      <c r="AN148"/>
      <c r="AO148"/>
      <c r="AP148"/>
      <c r="AQ148"/>
      <c r="AR148"/>
      <c r="AS148"/>
      <c r="AT148" s="736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</row>
    <row r="149" spans="1:69" ht="15" customHeight="1" x14ac:dyDescent="0.25">
      <c r="A149" s="530"/>
      <c r="B149" s="546"/>
      <c r="G149" s="595">
        <v>60</v>
      </c>
      <c r="H149" s="535"/>
      <c r="I149" s="539">
        <f t="shared" si="47"/>
        <v>143</v>
      </c>
      <c r="J149" s="539">
        <f t="shared" si="48"/>
        <v>286</v>
      </c>
      <c r="K149" s="535">
        <f t="shared" si="49"/>
        <v>4.7666666666666666</v>
      </c>
      <c r="L149" s="542">
        <f t="shared" si="44"/>
        <v>0.77005499740190142</v>
      </c>
      <c r="M149" s="613">
        <f t="shared" si="50"/>
        <v>127.413</v>
      </c>
      <c r="N149" s="539">
        <f t="shared" si="60"/>
        <v>254.82599999999999</v>
      </c>
      <c r="O149" s="535">
        <f t="shared" si="45"/>
        <v>4.2470999999999997</v>
      </c>
      <c r="P149" s="767">
        <f t="shared" si="46"/>
        <v>0.68611900268509418</v>
      </c>
      <c r="Q149" s="630">
        <f t="shared" si="52"/>
        <v>0.69393705797443117</v>
      </c>
      <c r="R149" s="639">
        <f t="shared" si="53"/>
        <v>0.9913885624755191</v>
      </c>
      <c r="S149" s="639">
        <f t="shared" si="54"/>
        <v>4.295392316205036</v>
      </c>
      <c r="T149" s="539">
        <f t="shared" si="55"/>
        <v>128.86176948615108</v>
      </c>
      <c r="U149" s="673">
        <f t="shared" si="56"/>
        <v>1.4487694861510789</v>
      </c>
      <c r="V149" s="630">
        <f>P150</f>
        <v>0.69996476078123704</v>
      </c>
      <c r="W149" s="639">
        <f t="shared" si="57"/>
        <v>4.3327031184214464</v>
      </c>
      <c r="X149" s="539">
        <f t="shared" si="58"/>
        <v>129.98109355264339</v>
      </c>
      <c r="Y149" s="673">
        <f t="shared" si="61"/>
        <v>2.5680935526433899</v>
      </c>
      <c r="AF149" s="737"/>
      <c r="AI149"/>
      <c r="AJ149"/>
      <c r="AK149"/>
      <c r="AL149"/>
      <c r="AM149"/>
      <c r="AN149"/>
      <c r="AO149"/>
      <c r="AP149"/>
      <c r="AQ149"/>
      <c r="AR149"/>
      <c r="AS149"/>
      <c r="AT149" s="736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</row>
    <row r="150" spans="1:69" ht="15" customHeight="1" thickBot="1" x14ac:dyDescent="0.3">
      <c r="A150" s="530"/>
      <c r="G150" s="621">
        <v>70</v>
      </c>
      <c r="H150" s="540"/>
      <c r="I150" s="669">
        <f t="shared" si="47"/>
        <v>170.2</v>
      </c>
      <c r="J150" s="669">
        <f t="shared" si="48"/>
        <v>340.4</v>
      </c>
      <c r="K150" s="540">
        <f>(J150/$G150)</f>
        <v>4.8628571428571421</v>
      </c>
      <c r="L150" s="544">
        <f t="shared" si="44"/>
        <v>0.78559456877804368</v>
      </c>
      <c r="M150" s="626">
        <f t="shared" si="50"/>
        <v>151.6482</v>
      </c>
      <c r="N150" s="669">
        <f t="shared" si="60"/>
        <v>303.29640000000001</v>
      </c>
      <c r="O150" s="540">
        <f t="shared" si="45"/>
        <v>4.3328057142857146</v>
      </c>
      <c r="P150" s="769">
        <f t="shared" si="46"/>
        <v>0.69996476078123704</v>
      </c>
      <c r="Q150" s="630">
        <f t="shared" si="52"/>
        <v>0.69996476078123704</v>
      </c>
      <c r="R150" s="639">
        <f t="shared" si="53"/>
        <v>1</v>
      </c>
      <c r="S150" s="639">
        <f t="shared" si="54"/>
        <v>4.3327031184214464</v>
      </c>
      <c r="T150" s="539">
        <f t="shared" si="55"/>
        <v>151.64460914475063</v>
      </c>
      <c r="U150" s="673">
        <f t="shared" si="56"/>
        <v>-3.5908552493708612E-3</v>
      </c>
      <c r="V150" s="630">
        <f>P150</f>
        <v>0.69996476078123704</v>
      </c>
      <c r="W150" s="639">
        <f t="shared" si="57"/>
        <v>4.3327031184214464</v>
      </c>
      <c r="X150" s="539">
        <f t="shared" si="58"/>
        <v>151.64460914475063</v>
      </c>
      <c r="Y150" s="673">
        <f t="shared" si="61"/>
        <v>-3.5908552493708612E-3</v>
      </c>
      <c r="AF150" s="737"/>
      <c r="AI150"/>
      <c r="AJ150"/>
      <c r="AK150"/>
      <c r="AL150"/>
      <c r="AM150"/>
      <c r="AN150"/>
      <c r="AO150"/>
      <c r="AP150"/>
      <c r="AQ150"/>
      <c r="AR150"/>
      <c r="AS150"/>
      <c r="AT150" s="736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</row>
    <row r="151" spans="1:69" ht="15" customHeight="1" x14ac:dyDescent="0.25">
      <c r="A151" s="530"/>
      <c r="M151" s="538"/>
      <c r="AF151" s="737"/>
      <c r="AI151"/>
      <c r="AJ151"/>
      <c r="AK151"/>
      <c r="AL151"/>
      <c r="AM151"/>
      <c r="AN151"/>
      <c r="AO151"/>
      <c r="AP151"/>
      <c r="AQ151"/>
      <c r="AR151"/>
      <c r="AS151"/>
      <c r="AT151" s="736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</row>
    <row r="152" spans="1:69" ht="15" customHeight="1" x14ac:dyDescent="0.3">
      <c r="A152" s="530"/>
      <c r="C152" s="746" t="s">
        <v>416</v>
      </c>
      <c r="V152" s="538"/>
      <c r="AF152" s="739"/>
      <c r="AG152" s="740"/>
      <c r="AH152" s="740"/>
      <c r="AI152" s="753"/>
      <c r="AJ152" s="753"/>
      <c r="AK152" s="753"/>
      <c r="AL152" s="753"/>
      <c r="AM152" s="753"/>
      <c r="AN152" s="753"/>
      <c r="AO152" s="753"/>
      <c r="AP152" s="753"/>
      <c r="AQ152" s="753"/>
      <c r="AR152" s="753"/>
      <c r="AS152" s="753"/>
      <c r="AT152" s="754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</row>
    <row r="153" spans="1:69" ht="15" customHeight="1" x14ac:dyDescent="0.25">
      <c r="A153" s="530"/>
      <c r="M153" s="929" t="s">
        <v>488</v>
      </c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</row>
    <row r="154" spans="1:69" ht="15" customHeight="1" x14ac:dyDescent="0.25">
      <c r="A154"/>
      <c r="B154" s="40"/>
      <c r="C154" s="40"/>
      <c r="D154" s="40"/>
      <c r="E154" s="40"/>
      <c r="F154" s="40"/>
      <c r="G154" s="40"/>
      <c r="H154" s="40"/>
      <c r="I154"/>
      <c r="J154"/>
      <c r="K154"/>
      <c r="L154"/>
      <c r="M154"/>
      <c r="N154"/>
      <c r="O154"/>
      <c r="P154"/>
      <c r="Q154"/>
      <c r="R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</row>
    <row r="155" spans="1:69" ht="1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</row>
    <row r="156" spans="1:69" ht="15" customHeight="1" x14ac:dyDescent="0.25">
      <c r="B156" s="546" t="s">
        <v>363</v>
      </c>
      <c r="C156" s="548"/>
      <c r="Q156" s="629"/>
      <c r="R156" s="630"/>
      <c r="S156" s="630"/>
      <c r="AF156" s="1" t="s">
        <v>413</v>
      </c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</row>
    <row r="157" spans="1:69" ht="15" customHeight="1" x14ac:dyDescent="0.25">
      <c r="B157" s="546"/>
      <c r="C157" s="530" t="s">
        <v>364</v>
      </c>
      <c r="Q157" s="629"/>
      <c r="R157" s="630"/>
      <c r="S157" s="630"/>
      <c r="AF157" t="s">
        <v>414</v>
      </c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</row>
    <row r="158" spans="1:69" ht="15" customHeight="1" x14ac:dyDescent="0.25">
      <c r="A158" s="530"/>
      <c r="B158" s="546"/>
      <c r="C158" s="546"/>
      <c r="D158" s="530"/>
      <c r="H158" s="530"/>
      <c r="L158" s="547"/>
      <c r="W158" s="558"/>
      <c r="AF158" s="705" t="s">
        <v>366</v>
      </c>
      <c r="AG158" s="706"/>
      <c r="AH158" s="692" t="s">
        <v>392</v>
      </c>
      <c r="AI158" s="697"/>
      <c r="AJ158" s="755" t="s">
        <v>288</v>
      </c>
      <c r="AK158" s="756" t="s">
        <v>288</v>
      </c>
      <c r="AL158" s="698"/>
      <c r="AM158" s="698"/>
      <c r="AN158" s="699"/>
      <c r="AO158" s="732"/>
      <c r="AP158" s="733"/>
      <c r="AQ158" s="733"/>
      <c r="AR158" s="733"/>
      <c r="AS158" s="733"/>
      <c r="AT158" s="734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</row>
    <row r="159" spans="1:69" ht="15" customHeight="1" x14ac:dyDescent="0.25">
      <c r="A159" s="530"/>
      <c r="B159" s="546"/>
      <c r="H159" s="537" t="s">
        <v>294</v>
      </c>
      <c r="I159" s="530"/>
      <c r="W159" s="558"/>
      <c r="AF159" s="693" t="s">
        <v>367</v>
      </c>
      <c r="AG159" s="681" t="s">
        <v>368</v>
      </c>
      <c r="AH159" s="694" t="s">
        <v>393</v>
      </c>
      <c r="AI159" s="700"/>
      <c r="AJ159" s="687" t="s">
        <v>417</v>
      </c>
      <c r="AK159" s="468"/>
      <c r="AL159" s="469"/>
      <c r="AM159" s="688" t="s">
        <v>128</v>
      </c>
      <c r="AN159" s="701" t="s">
        <v>128</v>
      </c>
      <c r="AO159" s="735"/>
      <c r="AP159"/>
      <c r="AQ159"/>
      <c r="AR159"/>
      <c r="AS159"/>
      <c r="AT159" s="736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</row>
    <row r="160" spans="1:69" ht="15" customHeight="1" x14ac:dyDescent="0.25">
      <c r="A160" s="530"/>
      <c r="B160" s="546"/>
      <c r="C160" s="561" t="s">
        <v>15</v>
      </c>
      <c r="D160" s="552"/>
      <c r="E160" s="562"/>
      <c r="G160" s="563"/>
      <c r="H160" s="569" t="s">
        <v>362</v>
      </c>
      <c r="I160" s="564"/>
      <c r="J160" s="563"/>
      <c r="K160" s="642" t="s">
        <v>111</v>
      </c>
      <c r="L160" s="563"/>
      <c r="N160" s="751"/>
      <c r="O160" s="752"/>
      <c r="P160" s="752"/>
      <c r="Q160" s="752"/>
      <c r="R160" s="752"/>
      <c r="S160" s="752"/>
      <c r="T160" s="752"/>
      <c r="U160" s="752"/>
      <c r="V160" s="752"/>
      <c r="W160" s="757"/>
      <c r="X160" s="752"/>
      <c r="Y160" s="752"/>
      <c r="Z160" s="752"/>
      <c r="AA160" s="752"/>
      <c r="AB160" s="752"/>
      <c r="AC160" s="758"/>
      <c r="AF160" s="693" t="s">
        <v>369</v>
      </c>
      <c r="AG160" s="681" t="s">
        <v>370</v>
      </c>
      <c r="AH160" s="694" t="s">
        <v>394</v>
      </c>
      <c r="AI160" s="702" t="s">
        <v>289</v>
      </c>
      <c r="AJ160" s="686" t="s">
        <v>291</v>
      </c>
      <c r="AK160" s="470" t="s">
        <v>292</v>
      </c>
      <c r="AL160" s="471" t="s">
        <v>293</v>
      </c>
      <c r="AM160" s="686" t="s">
        <v>291</v>
      </c>
      <c r="AN160" s="703" t="s">
        <v>292</v>
      </c>
      <c r="AO160" s="735"/>
      <c r="AP160"/>
      <c r="AQ160"/>
      <c r="AR160"/>
      <c r="AS160"/>
      <c r="AT160" s="736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</row>
    <row r="161" spans="1:69" ht="15" customHeight="1" x14ac:dyDescent="0.25">
      <c r="A161" s="530"/>
      <c r="B161" s="546"/>
      <c r="C161" s="565" t="s">
        <v>61</v>
      </c>
      <c r="D161" s="566" t="s">
        <v>19</v>
      </c>
      <c r="E161" s="528">
        <v>0.9</v>
      </c>
      <c r="G161" s="567" t="s">
        <v>2</v>
      </c>
      <c r="H161" s="568" t="s">
        <v>250</v>
      </c>
      <c r="I161" s="569">
        <v>0</v>
      </c>
      <c r="J161" s="568" t="s">
        <v>133</v>
      </c>
      <c r="K161" s="568" t="s">
        <v>127</v>
      </c>
      <c r="L161" s="568" t="s">
        <v>128</v>
      </c>
      <c r="N161" s="737"/>
      <c r="W161" s="558"/>
      <c r="AC161" s="738"/>
      <c r="AF161" s="693" t="s">
        <v>371</v>
      </c>
      <c r="AG161" s="681" t="s">
        <v>372</v>
      </c>
      <c r="AH161" s="694" t="s">
        <v>395</v>
      </c>
      <c r="AI161" s="702">
        <v>1</v>
      </c>
      <c r="AJ161" s="713">
        <v>2.1800000000000002</v>
      </c>
      <c r="AK161" s="742">
        <v>2.1800000000000002</v>
      </c>
      <c r="AL161" s="474">
        <v>-1</v>
      </c>
      <c r="AM161" s="719">
        <v>0.70435799762355744</v>
      </c>
      <c r="AN161" s="720">
        <v>0.70435799762355744</v>
      </c>
      <c r="AO161" s="735"/>
      <c r="AP161"/>
      <c r="AQ161"/>
      <c r="AR161"/>
      <c r="AS161"/>
      <c r="AT161" s="736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</row>
    <row r="162" spans="1:69" ht="17.100000000000001" customHeight="1" x14ac:dyDescent="0.25">
      <c r="A162" s="530"/>
      <c r="B162" s="546"/>
      <c r="C162" s="565" t="s">
        <v>62</v>
      </c>
      <c r="D162" s="566" t="s">
        <v>20</v>
      </c>
      <c r="E162" s="528">
        <v>0.96</v>
      </c>
      <c r="G162" s="570">
        <v>1</v>
      </c>
      <c r="H162" s="670">
        <f t="shared" ref="H162:H169" si="62">D168</f>
        <v>2.1800000000000002</v>
      </c>
      <c r="I162" s="670">
        <f t="shared" ref="I162:I173" si="63">H162</f>
        <v>2.1800000000000002</v>
      </c>
      <c r="J162" s="529">
        <f>I162*2</f>
        <v>4.3600000000000003</v>
      </c>
      <c r="K162" s="529">
        <f>(J162/G162)</f>
        <v>4.3600000000000003</v>
      </c>
      <c r="L162" s="529">
        <f>SQRT(12*32.2*K162^2/(4*$E$164*($E$162*56)*$E$161^2))</f>
        <v>0.70435799762355744</v>
      </c>
      <c r="N162" s="737"/>
      <c r="W162" s="558"/>
      <c r="AC162" s="738"/>
      <c r="AF162" s="707" t="s">
        <v>373</v>
      </c>
      <c r="AG162" s="682" t="s">
        <v>374</v>
      </c>
      <c r="AH162" s="694"/>
      <c r="AI162" s="702">
        <v>2</v>
      </c>
      <c r="AJ162" s="713">
        <v>4.3499999999999996</v>
      </c>
      <c r="AK162" s="742">
        <v>4.3499999999999996</v>
      </c>
      <c r="AL162" s="474">
        <v>-1</v>
      </c>
      <c r="AM162" s="719">
        <v>0.70274249762900787</v>
      </c>
      <c r="AN162" s="720">
        <v>0.70274249762900787</v>
      </c>
      <c r="AO162" s="735"/>
      <c r="AP162"/>
      <c r="AQ162"/>
      <c r="AR162"/>
      <c r="AS162"/>
      <c r="AT162" s="736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</row>
    <row r="163" spans="1:69" ht="17.100000000000001" customHeight="1" x14ac:dyDescent="0.25">
      <c r="A163" s="530"/>
      <c r="B163" s="546"/>
      <c r="C163" s="565" t="s">
        <v>356</v>
      </c>
      <c r="E163" s="665">
        <f>(E162*2.20462*25.4*12)</f>
        <v>645.0894489599998</v>
      </c>
      <c r="G163" s="537">
        <v>2</v>
      </c>
      <c r="H163" s="671">
        <f t="shared" si="62"/>
        <v>4.3499999999999996</v>
      </c>
      <c r="I163" s="671">
        <f t="shared" si="63"/>
        <v>4.3499999999999996</v>
      </c>
      <c r="J163" s="535">
        <f t="shared" ref="J163:J166" si="64">I163*2</f>
        <v>8.6999999999999993</v>
      </c>
      <c r="K163" s="535">
        <f t="shared" ref="K163:K166" si="65">(J163/G163)</f>
        <v>4.3499999999999996</v>
      </c>
      <c r="L163" s="535">
        <f t="shared" ref="L163:L173" si="66">SQRT(12*32.2*K163^2/(4*$E$164*($E$162*56)*$E$161^2))</f>
        <v>0.70274249762900787</v>
      </c>
      <c r="N163" s="737"/>
      <c r="W163" s="558"/>
      <c r="AC163" s="738"/>
      <c r="AF163" s="708"/>
      <c r="AG163" s="683" t="s">
        <v>375</v>
      </c>
      <c r="AH163" s="694" t="s">
        <v>396</v>
      </c>
      <c r="AI163" s="702">
        <v>3</v>
      </c>
      <c r="AJ163" s="714">
        <v>6.5</v>
      </c>
      <c r="AK163" s="743">
        <v>6.5</v>
      </c>
      <c r="AL163" s="715">
        <v>-1</v>
      </c>
      <c r="AM163" s="721">
        <v>0.70004999763809217</v>
      </c>
      <c r="AN163" s="722">
        <v>0.70004999763809217</v>
      </c>
      <c r="AO163" s="735"/>
      <c r="AP163"/>
      <c r="AQ163"/>
      <c r="AR163"/>
      <c r="AS163"/>
      <c r="AT163" s="736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</row>
    <row r="164" spans="1:69" ht="17.100000000000001" customHeight="1" x14ac:dyDescent="0.25">
      <c r="A164" s="530"/>
      <c r="B164" s="546"/>
      <c r="C164" s="571" t="s">
        <v>59</v>
      </c>
      <c r="D164" s="572" t="s">
        <v>28</v>
      </c>
      <c r="E164" s="573">
        <v>85</v>
      </c>
      <c r="G164" s="574">
        <v>3</v>
      </c>
      <c r="H164" s="672">
        <f t="shared" si="62"/>
        <v>6.5</v>
      </c>
      <c r="I164" s="672">
        <f t="shared" si="63"/>
        <v>6.5</v>
      </c>
      <c r="J164" s="536">
        <f t="shared" si="64"/>
        <v>13</v>
      </c>
      <c r="K164" s="536">
        <f t="shared" si="65"/>
        <v>4.333333333333333</v>
      </c>
      <c r="L164" s="536">
        <f t="shared" si="66"/>
        <v>0.70004999763809217</v>
      </c>
      <c r="N164" s="737"/>
      <c r="W164" s="558"/>
      <c r="AC164" s="738"/>
      <c r="AF164" s="693" t="s">
        <v>376</v>
      </c>
      <c r="AG164" s="681" t="s">
        <v>377</v>
      </c>
      <c r="AH164" s="694"/>
      <c r="AI164" s="702">
        <v>4</v>
      </c>
      <c r="AJ164" s="713">
        <v>8.6999999999999993</v>
      </c>
      <c r="AK164" s="744">
        <v>8.6999999999999993</v>
      </c>
      <c r="AL164" s="718">
        <v>-1</v>
      </c>
      <c r="AM164" s="723">
        <v>0.70274249762900787</v>
      </c>
      <c r="AN164" s="720">
        <v>0.70274249762900787</v>
      </c>
      <c r="AO164" s="735"/>
      <c r="AP164"/>
      <c r="AQ164"/>
      <c r="AR164"/>
      <c r="AS164"/>
      <c r="AT164" s="736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</row>
    <row r="165" spans="1:69" ht="17.100000000000001" customHeight="1" x14ac:dyDescent="0.25">
      <c r="A165" s="530"/>
      <c r="G165" s="537">
        <v>4</v>
      </c>
      <c r="H165" s="671">
        <f t="shared" si="62"/>
        <v>8.6999999999999993</v>
      </c>
      <c r="I165" s="671">
        <f t="shared" si="63"/>
        <v>8.6999999999999993</v>
      </c>
      <c r="J165" s="535">
        <f t="shared" si="64"/>
        <v>17.399999999999999</v>
      </c>
      <c r="K165" s="535">
        <f t="shared" si="65"/>
        <v>4.3499999999999996</v>
      </c>
      <c r="L165" s="535">
        <f t="shared" si="66"/>
        <v>0.70274249762900787</v>
      </c>
      <c r="N165" s="737"/>
      <c r="W165" s="558"/>
      <c r="AC165" s="738"/>
      <c r="AF165" s="693" t="s">
        <v>378</v>
      </c>
      <c r="AG165" s="681"/>
      <c r="AH165" s="694" t="s">
        <v>397</v>
      </c>
      <c r="AI165" s="702">
        <v>5</v>
      </c>
      <c r="AJ165" s="713">
        <v>10.8</v>
      </c>
      <c r="AK165" s="744">
        <v>10.8</v>
      </c>
      <c r="AL165" s="718">
        <v>-1</v>
      </c>
      <c r="AM165" s="723">
        <v>0.6978959976453597</v>
      </c>
      <c r="AN165" s="720">
        <v>0.6978959976453597</v>
      </c>
      <c r="AO165" s="735"/>
      <c r="AP165"/>
      <c r="AQ165"/>
      <c r="AR165"/>
      <c r="AS165"/>
      <c r="AT165" s="736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</row>
    <row r="166" spans="1:69" ht="17.100000000000001" customHeight="1" x14ac:dyDescent="0.25">
      <c r="A166" s="530"/>
      <c r="B166" s="655"/>
      <c r="C166" s="655" t="s">
        <v>365</v>
      </c>
      <c r="D166" s="655"/>
      <c r="G166" s="537">
        <v>5</v>
      </c>
      <c r="H166" s="671">
        <f t="shared" si="62"/>
        <v>10.8</v>
      </c>
      <c r="I166" s="671">
        <f t="shared" si="63"/>
        <v>10.8</v>
      </c>
      <c r="J166" s="535">
        <f t="shared" si="64"/>
        <v>21.6</v>
      </c>
      <c r="K166" s="535">
        <f t="shared" si="65"/>
        <v>4.32</v>
      </c>
      <c r="L166" s="535">
        <f t="shared" si="66"/>
        <v>0.6978959976453597</v>
      </c>
      <c r="N166" s="737"/>
      <c r="W166" s="558"/>
      <c r="AC166" s="738"/>
      <c r="AF166" s="695" t="s">
        <v>379</v>
      </c>
      <c r="AG166" s="684" t="s">
        <v>380</v>
      </c>
      <c r="AH166" s="694" t="s">
        <v>398</v>
      </c>
      <c r="AI166" s="702">
        <v>10</v>
      </c>
      <c r="AJ166" s="714">
        <v>21.7</v>
      </c>
      <c r="AK166" s="743">
        <v>21.7</v>
      </c>
      <c r="AL166" s="717">
        <v>-1</v>
      </c>
      <c r="AM166" s="721">
        <v>0.7</v>
      </c>
      <c r="AN166" s="722">
        <v>0.70112699763445852</v>
      </c>
      <c r="AO166" s="735"/>
      <c r="AP166"/>
      <c r="AQ166"/>
      <c r="AR166"/>
      <c r="AS166"/>
      <c r="AT166" s="73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</row>
    <row r="167" spans="1:69" ht="17.100000000000001" customHeight="1" x14ac:dyDescent="0.25">
      <c r="A167" s="530"/>
      <c r="B167" s="641"/>
      <c r="C167" s="656" t="s">
        <v>345</v>
      </c>
      <c r="D167" s="657" t="s">
        <v>346</v>
      </c>
      <c r="G167" s="574">
        <v>10</v>
      </c>
      <c r="H167" s="672">
        <f t="shared" si="62"/>
        <v>21.7</v>
      </c>
      <c r="I167" s="672">
        <f t="shared" si="63"/>
        <v>21.7</v>
      </c>
      <c r="J167" s="536">
        <f>I167*2</f>
        <v>43.4</v>
      </c>
      <c r="K167" s="536">
        <f>(J167/G167)</f>
        <v>4.34</v>
      </c>
      <c r="L167" s="536">
        <f t="shared" si="66"/>
        <v>0.70112699763445852</v>
      </c>
      <c r="N167" s="737"/>
      <c r="W167" s="558"/>
      <c r="AC167" s="738"/>
      <c r="AF167" s="695" t="s">
        <v>381</v>
      </c>
      <c r="AG167" s="684" t="s">
        <v>382</v>
      </c>
      <c r="AH167" s="694" t="s">
        <v>399</v>
      </c>
      <c r="AI167" s="702">
        <v>20</v>
      </c>
      <c r="AJ167" s="713">
        <v>43.3</v>
      </c>
      <c r="AK167" s="744">
        <v>43.3</v>
      </c>
      <c r="AL167" s="718">
        <v>-1</v>
      </c>
      <c r="AM167" s="723">
        <v>0.7</v>
      </c>
      <c r="AN167" s="720">
        <v>0.69951149763990905</v>
      </c>
      <c r="AO167" s="737"/>
      <c r="AT167" s="738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</row>
    <row r="168" spans="1:69" ht="17.100000000000001" customHeight="1" x14ac:dyDescent="0.25">
      <c r="A168" s="530"/>
      <c r="B168" s="546"/>
      <c r="C168" s="7">
        <v>-2.1800000000000002</v>
      </c>
      <c r="D168" s="535">
        <f>-C168</f>
        <v>2.1800000000000002</v>
      </c>
      <c r="G168" s="537">
        <v>20</v>
      </c>
      <c r="H168" s="671">
        <f t="shared" si="62"/>
        <v>43.3</v>
      </c>
      <c r="I168" s="671">
        <f t="shared" si="63"/>
        <v>43.3</v>
      </c>
      <c r="J168" s="535">
        <f t="shared" ref="J168" si="67">I168*2</f>
        <v>86.6</v>
      </c>
      <c r="K168" s="535">
        <f t="shared" ref="K168" si="68">(J168/G168)</f>
        <v>4.33</v>
      </c>
      <c r="L168" s="535">
        <f t="shared" si="66"/>
        <v>0.69951149763990905</v>
      </c>
      <c r="N168" s="737"/>
      <c r="W168" s="558"/>
      <c r="AC168" s="738"/>
      <c r="AF168" s="695" t="s">
        <v>383</v>
      </c>
      <c r="AG168" s="684" t="s">
        <v>384</v>
      </c>
      <c r="AH168" s="694" t="s">
        <v>400</v>
      </c>
      <c r="AI168" s="702">
        <v>30</v>
      </c>
      <c r="AJ168" s="714">
        <v>65</v>
      </c>
      <c r="AK168" s="743">
        <v>65</v>
      </c>
      <c r="AL168" s="716">
        <v>-1</v>
      </c>
      <c r="AM168" s="721">
        <v>0.7</v>
      </c>
      <c r="AN168" s="722">
        <v>0.70004999763809217</v>
      </c>
      <c r="AO168" s="737"/>
      <c r="AT168" s="73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</row>
    <row r="169" spans="1:69" ht="17.100000000000001" customHeight="1" x14ac:dyDescent="0.25">
      <c r="A169" s="530"/>
      <c r="B169" s="546"/>
      <c r="C169" s="7">
        <v>-4.3499999999999996</v>
      </c>
      <c r="D169" s="535">
        <f t="shared" ref="D169:D184" si="69">-C169</f>
        <v>4.3499999999999996</v>
      </c>
      <c r="G169" s="574">
        <v>30</v>
      </c>
      <c r="H169" s="672">
        <f t="shared" si="62"/>
        <v>65</v>
      </c>
      <c r="I169" s="672">
        <f t="shared" si="63"/>
        <v>65</v>
      </c>
      <c r="J169" s="536">
        <f>I169*2</f>
        <v>130</v>
      </c>
      <c r="K169" s="536">
        <f>(J169/G169)</f>
        <v>4.333333333333333</v>
      </c>
      <c r="L169" s="536">
        <f t="shared" si="66"/>
        <v>0.70004999763809217</v>
      </c>
      <c r="N169" s="737"/>
      <c r="W169" s="558"/>
      <c r="AC169" s="738"/>
      <c r="AF169" s="695" t="s">
        <v>385</v>
      </c>
      <c r="AG169" s="684" t="s">
        <v>386</v>
      </c>
      <c r="AH169" s="694" t="s">
        <v>401</v>
      </c>
      <c r="AI169" s="702">
        <v>40</v>
      </c>
      <c r="AJ169" s="713">
        <v>86.7</v>
      </c>
      <c r="AK169" s="742">
        <v>86.7</v>
      </c>
      <c r="AL169" s="474">
        <v>-1</v>
      </c>
      <c r="AM169" s="719">
        <v>0.7</v>
      </c>
      <c r="AN169" s="720">
        <v>0.70031924763718378</v>
      </c>
      <c r="AO169" s="737"/>
      <c r="AT169" s="738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</row>
    <row r="170" spans="1:69" ht="17.100000000000001" customHeight="1" x14ac:dyDescent="0.25">
      <c r="A170" s="530"/>
      <c r="B170" s="546"/>
      <c r="C170" s="640">
        <v>-6.5</v>
      </c>
      <c r="D170" s="535">
        <f t="shared" si="69"/>
        <v>6.5</v>
      </c>
      <c r="G170" s="537">
        <v>40</v>
      </c>
      <c r="H170" s="671">
        <f>D181</f>
        <v>86.7</v>
      </c>
      <c r="I170" s="671">
        <f t="shared" si="63"/>
        <v>86.7</v>
      </c>
      <c r="J170" s="535">
        <f t="shared" ref="J170:J173" si="70">I170*2</f>
        <v>173.4</v>
      </c>
      <c r="K170" s="535">
        <f t="shared" ref="K170:K173" si="71">(J170/G170)</f>
        <v>4.335</v>
      </c>
      <c r="L170" s="535">
        <f t="shared" si="66"/>
        <v>0.70031924763718378</v>
      </c>
      <c r="N170" s="737"/>
      <c r="W170" s="558"/>
      <c r="AC170" s="738"/>
      <c r="AF170" s="696" t="s">
        <v>387</v>
      </c>
      <c r="AG170" s="684" t="s">
        <v>386</v>
      </c>
      <c r="AH170" s="694" t="s">
        <v>402</v>
      </c>
      <c r="AI170" s="702">
        <v>50</v>
      </c>
      <c r="AJ170" s="713">
        <v>108.3</v>
      </c>
      <c r="AK170" s="742">
        <v>108.3</v>
      </c>
      <c r="AL170" s="474">
        <v>-1</v>
      </c>
      <c r="AM170" s="719">
        <v>0.7</v>
      </c>
      <c r="AN170" s="720">
        <v>0.69983459763881894</v>
      </c>
      <c r="AO170" s="737"/>
      <c r="AT170" s="738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</row>
    <row r="171" spans="1:69" ht="17.100000000000001" customHeight="1" x14ac:dyDescent="0.25">
      <c r="A171" s="530"/>
      <c r="B171" s="546"/>
      <c r="C171" s="7">
        <v>-8.6999999999999993</v>
      </c>
      <c r="D171" s="535">
        <f t="shared" si="69"/>
        <v>8.6999999999999993</v>
      </c>
      <c r="G171" s="537">
        <v>50</v>
      </c>
      <c r="H171" s="671">
        <f>D182</f>
        <v>108.3</v>
      </c>
      <c r="I171" s="671">
        <f t="shared" si="63"/>
        <v>108.3</v>
      </c>
      <c r="J171" s="535">
        <f t="shared" si="70"/>
        <v>216.6</v>
      </c>
      <c r="K171" s="535">
        <f t="shared" si="71"/>
        <v>4.3319999999999999</v>
      </c>
      <c r="L171" s="535">
        <f t="shared" si="66"/>
        <v>0.69983459763881894</v>
      </c>
      <c r="N171" s="737"/>
      <c r="W171" s="558"/>
      <c r="AC171" s="738"/>
      <c r="AF171" s="709" t="s">
        <v>388</v>
      </c>
      <c r="AG171" s="691"/>
      <c r="AH171" s="694" t="s">
        <v>403</v>
      </c>
      <c r="AI171" s="702">
        <v>60</v>
      </c>
      <c r="AJ171" s="713">
        <v>130</v>
      </c>
      <c r="AK171" s="742">
        <v>130</v>
      </c>
      <c r="AL171" s="474">
        <v>-1</v>
      </c>
      <c r="AM171" s="719">
        <v>0.7</v>
      </c>
      <c r="AN171" s="720">
        <v>0.70004999763809217</v>
      </c>
      <c r="AO171" s="737"/>
      <c r="AT171" s="738"/>
    </row>
    <row r="172" spans="1:69" ht="17.100000000000001" customHeight="1" x14ac:dyDescent="0.25">
      <c r="A172" s="530"/>
      <c r="B172" s="546"/>
      <c r="C172" s="7">
        <v>-10.8</v>
      </c>
      <c r="D172" s="535">
        <f t="shared" si="69"/>
        <v>10.8</v>
      </c>
      <c r="G172" s="537">
        <v>60</v>
      </c>
      <c r="H172" s="671">
        <f>D183</f>
        <v>130</v>
      </c>
      <c r="I172" s="671">
        <f t="shared" si="63"/>
        <v>130</v>
      </c>
      <c r="J172" s="535">
        <f t="shared" si="70"/>
        <v>260</v>
      </c>
      <c r="K172" s="535">
        <f t="shared" si="71"/>
        <v>4.333333333333333</v>
      </c>
      <c r="L172" s="535">
        <f t="shared" si="66"/>
        <v>0.70004999763809217</v>
      </c>
      <c r="N172" s="737"/>
      <c r="W172" s="558"/>
      <c r="AC172" s="738"/>
      <c r="AF172" s="747" t="s">
        <v>408</v>
      </c>
      <c r="AG172" s="748"/>
      <c r="AH172" s="694" t="s">
        <v>404</v>
      </c>
      <c r="AI172" s="702">
        <v>70</v>
      </c>
      <c r="AJ172" s="714">
        <v>151.69999999999999</v>
      </c>
      <c r="AK172" s="743">
        <v>151.69999999999999</v>
      </c>
      <c r="AL172" s="477">
        <v>-1</v>
      </c>
      <c r="AM172" s="721">
        <v>0.7</v>
      </c>
      <c r="AN172" s="722">
        <v>0.70020385478043023</v>
      </c>
      <c r="AO172" s="737"/>
      <c r="AT172" s="738"/>
    </row>
    <row r="173" spans="1:69" ht="17.100000000000001" customHeight="1" x14ac:dyDescent="0.25">
      <c r="A173" s="530"/>
      <c r="B173" s="546"/>
      <c r="C173" s="640">
        <v>-21.7</v>
      </c>
      <c r="D173" s="535">
        <f t="shared" si="69"/>
        <v>21.7</v>
      </c>
      <c r="G173" s="574">
        <v>70</v>
      </c>
      <c r="H173" s="672">
        <f>D184</f>
        <v>151.69999999999999</v>
      </c>
      <c r="I173" s="672">
        <f t="shared" si="63"/>
        <v>151.69999999999999</v>
      </c>
      <c r="J173" s="536">
        <f t="shared" si="70"/>
        <v>303.39999999999998</v>
      </c>
      <c r="K173" s="536">
        <f t="shared" si="71"/>
        <v>4.3342857142857136</v>
      </c>
      <c r="L173" s="536">
        <f t="shared" si="66"/>
        <v>0.70020385478043023</v>
      </c>
      <c r="N173" s="739"/>
      <c r="O173" s="740"/>
      <c r="P173" s="740"/>
      <c r="Q173" s="740"/>
      <c r="R173" s="740"/>
      <c r="S173" s="740"/>
      <c r="T173" s="740"/>
      <c r="U173" s="740"/>
      <c r="V173" s="740"/>
      <c r="W173" s="759"/>
      <c r="X173" s="740"/>
      <c r="Y173" s="740"/>
      <c r="Z173" s="740"/>
      <c r="AA173" s="740"/>
      <c r="AB173" s="740"/>
      <c r="AC173" s="741"/>
      <c r="AF173" s="749" t="s">
        <v>389</v>
      </c>
      <c r="AG173" s="750"/>
      <c r="AH173" s="694"/>
      <c r="AI173" s="710"/>
      <c r="AJ173" s="690"/>
      <c r="AK173" s="685"/>
      <c r="AL173" s="685"/>
      <c r="AM173" s="685"/>
      <c r="AN173" s="694"/>
      <c r="AO173" s="737"/>
      <c r="AT173" s="738"/>
    </row>
    <row r="174" spans="1:69" ht="17.100000000000001" customHeight="1" x14ac:dyDescent="0.25">
      <c r="A174" s="530"/>
      <c r="B174" s="546"/>
      <c r="C174" s="7">
        <v>-43.3</v>
      </c>
      <c r="D174" s="535">
        <f t="shared" si="69"/>
        <v>43.3</v>
      </c>
      <c r="G174" s="537"/>
      <c r="H174" s="535"/>
      <c r="I174" s="537"/>
      <c r="J174" s="535"/>
      <c r="K174" s="535"/>
      <c r="L174" s="662">
        <f>L169/L173</f>
        <v>0.99978026807295095</v>
      </c>
      <c r="W174" s="558"/>
      <c r="AF174" s="749" t="s">
        <v>390</v>
      </c>
      <c r="AG174" s="750"/>
      <c r="AH174" s="694" t="s">
        <v>405</v>
      </c>
      <c r="AI174" s="726" t="s">
        <v>330</v>
      </c>
      <c r="AJ174" s="526"/>
      <c r="AK174" s="525"/>
      <c r="AL174" s="525"/>
      <c r="AM174" s="724">
        <v>1</v>
      </c>
      <c r="AN174" s="725">
        <v>1</v>
      </c>
      <c r="AO174" s="737"/>
      <c r="AT174" s="738"/>
    </row>
    <row r="175" spans="1:69" ht="17.100000000000001" customHeight="1" x14ac:dyDescent="0.25">
      <c r="A175" s="530"/>
      <c r="B175" s="546"/>
      <c r="C175" s="7">
        <v>-65</v>
      </c>
      <c r="D175" s="535">
        <f t="shared" si="69"/>
        <v>65</v>
      </c>
      <c r="G175" s="537"/>
      <c r="H175" s="535"/>
      <c r="I175" s="537"/>
      <c r="J175" s="535"/>
      <c r="K175" s="535"/>
      <c r="L175" s="578"/>
      <c r="W175" s="558"/>
      <c r="AF175" s="749" t="s">
        <v>391</v>
      </c>
      <c r="AG175" s="750"/>
      <c r="AH175" s="694" t="s">
        <v>406</v>
      </c>
      <c r="AI175" s="711"/>
      <c r="AJ175" s="689"/>
      <c r="AK175" s="689"/>
      <c r="AL175" s="689"/>
      <c r="AM175" s="689"/>
      <c r="AN175" s="712"/>
      <c r="AO175" s="737"/>
      <c r="AT175" s="738"/>
    </row>
    <row r="176" spans="1:69" ht="17.100000000000001" customHeight="1" x14ac:dyDescent="0.25">
      <c r="A176" s="530"/>
      <c r="B176" s="546"/>
      <c r="C176" s="7"/>
      <c r="D176" s="535"/>
      <c r="G176" s="537"/>
      <c r="H176" s="535"/>
      <c r="I176" s="537"/>
      <c r="J176" s="535"/>
      <c r="K176" s="535"/>
      <c r="L176" s="578"/>
      <c r="W176" s="558"/>
      <c r="AF176" s="803" t="s">
        <v>407</v>
      </c>
      <c r="AG176" s="804"/>
      <c r="AH176" s="704"/>
      <c r="AI176" s="805"/>
      <c r="AJ176" s="806"/>
      <c r="AK176" s="806"/>
      <c r="AL176" s="806"/>
      <c r="AM176" s="806"/>
      <c r="AN176" s="807"/>
      <c r="AO176" s="739"/>
      <c r="AP176" s="740"/>
      <c r="AQ176" s="740"/>
      <c r="AR176" s="740"/>
      <c r="AS176" s="740"/>
      <c r="AT176" s="741"/>
    </row>
    <row r="177" spans="1:43" ht="17.100000000000001" customHeight="1" x14ac:dyDescent="0.25">
      <c r="A177" s="530"/>
      <c r="B177" s="546"/>
      <c r="C177" s="7"/>
      <c r="D177" s="535"/>
      <c r="G177" s="537"/>
      <c r="H177" s="535"/>
      <c r="I177" s="537"/>
      <c r="J177" s="535"/>
      <c r="K177" s="535"/>
      <c r="L177" s="578"/>
      <c r="W177" s="558"/>
    </row>
    <row r="178" spans="1:43" ht="17.100000000000001" customHeight="1" x14ac:dyDescent="0.25">
      <c r="A178" s="530"/>
      <c r="B178" s="546"/>
      <c r="C178" s="7"/>
      <c r="D178" s="535"/>
      <c r="G178" s="537"/>
      <c r="H178" s="535"/>
      <c r="I178" s="537"/>
      <c r="J178" s="535"/>
      <c r="K178" s="535"/>
      <c r="L178" s="578"/>
      <c r="W178" s="558"/>
    </row>
    <row r="179" spans="1:43" ht="17.100000000000001" customHeight="1" x14ac:dyDescent="0.25">
      <c r="A179" s="530"/>
      <c r="B179" s="546"/>
      <c r="C179" s="7"/>
      <c r="D179" s="535"/>
      <c r="G179" s="537"/>
      <c r="H179" s="535"/>
      <c r="I179" s="537"/>
      <c r="J179" s="535"/>
      <c r="K179" s="535"/>
      <c r="L179" s="578"/>
      <c r="W179" s="558"/>
    </row>
    <row r="180" spans="1:43" ht="17.100000000000001" customHeight="1" x14ac:dyDescent="0.25">
      <c r="A180" s="530"/>
      <c r="B180" s="546"/>
      <c r="C180" s="7"/>
      <c r="D180" s="535"/>
      <c r="G180" s="537"/>
      <c r="H180" s="535"/>
      <c r="I180" s="537"/>
      <c r="J180" s="535"/>
      <c r="K180" s="535"/>
      <c r="L180" s="578"/>
      <c r="W180" s="558"/>
    </row>
    <row r="181" spans="1:43" ht="17.100000000000001" customHeight="1" x14ac:dyDescent="0.25">
      <c r="A181" s="530"/>
      <c r="B181" s="546"/>
      <c r="C181" s="7">
        <v>-86.7</v>
      </c>
      <c r="D181" s="535">
        <f t="shared" si="69"/>
        <v>86.7</v>
      </c>
      <c r="W181" s="558"/>
    </row>
    <row r="182" spans="1:43" ht="17.100000000000001" customHeight="1" x14ac:dyDescent="0.25">
      <c r="A182" s="530"/>
      <c r="B182" s="546"/>
      <c r="C182" s="7">
        <v>-108.3</v>
      </c>
      <c r="D182" s="535">
        <f t="shared" si="69"/>
        <v>108.3</v>
      </c>
      <c r="W182" s="558"/>
    </row>
    <row r="183" spans="1:43" ht="17.100000000000001" customHeight="1" x14ac:dyDescent="0.25">
      <c r="B183" s="546"/>
      <c r="C183" s="7">
        <v>-130</v>
      </c>
      <c r="D183" s="535">
        <f t="shared" si="69"/>
        <v>130</v>
      </c>
      <c r="Q183" s="629"/>
      <c r="R183" s="630"/>
      <c r="S183" s="630"/>
    </row>
    <row r="184" spans="1:43" ht="17.100000000000001" customHeight="1" x14ac:dyDescent="0.25">
      <c r="B184" s="546"/>
      <c r="C184" s="640">
        <v>-151.69999999999999</v>
      </c>
      <c r="D184" s="535">
        <f t="shared" si="69"/>
        <v>151.69999999999999</v>
      </c>
      <c r="Q184" s="629"/>
      <c r="R184" s="630"/>
      <c r="S184" s="630"/>
    </row>
    <row r="185" spans="1:43" ht="17.100000000000001" customHeight="1" x14ac:dyDescent="0.25">
      <c r="B185" s="546"/>
      <c r="C185" s="546"/>
      <c r="D185" s="546"/>
      <c r="Q185" s="629"/>
      <c r="R185" s="630"/>
      <c r="S185" s="630"/>
    </row>
    <row r="186" spans="1:43" ht="15" customHeight="1" x14ac:dyDescent="0.25">
      <c r="B186" s="546"/>
      <c r="C186" s="546"/>
      <c r="D186" s="546"/>
      <c r="Q186" s="629"/>
      <c r="R186" s="630"/>
      <c r="S186" s="630"/>
    </row>
    <row r="187" spans="1:43" ht="15" customHeight="1" x14ac:dyDescent="0.25">
      <c r="B187" s="546"/>
      <c r="C187" s="546"/>
      <c r="D187" s="546"/>
      <c r="Q187" s="629"/>
      <c r="R187" s="630"/>
      <c r="S187" s="630"/>
    </row>
    <row r="188" spans="1:43" ht="15" customHeight="1" x14ac:dyDescent="0.25">
      <c r="B188" s="556"/>
      <c r="C188" s="556"/>
      <c r="D188" s="556"/>
      <c r="E188" s="556"/>
      <c r="F188" s="556"/>
      <c r="G188" s="556"/>
      <c r="H188" s="556"/>
      <c r="I188" s="556"/>
      <c r="J188" s="556"/>
      <c r="K188" s="556"/>
      <c r="L188" s="556"/>
      <c r="M188" s="556"/>
      <c r="N188" s="556"/>
      <c r="O188" s="556"/>
      <c r="P188" s="556"/>
      <c r="Q188" s="631"/>
      <c r="R188" s="632"/>
      <c r="S188" s="632"/>
      <c r="T188" s="556"/>
      <c r="U188" s="556"/>
      <c r="V188" s="556"/>
      <c r="W188" s="556"/>
      <c r="X188" s="556"/>
      <c r="Y188" s="556"/>
      <c r="Z188" s="556"/>
    </row>
    <row r="189" spans="1:43" ht="1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43" ht="1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43" ht="1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AF191"/>
      <c r="AG191"/>
      <c r="AH191"/>
      <c r="AI191"/>
      <c r="AM191"/>
      <c r="AN191"/>
      <c r="AO191"/>
      <c r="AP191"/>
      <c r="AQ191"/>
    </row>
    <row r="192" spans="1:43" ht="15" customHeight="1" x14ac:dyDescent="0.25">
      <c r="A192"/>
      <c r="B192"/>
      <c r="C192"/>
      <c r="D192"/>
      <c r="E192" t="s">
        <v>320</v>
      </c>
      <c r="F192"/>
      <c r="M192" s="566" t="s">
        <v>49</v>
      </c>
      <c r="N192"/>
      <c r="O192"/>
      <c r="P192"/>
      <c r="Q192"/>
      <c r="R192"/>
      <c r="AF192"/>
      <c r="AG192"/>
      <c r="AH192"/>
      <c r="AI192"/>
      <c r="AM192"/>
      <c r="AN192"/>
      <c r="AO192"/>
      <c r="AP192"/>
      <c r="AQ192"/>
    </row>
    <row r="193" spans="1:43" ht="15" customHeight="1" x14ac:dyDescent="0.25">
      <c r="A193"/>
      <c r="B193"/>
      <c r="C193"/>
      <c r="D193"/>
      <c r="E193"/>
      <c r="F193"/>
      <c r="Q193"/>
      <c r="R193"/>
      <c r="AF193"/>
      <c r="AG193"/>
      <c r="AH193"/>
      <c r="AI193"/>
      <c r="AM193"/>
      <c r="AN193"/>
      <c r="AO193"/>
      <c r="AP193"/>
      <c r="AQ193"/>
    </row>
    <row r="194" spans="1:43" ht="20.100000000000001" customHeight="1" x14ac:dyDescent="0.25">
      <c r="A194"/>
      <c r="B194"/>
      <c r="C194"/>
      <c r="D194"/>
      <c r="E194"/>
      <c r="F194"/>
      <c r="G194" s="633"/>
      <c r="H194" s="663"/>
      <c r="I194" s="663" t="s">
        <v>282</v>
      </c>
      <c r="J194" s="663"/>
      <c r="K194" s="663" t="s">
        <v>282</v>
      </c>
      <c r="L194" s="636"/>
      <c r="Q194"/>
      <c r="R194"/>
      <c r="AF194"/>
      <c r="AG194"/>
      <c r="AH194"/>
      <c r="AI194"/>
      <c r="AM194"/>
      <c r="AN194"/>
      <c r="AO194"/>
      <c r="AP194"/>
      <c r="AQ194"/>
    </row>
    <row r="195" spans="1:43" ht="20.100000000000001" customHeight="1" x14ac:dyDescent="0.25">
      <c r="A195"/>
      <c r="B195"/>
      <c r="C195"/>
      <c r="D195"/>
      <c r="E195"/>
      <c r="F195"/>
      <c r="G195" s="761"/>
      <c r="H195" s="569"/>
      <c r="I195" s="569" t="s">
        <v>422</v>
      </c>
      <c r="J195" s="564"/>
      <c r="K195" s="564" t="s">
        <v>425</v>
      </c>
      <c r="L195" s="762"/>
      <c r="Q195"/>
      <c r="R195"/>
      <c r="AF195"/>
      <c r="AG195"/>
      <c r="AH195"/>
      <c r="AI195"/>
      <c r="AM195"/>
      <c r="AN195"/>
      <c r="AO195"/>
      <c r="AP195"/>
      <c r="AQ195"/>
    </row>
    <row r="196" spans="1:43" ht="20.100000000000001" customHeight="1" x14ac:dyDescent="0.25">
      <c r="A196"/>
      <c r="B196"/>
      <c r="C196"/>
      <c r="D196"/>
      <c r="E196"/>
      <c r="F196"/>
      <c r="G196" s="637" t="s">
        <v>2</v>
      </c>
      <c r="H196" s="568"/>
      <c r="I196" s="568" t="s">
        <v>128</v>
      </c>
      <c r="J196" s="568"/>
      <c r="K196" s="568" t="s">
        <v>128</v>
      </c>
      <c r="L196" s="638"/>
      <c r="Q196"/>
      <c r="R196"/>
      <c r="AF196"/>
      <c r="AG196"/>
      <c r="AH196"/>
      <c r="AI196"/>
      <c r="AM196"/>
      <c r="AN196"/>
      <c r="AO196"/>
      <c r="AP196"/>
      <c r="AQ196"/>
    </row>
    <row r="197" spans="1:43" ht="20.100000000000001" customHeight="1" x14ac:dyDescent="0.25">
      <c r="A197"/>
      <c r="B197"/>
      <c r="C197"/>
      <c r="D197"/>
      <c r="E197"/>
      <c r="F197"/>
      <c r="G197" s="607">
        <v>1</v>
      </c>
      <c r="H197" s="529"/>
      <c r="I197" s="771">
        <f>P139</f>
        <v>0.6995535006397674</v>
      </c>
      <c r="J197" s="667"/>
      <c r="K197" s="771">
        <f>L93</f>
        <v>0.78513299735102959</v>
      </c>
      <c r="L197" s="541"/>
      <c r="Q197"/>
      <c r="R197"/>
      <c r="AF197"/>
      <c r="AG197"/>
      <c r="AH197"/>
      <c r="AI197"/>
      <c r="AM197"/>
      <c r="AN197"/>
      <c r="AO197"/>
      <c r="AP197"/>
      <c r="AQ197"/>
    </row>
    <row r="198" spans="1:43" ht="20.100000000000001" customHeight="1" x14ac:dyDescent="0.25">
      <c r="A198"/>
      <c r="B198"/>
      <c r="C198"/>
      <c r="D198"/>
      <c r="E198"/>
      <c r="F198"/>
      <c r="G198" s="595">
        <v>2</v>
      </c>
      <c r="H198" s="535"/>
      <c r="I198" s="772">
        <f t="shared" ref="I198:I208" si="72">P140</f>
        <v>0.61966621815930012</v>
      </c>
      <c r="J198" s="539"/>
      <c r="K198" s="772">
        <f t="shared" ref="K198:K208" si="73">L94</f>
        <v>0.69547274765353551</v>
      </c>
      <c r="L198" s="542"/>
      <c r="Q198"/>
      <c r="R198"/>
      <c r="AF198"/>
      <c r="AG198"/>
      <c r="AH198"/>
      <c r="AI198"/>
      <c r="AM198"/>
      <c r="AN198"/>
      <c r="AO198"/>
      <c r="AP198"/>
      <c r="AQ198"/>
    </row>
    <row r="199" spans="1:43" ht="20.100000000000001" customHeight="1" x14ac:dyDescent="0.25">
      <c r="A199"/>
      <c r="B199"/>
      <c r="C199"/>
      <c r="D199"/>
      <c r="E199"/>
      <c r="F199"/>
      <c r="G199" s="616">
        <v>3</v>
      </c>
      <c r="H199" s="536"/>
      <c r="I199" s="773">
        <f t="shared" si="72"/>
        <v>0.58574411082375044</v>
      </c>
      <c r="J199" s="668"/>
      <c r="K199" s="773">
        <f t="shared" si="73"/>
        <v>0.65740079778198701</v>
      </c>
      <c r="L199" s="543"/>
      <c r="Q199"/>
      <c r="R199"/>
      <c r="AF199"/>
      <c r="AG199"/>
      <c r="AH199"/>
      <c r="AI199"/>
      <c r="AM199"/>
      <c r="AN199"/>
      <c r="AO199"/>
      <c r="AP199"/>
      <c r="AQ199"/>
    </row>
    <row r="200" spans="1:43" ht="20.100000000000001" customHeight="1" x14ac:dyDescent="0.25">
      <c r="A200"/>
      <c r="B200"/>
      <c r="C200"/>
      <c r="D200"/>
      <c r="E200"/>
      <c r="F200"/>
      <c r="G200" s="595">
        <v>4</v>
      </c>
      <c r="H200" s="535"/>
      <c r="I200" s="772">
        <f t="shared" si="72"/>
        <v>0.57266946549286313</v>
      </c>
      <c r="J200" s="539"/>
      <c r="K200" s="772">
        <f t="shared" si="73"/>
        <v>0.6427266728314962</v>
      </c>
      <c r="L200" s="542"/>
      <c r="Q200"/>
      <c r="R200"/>
      <c r="AF200"/>
      <c r="AG200"/>
      <c r="AH200"/>
      <c r="AI200"/>
      <c r="AM200"/>
      <c r="AN200"/>
      <c r="AO200"/>
      <c r="AP200"/>
      <c r="AQ200"/>
    </row>
    <row r="201" spans="1:43" ht="20.100000000000001" customHeight="1" x14ac:dyDescent="0.25">
      <c r="A201"/>
      <c r="B201"/>
      <c r="C201"/>
      <c r="D201"/>
      <c r="E201"/>
      <c r="F201"/>
      <c r="G201" s="595">
        <v>5</v>
      </c>
      <c r="H201" s="535"/>
      <c r="I201" s="772">
        <f t="shared" si="72"/>
        <v>0.58526430732536927</v>
      </c>
      <c r="J201" s="539"/>
      <c r="K201" s="772">
        <f t="shared" si="73"/>
        <v>0.65686229778380389</v>
      </c>
      <c r="L201" s="542"/>
      <c r="Q201"/>
      <c r="R201"/>
      <c r="AF201"/>
      <c r="AG201"/>
      <c r="AH201"/>
      <c r="AI201"/>
      <c r="AM201"/>
      <c r="AN201"/>
      <c r="AO201"/>
      <c r="AP201"/>
      <c r="AQ201"/>
    </row>
    <row r="202" spans="1:43" ht="20.100000000000001" customHeight="1" x14ac:dyDescent="0.25">
      <c r="A202"/>
      <c r="B202"/>
      <c r="C202"/>
      <c r="D202"/>
      <c r="E202"/>
      <c r="F202"/>
      <c r="G202" s="616">
        <v>10</v>
      </c>
      <c r="H202" s="536"/>
      <c r="I202" s="773">
        <f t="shared" si="72"/>
        <v>0.66379854394040161</v>
      </c>
      <c r="J202" s="668"/>
      <c r="K202" s="773">
        <f t="shared" si="73"/>
        <v>0.74500397748642166</v>
      </c>
      <c r="L202" s="543"/>
      <c r="Q202"/>
      <c r="R202"/>
      <c r="AF202"/>
      <c r="AG202"/>
      <c r="AH202"/>
      <c r="AI202"/>
      <c r="AM202"/>
      <c r="AN202"/>
      <c r="AO202"/>
      <c r="AP202"/>
      <c r="AQ202"/>
    </row>
    <row r="203" spans="1:43" ht="20.100000000000001" customHeight="1" x14ac:dyDescent="0.25">
      <c r="A203"/>
      <c r="B203"/>
      <c r="C203"/>
      <c r="D203"/>
      <c r="E203"/>
      <c r="F203"/>
      <c r="G203" s="595">
        <v>20</v>
      </c>
      <c r="H203" s="535"/>
      <c r="I203" s="772">
        <f t="shared" si="72"/>
        <v>0.64917413330974283</v>
      </c>
      <c r="J203" s="539"/>
      <c r="K203" s="772">
        <f t="shared" si="73"/>
        <v>0.72859049754179905</v>
      </c>
      <c r="L203" s="542"/>
      <c r="Q203"/>
      <c r="R203"/>
      <c r="AF203"/>
      <c r="AG203"/>
      <c r="AH203"/>
      <c r="AI203"/>
      <c r="AM203"/>
      <c r="AN203"/>
      <c r="AO203"/>
      <c r="AP203"/>
      <c r="AQ203"/>
    </row>
    <row r="204" spans="1:43" ht="20.100000000000001" customHeight="1" x14ac:dyDescent="0.25">
      <c r="A204"/>
      <c r="B204"/>
      <c r="C204"/>
      <c r="D204"/>
      <c r="E204"/>
      <c r="F204"/>
      <c r="G204" s="616">
        <v>30</v>
      </c>
      <c r="H204" s="536"/>
      <c r="I204" s="773">
        <f t="shared" si="72"/>
        <v>0.64677511581783709</v>
      </c>
      <c r="J204" s="668"/>
      <c r="K204" s="773">
        <f t="shared" si="73"/>
        <v>0.72589799755088336</v>
      </c>
      <c r="L204" s="543"/>
      <c r="Q204"/>
      <c r="R204"/>
      <c r="AF204"/>
      <c r="AG204"/>
      <c r="AH204"/>
      <c r="AI204"/>
      <c r="AM204"/>
      <c r="AN204"/>
      <c r="AO204"/>
      <c r="AP204"/>
      <c r="AQ204"/>
    </row>
    <row r="205" spans="1:43" ht="20.100000000000001" customHeight="1" x14ac:dyDescent="0.25">
      <c r="A205"/>
      <c r="B205"/>
      <c r="C205"/>
      <c r="D205"/>
      <c r="E205"/>
      <c r="F205"/>
      <c r="G205" s="595">
        <v>40</v>
      </c>
      <c r="H205" s="535"/>
      <c r="I205" s="772">
        <f t="shared" si="72"/>
        <v>0.66212882776603499</v>
      </c>
      <c r="J205" s="539"/>
      <c r="K205" s="772">
        <f t="shared" si="73"/>
        <v>0.743129997492744</v>
      </c>
      <c r="L205" s="542"/>
      <c r="Q205"/>
      <c r="R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:43" ht="20.100000000000001" customHeight="1" x14ac:dyDescent="0.25">
      <c r="A206"/>
      <c r="B206"/>
      <c r="C206"/>
      <c r="D206"/>
      <c r="E206"/>
      <c r="F206"/>
      <c r="G206" s="595">
        <v>50</v>
      </c>
      <c r="H206" s="535"/>
      <c r="I206" s="772">
        <f t="shared" si="72"/>
        <v>0.67652293271747044</v>
      </c>
      <c r="J206" s="539"/>
      <c r="K206" s="772">
        <f t="shared" si="73"/>
        <v>0.75928499743823863</v>
      </c>
      <c r="L206" s="542"/>
      <c r="Q206"/>
      <c r="R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:43" ht="20.100000000000001" customHeight="1" x14ac:dyDescent="0.25">
      <c r="A207"/>
      <c r="B207"/>
      <c r="C207"/>
      <c r="D207"/>
      <c r="E207"/>
      <c r="F207"/>
      <c r="G207" s="595">
        <v>60</v>
      </c>
      <c r="H207" s="535"/>
      <c r="I207" s="772">
        <f t="shared" si="72"/>
        <v>0.68611900268509418</v>
      </c>
      <c r="J207" s="539"/>
      <c r="K207" s="772">
        <f t="shared" si="73"/>
        <v>0.77005499740190142</v>
      </c>
      <c r="L207" s="542"/>
      <c r="Q207"/>
      <c r="R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:43" ht="20.100000000000001" customHeight="1" x14ac:dyDescent="0.25">
      <c r="A208"/>
      <c r="B208"/>
      <c r="C208"/>
      <c r="D208"/>
      <c r="E208"/>
      <c r="F208"/>
      <c r="G208" s="621">
        <v>70</v>
      </c>
      <c r="H208" s="540"/>
      <c r="I208" s="774">
        <f t="shared" si="72"/>
        <v>0.69996476078123704</v>
      </c>
      <c r="J208" s="669"/>
      <c r="K208" s="774">
        <f t="shared" si="73"/>
        <v>0.78559456877804368</v>
      </c>
      <c r="L208" s="544"/>
      <c r="Q208"/>
      <c r="R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:43" ht="15" customHeight="1" x14ac:dyDescent="0.25">
      <c r="A209"/>
      <c r="B209"/>
      <c r="C209"/>
      <c r="D209"/>
      <c r="E209"/>
      <c r="F209"/>
      <c r="G209"/>
      <c r="H209"/>
      <c r="I209"/>
      <c r="J209"/>
      <c r="Q209"/>
      <c r="R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:43" ht="15" customHeight="1" x14ac:dyDescent="0.25">
      <c r="A210"/>
      <c r="B210"/>
      <c r="C210"/>
      <c r="D210"/>
      <c r="E210"/>
      <c r="F210"/>
      <c r="G210"/>
      <c r="H210"/>
      <c r="I210"/>
      <c r="J210"/>
      <c r="Q210"/>
      <c r="R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:43" ht="1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:43" ht="1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:43" ht="1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:43" ht="15" customHeight="1" x14ac:dyDescent="0.25">
      <c r="A214"/>
      <c r="B214"/>
      <c r="C214"/>
      <c r="D214"/>
      <c r="E214"/>
      <c r="F214"/>
      <c r="G214"/>
      <c r="H214"/>
      <c r="I214"/>
      <c r="J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:43" ht="15" customHeight="1" x14ac:dyDescent="0.25">
      <c r="A215"/>
      <c r="B215"/>
      <c r="C215"/>
      <c r="D215"/>
      <c r="E215"/>
      <c r="F215"/>
      <c r="G215"/>
      <c r="H215"/>
      <c r="I215"/>
      <c r="J215"/>
      <c r="AF215" s="727"/>
      <c r="AG215"/>
      <c r="AH215"/>
      <c r="AI215"/>
      <c r="AJ215"/>
      <c r="AK215"/>
      <c r="AL215"/>
      <c r="AM215"/>
      <c r="AN215"/>
    </row>
    <row r="216" spans="1:43" ht="17.100000000000001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43" ht="17.100000000000001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43" ht="17.100000000000001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43" ht="17.100000000000001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43" ht="17.100000000000001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43" ht="17.100000000000001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43" ht="17.100000000000001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43" ht="17.100000000000001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43" ht="17.100000000000001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31" ht="17.100000000000001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31" ht="17.100000000000001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31" ht="17.100000000000001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31" ht="17.100000000000001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31" ht="17.100000000000001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31" ht="17.100000000000001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31" ht="17.100000000000001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31" ht="17.100000000000001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31" ht="17.100000000000001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31" ht="17.100000000000001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31" ht="17.100000000000001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31" ht="15.95" customHeight="1" x14ac:dyDescent="0.25">
      <c r="A236"/>
      <c r="B236"/>
      <c r="C236"/>
      <c r="D236"/>
      <c r="E236"/>
      <c r="F236"/>
      <c r="G236"/>
      <c r="H236"/>
      <c r="I236"/>
      <c r="J236"/>
      <c r="AE236"/>
    </row>
    <row r="237" spans="1:31" ht="15.95" customHeight="1" x14ac:dyDescent="0.25">
      <c r="A237"/>
      <c r="B237"/>
      <c r="C237"/>
      <c r="D237"/>
      <c r="E237"/>
      <c r="F237"/>
      <c r="G237"/>
      <c r="H237"/>
      <c r="I237"/>
      <c r="J237"/>
      <c r="AE237"/>
    </row>
    <row r="238" spans="1:31" ht="15.9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AE238"/>
    </row>
    <row r="239" spans="1:31" ht="15.9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AE239"/>
    </row>
    <row r="240" spans="1:31" ht="1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AE240"/>
    </row>
    <row r="241" spans="1:39" ht="1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AE241"/>
    </row>
    <row r="242" spans="1:39" ht="1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AE242"/>
    </row>
    <row r="243" spans="1:39" ht="1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AE243"/>
    </row>
    <row r="244" spans="1:39" ht="1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AE244"/>
    </row>
    <row r="245" spans="1:39" ht="1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AE245"/>
      <c r="AF245"/>
      <c r="AG245"/>
      <c r="AH245"/>
      <c r="AI245"/>
      <c r="AJ245"/>
      <c r="AK245"/>
      <c r="AL245"/>
      <c r="AM245"/>
    </row>
    <row r="246" spans="1:39" ht="1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39" ht="1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39" ht="1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39" ht="1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39" ht="1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39" ht="1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39" ht="1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39" ht="15" customHeight="1" x14ac:dyDescent="0.25"/>
    <row r="254" spans="1:39" ht="15" customHeight="1" x14ac:dyDescent="0.25"/>
    <row r="255" spans="1:39" ht="15" customHeight="1" x14ac:dyDescent="0.25"/>
    <row r="256" spans="1:39" ht="15" customHeight="1" x14ac:dyDescent="0.25"/>
    <row r="257" ht="15" customHeight="1" x14ac:dyDescent="0.25"/>
    <row r="258" ht="15" customHeight="1" x14ac:dyDescent="0.25"/>
    <row r="259" ht="15" customHeight="1" x14ac:dyDescent="0.25"/>
  </sheetData>
  <mergeCells count="2">
    <mergeCell ref="AF176:AG176"/>
    <mergeCell ref="AI176:AN176"/>
  </mergeCells>
  <pageMargins left="0.2" right="0.2" top="0.5" bottom="0.5" header="0.3" footer="0.3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0667-C275-46C8-94E5-16B9D2FE251C}">
  <sheetPr transitionEvaluation="1" transitionEntry="1">
    <pageSetUpPr fitToPage="1"/>
  </sheetPr>
  <dimension ref="A2:BO246"/>
  <sheetViews>
    <sheetView showGridLines="0" topLeftCell="A106" zoomScale="90" zoomScaleNormal="90" workbookViewId="0">
      <selection activeCell="B81" sqref="B81"/>
    </sheetView>
  </sheetViews>
  <sheetFormatPr defaultRowHeight="15" x14ac:dyDescent="0.25"/>
  <cols>
    <col min="1" max="2" width="9.140625" style="55"/>
    <col min="3" max="3" width="9.140625" style="55" customWidth="1"/>
    <col min="4" max="6" width="9.140625" style="55"/>
    <col min="7" max="7" width="9.140625" style="55" customWidth="1"/>
    <col min="8" max="8" width="9.140625" style="55"/>
    <col min="9" max="9" width="9.140625" style="55" customWidth="1"/>
    <col min="10" max="10" width="9.140625" style="55"/>
    <col min="11" max="12" width="9.140625" style="55" customWidth="1"/>
    <col min="13" max="13" width="8.42578125" style="55" customWidth="1"/>
    <col min="14" max="14" width="9.140625" style="55"/>
    <col min="15" max="15" width="9.140625" style="55" customWidth="1"/>
    <col min="16" max="19" width="9.140625" style="55"/>
    <col min="20" max="20" width="9.140625" style="55" customWidth="1"/>
    <col min="21" max="30" width="9.140625" style="55"/>
    <col min="31" max="49" width="10.7109375" style="55" customWidth="1"/>
    <col min="50" max="16384" width="9.140625" style="55"/>
  </cols>
  <sheetData>
    <row r="2" spans="1:42" x14ac:dyDescent="0.25">
      <c r="A2"/>
      <c r="B2"/>
      <c r="C2"/>
      <c r="D2"/>
      <c r="E2"/>
      <c r="F2"/>
      <c r="G2"/>
      <c r="H2"/>
      <c r="AM2" s="267" t="s">
        <v>210</v>
      </c>
      <c r="AN2" s="267"/>
      <c r="AO2" s="267"/>
      <c r="AP2" s="267"/>
    </row>
    <row r="3" spans="1:42" ht="17.25" x14ac:dyDescent="0.3">
      <c r="A3" s="427" t="s">
        <v>237</v>
      </c>
      <c r="B3" s="427"/>
      <c r="C3" s="428" t="s">
        <v>238</v>
      </c>
      <c r="D3" s="426"/>
      <c r="E3" t="s">
        <v>239</v>
      </c>
      <c r="F3" t="s">
        <v>240</v>
      </c>
      <c r="G3" t="s">
        <v>241</v>
      </c>
      <c r="H3"/>
    </row>
    <row r="4" spans="1:42" ht="17.25" x14ac:dyDescent="0.3">
      <c r="A4" s="427"/>
      <c r="B4" s="427" t="s">
        <v>242</v>
      </c>
      <c r="C4" s="428"/>
      <c r="D4" s="426"/>
      <c r="E4"/>
      <c r="F4"/>
      <c r="G4"/>
      <c r="H4"/>
    </row>
    <row r="5" spans="1:42" ht="17.25" x14ac:dyDescent="0.3">
      <c r="A5" s="427"/>
      <c r="B5" s="427" t="s">
        <v>243</v>
      </c>
      <c r="C5" s="428"/>
      <c r="D5" s="426"/>
      <c r="E5"/>
      <c r="F5"/>
      <c r="G5"/>
      <c r="H5"/>
    </row>
    <row r="6" spans="1:42" ht="17.25" x14ac:dyDescent="0.3">
      <c r="A6" s="427"/>
      <c r="B6" s="427" t="s">
        <v>244</v>
      </c>
      <c r="C6" s="428"/>
      <c r="D6" s="426"/>
      <c r="E6"/>
      <c r="F6"/>
      <c r="G6"/>
      <c r="H6"/>
    </row>
    <row r="7" spans="1:42" ht="17.25" x14ac:dyDescent="0.3">
      <c r="A7" s="427"/>
      <c r="B7" s="425" t="s">
        <v>272</v>
      </c>
      <c r="C7" s="428"/>
      <c r="D7" s="426"/>
      <c r="E7"/>
      <c r="F7"/>
      <c r="G7"/>
      <c r="H7"/>
    </row>
    <row r="8" spans="1:42" ht="17.25" x14ac:dyDescent="0.3">
      <c r="A8" s="428"/>
      <c r="B8" s="424" t="s">
        <v>245</v>
      </c>
      <c r="C8" s="428"/>
      <c r="D8" s="426"/>
      <c r="E8"/>
      <c r="F8"/>
      <c r="G8"/>
      <c r="H8"/>
    </row>
    <row r="9" spans="1:42" ht="17.25" x14ac:dyDescent="0.3">
      <c r="A9" s="428"/>
      <c r="B9" s="425" t="s">
        <v>246</v>
      </c>
      <c r="C9" s="428"/>
      <c r="D9" s="426"/>
      <c r="E9"/>
      <c r="F9"/>
      <c r="G9"/>
      <c r="H9"/>
    </row>
    <row r="10" spans="1:42" x14ac:dyDescent="0.25">
      <c r="A10"/>
      <c r="B10"/>
      <c r="C10"/>
      <c r="D10"/>
      <c r="E10"/>
      <c r="F10"/>
      <c r="G10"/>
      <c r="H10"/>
    </row>
    <row r="11" spans="1:42" ht="17.25" x14ac:dyDescent="0.3">
      <c r="B11" s="425" t="s">
        <v>273</v>
      </c>
    </row>
    <row r="13" spans="1:42" ht="15" customHeight="1" x14ac:dyDescent="0.25">
      <c r="B13" s="65"/>
      <c r="K13" s="56"/>
    </row>
    <row r="14" spans="1:42" ht="15" customHeight="1" x14ac:dyDescent="0.25">
      <c r="A14" s="58"/>
      <c r="B14" s="65"/>
      <c r="C14" s="66"/>
      <c r="D14" s="190"/>
    </row>
    <row r="15" spans="1:42" ht="15" customHeight="1" x14ac:dyDescent="0.25">
      <c r="A15" s="58"/>
      <c r="B15" s="381" t="s">
        <v>247</v>
      </c>
      <c r="C15" s="66"/>
      <c r="D15" s="190"/>
    </row>
    <row r="16" spans="1:42" ht="15" customHeight="1" x14ac:dyDescent="0.25">
      <c r="A16" s="58"/>
      <c r="B16" s="65"/>
      <c r="C16" s="382" t="s">
        <v>248</v>
      </c>
      <c r="D16" s="190"/>
    </row>
    <row r="17" spans="1:57" ht="15" customHeight="1" x14ac:dyDescent="0.25">
      <c r="A17" s="58"/>
      <c r="B17" s="65"/>
      <c r="C17" s="382" t="s">
        <v>252</v>
      </c>
      <c r="D17" s="190"/>
    </row>
    <row r="18" spans="1:57" ht="15" customHeight="1" x14ac:dyDescent="0.25">
      <c r="A18" s="58"/>
      <c r="B18" s="65"/>
      <c r="C18" s="382" t="s">
        <v>253</v>
      </c>
    </row>
    <row r="19" spans="1:57" ht="15" customHeight="1" x14ac:dyDescent="0.25">
      <c r="A19" s="58"/>
      <c r="B19" s="65"/>
      <c r="C19" s="382" t="s">
        <v>249</v>
      </c>
    </row>
    <row r="20" spans="1:57" ht="15" customHeight="1" x14ac:dyDescent="0.25">
      <c r="A20" s="58"/>
      <c r="B20" s="65"/>
      <c r="C20" s="382" t="s">
        <v>251</v>
      </c>
    </row>
    <row r="21" spans="1:57" ht="15" customHeight="1" x14ac:dyDescent="0.25">
      <c r="A21" s="58"/>
      <c r="B21" s="65"/>
      <c r="C21" s="382"/>
    </row>
    <row r="22" spans="1:57" ht="15" customHeight="1" x14ac:dyDescent="0.25">
      <c r="A22" s="58"/>
      <c r="B22" s="65"/>
      <c r="C22" s="382"/>
      <c r="G22" s="388" t="s">
        <v>254</v>
      </c>
    </row>
    <row r="23" spans="1:57" ht="15" customHeight="1" x14ac:dyDescent="0.3">
      <c r="A23" s="58"/>
      <c r="B23" s="65"/>
      <c r="C23" s="444" t="s">
        <v>281</v>
      </c>
      <c r="G23" s="382" t="s">
        <v>257</v>
      </c>
    </row>
    <row r="24" spans="1:57" ht="15" customHeight="1" x14ac:dyDescent="0.3">
      <c r="A24" s="58"/>
      <c r="B24" s="65"/>
      <c r="C24" s="444" t="s">
        <v>284</v>
      </c>
      <c r="D24" s="67"/>
      <c r="G24" s="382" t="s">
        <v>262</v>
      </c>
    </row>
    <row r="25" spans="1:57" ht="15" customHeight="1" x14ac:dyDescent="0.3">
      <c r="A25" s="58"/>
      <c r="B25" s="65"/>
      <c r="C25" s="444" t="s">
        <v>282</v>
      </c>
      <c r="D25" s="67"/>
      <c r="G25" s="387"/>
      <c r="S25" s="267"/>
      <c r="T25" s="80"/>
      <c r="U25" s="80"/>
      <c r="V25" s="386"/>
      <c r="Z25" s="267" t="s">
        <v>318</v>
      </c>
      <c r="BE25" s="267" t="s">
        <v>276</v>
      </c>
    </row>
    <row r="26" spans="1:57" ht="15" customHeight="1" x14ac:dyDescent="0.3">
      <c r="A26" s="58"/>
      <c r="B26" s="65"/>
      <c r="C26" s="444" t="s">
        <v>283</v>
      </c>
      <c r="D26" s="67"/>
      <c r="G26" s="387"/>
      <c r="H26" s="382" t="s">
        <v>265</v>
      </c>
      <c r="S26" s="267"/>
      <c r="T26" s="80"/>
      <c r="U26" s="80"/>
      <c r="V26" s="386"/>
    </row>
    <row r="27" spans="1:57" ht="15" customHeight="1" x14ac:dyDescent="0.25">
      <c r="A27" s="58"/>
      <c r="B27" s="65"/>
      <c r="C27" s="66"/>
      <c r="D27" s="67"/>
      <c r="P27" s="395" t="s">
        <v>263</v>
      </c>
    </row>
    <row r="28" spans="1:57" ht="15" customHeight="1" x14ac:dyDescent="0.25">
      <c r="A28" s="58"/>
      <c r="B28" s="65"/>
      <c r="C28" s="66" t="s">
        <v>280</v>
      </c>
      <c r="D28" s="67"/>
      <c r="O28" s="397" t="s">
        <v>35</v>
      </c>
      <c r="P28" s="398" t="s">
        <v>259</v>
      </c>
      <c r="Q28" s="398" t="s">
        <v>260</v>
      </c>
      <c r="R28" s="398" t="s">
        <v>261</v>
      </c>
      <c r="T28" s="482" t="s">
        <v>35</v>
      </c>
      <c r="U28" s="482" t="s">
        <v>312</v>
      </c>
      <c r="V28" s="482" t="s">
        <v>313</v>
      </c>
      <c r="W28" s="482" t="s">
        <v>314</v>
      </c>
      <c r="X28" s="482" t="s">
        <v>315</v>
      </c>
      <c r="Y28" s="493" t="s">
        <v>316</v>
      </c>
      <c r="AB28" s="482" t="s">
        <v>35</v>
      </c>
      <c r="AC28" s="482" t="s">
        <v>312</v>
      </c>
      <c r="AD28" s="482" t="s">
        <v>313</v>
      </c>
      <c r="AE28" s="482" t="s">
        <v>314</v>
      </c>
      <c r="AF28" s="482" t="s">
        <v>315</v>
      </c>
      <c r="AG28" s="493" t="s">
        <v>316</v>
      </c>
      <c r="AH28" s="493"/>
    </row>
    <row r="29" spans="1:57" ht="15" customHeight="1" x14ac:dyDescent="0.25">
      <c r="A29" s="58"/>
      <c r="B29" s="65"/>
      <c r="C29" s="66"/>
      <c r="D29" s="67"/>
      <c r="O29" s="491" t="s">
        <v>310</v>
      </c>
      <c r="P29" s="497">
        <v>2.7</v>
      </c>
      <c r="Q29" s="399">
        <v>0.9</v>
      </c>
      <c r="R29" s="384">
        <f>P29*Q29</f>
        <v>2.4300000000000002</v>
      </c>
      <c r="S29" s="496">
        <f t="shared" ref="S29:S34" si="0">R29*0.87</f>
        <v>2.1141000000000001</v>
      </c>
      <c r="T29" s="391" t="s">
        <v>256</v>
      </c>
      <c r="U29" s="500">
        <v>1.9</v>
      </c>
      <c r="V29" s="389">
        <v>4.2</v>
      </c>
      <c r="W29" s="393">
        <f>V29/U29</f>
        <v>2.2105263157894739</v>
      </c>
      <c r="X29" s="494">
        <f>(V29+U29)/2</f>
        <v>3.05</v>
      </c>
      <c r="Y29" s="494">
        <f>X29*0.87</f>
        <v>2.6534999999999997</v>
      </c>
      <c r="Z29" s="55">
        <v>2.5</v>
      </c>
      <c r="AB29" s="391" t="s">
        <v>256</v>
      </c>
      <c r="AC29" s="389">
        <v>2</v>
      </c>
      <c r="AD29" s="389">
        <v>3.6</v>
      </c>
      <c r="AE29" s="393">
        <f>AD29/AC29</f>
        <v>1.8</v>
      </c>
      <c r="AF29" s="494">
        <f>(AD29+AC29)/2</f>
        <v>2.8</v>
      </c>
      <c r="AG29" s="494">
        <f>AF29*0.87</f>
        <v>2.4359999999999999</v>
      </c>
      <c r="AH29" s="494"/>
    </row>
    <row r="30" spans="1:57" ht="15" customHeight="1" x14ac:dyDescent="0.25">
      <c r="A30" s="58"/>
      <c r="B30" s="65"/>
      <c r="C30" s="66"/>
      <c r="D30" s="67"/>
      <c r="O30" s="491" t="s">
        <v>311</v>
      </c>
      <c r="P30" s="497">
        <v>4.0999999999999996</v>
      </c>
      <c r="Q30" s="399">
        <v>1.05</v>
      </c>
      <c r="R30" s="384">
        <f>P30*Q30</f>
        <v>4.3049999999999997</v>
      </c>
      <c r="S30" s="496">
        <f t="shared" si="0"/>
        <v>3.7453499999999997</v>
      </c>
      <c r="T30" s="498" t="s">
        <v>255</v>
      </c>
      <c r="U30" s="501">
        <v>3</v>
      </c>
      <c r="V30" s="80">
        <v>5.2</v>
      </c>
      <c r="W30" s="499">
        <f>V30/U30</f>
        <v>1.7333333333333334</v>
      </c>
      <c r="X30" s="494">
        <f>(V30+U30)/2</f>
        <v>4.0999999999999996</v>
      </c>
      <c r="Y30" s="494">
        <f t="shared" ref="Y30:Y34" si="1">X30*0.87</f>
        <v>3.5669999999999997</v>
      </c>
      <c r="Z30" s="55">
        <v>3.7</v>
      </c>
      <c r="AB30" s="392" t="s">
        <v>255</v>
      </c>
      <c r="AC30" s="390">
        <v>3</v>
      </c>
      <c r="AD30" s="390">
        <v>5.2</v>
      </c>
      <c r="AE30" s="394">
        <f>AD30/AC30</f>
        <v>1.7333333333333334</v>
      </c>
      <c r="AF30" s="494">
        <f>(AD30+AC30)/2</f>
        <v>4.0999999999999996</v>
      </c>
      <c r="AG30" s="494">
        <f t="shared" ref="AG30:AG34" si="2">AF30*0.87</f>
        <v>3.5669999999999997</v>
      </c>
      <c r="AH30" s="494"/>
    </row>
    <row r="31" spans="1:57" ht="15" customHeight="1" x14ac:dyDescent="0.25">
      <c r="A31" s="58"/>
      <c r="B31" s="65"/>
      <c r="C31" s="66"/>
      <c r="D31" s="67"/>
      <c r="O31" s="491" t="s">
        <v>258</v>
      </c>
      <c r="P31" s="497">
        <v>5.6</v>
      </c>
      <c r="Q31" s="399">
        <v>1.0900000000000001</v>
      </c>
      <c r="R31" s="384">
        <f>P31*Q31</f>
        <v>6.1040000000000001</v>
      </c>
      <c r="S31" s="496">
        <f t="shared" si="0"/>
        <v>5.3104800000000001</v>
      </c>
      <c r="T31" s="498" t="s">
        <v>307</v>
      </c>
      <c r="U31" s="501">
        <v>4.2</v>
      </c>
      <c r="V31" s="80">
        <v>7</v>
      </c>
      <c r="W31" s="499">
        <f t="shared" ref="W31:W34" si="3">V31/U31</f>
        <v>1.6666666666666665</v>
      </c>
      <c r="X31" s="494">
        <f>(V31+U31)/2</f>
        <v>5.6</v>
      </c>
      <c r="Y31" s="494">
        <f t="shared" si="1"/>
        <v>4.8719999999999999</v>
      </c>
      <c r="Z31" s="55">
        <v>5.3</v>
      </c>
      <c r="AB31" s="392" t="s">
        <v>307</v>
      </c>
      <c r="AC31" s="390">
        <v>4.3</v>
      </c>
      <c r="AD31" s="390">
        <v>7</v>
      </c>
      <c r="AE31" s="394">
        <f t="shared" ref="AE31:AE34" si="4">AD31/AC31</f>
        <v>1.6279069767441861</v>
      </c>
      <c r="AF31" s="494">
        <f>(AD31+AC31)/2</f>
        <v>5.65</v>
      </c>
      <c r="AG31" s="494">
        <f t="shared" si="2"/>
        <v>4.9155000000000006</v>
      </c>
      <c r="AH31" s="494"/>
    </row>
    <row r="32" spans="1:57" ht="15" customHeight="1" x14ac:dyDescent="0.25">
      <c r="A32" s="58"/>
      <c r="B32" s="65"/>
      <c r="C32" s="66"/>
      <c r="D32" s="67"/>
      <c r="O32" s="491" t="s">
        <v>305</v>
      </c>
      <c r="P32" s="497">
        <v>7.3</v>
      </c>
      <c r="Q32" s="399">
        <v>1.0900000000000001</v>
      </c>
      <c r="R32" s="384">
        <f>P32*Q32</f>
        <v>7.9570000000000007</v>
      </c>
      <c r="S32" s="496">
        <f t="shared" si="0"/>
        <v>6.9225900000000005</v>
      </c>
      <c r="T32" s="498" t="s">
        <v>308</v>
      </c>
      <c r="U32" s="501">
        <v>5.6</v>
      </c>
      <c r="V32" s="80">
        <v>9</v>
      </c>
      <c r="W32" s="499">
        <f t="shared" si="3"/>
        <v>1.6071428571428572</v>
      </c>
      <c r="X32" s="494">
        <f t="shared" ref="X32:X34" si="5">(V32+U32)/2</f>
        <v>7.3</v>
      </c>
      <c r="Y32" s="494">
        <f t="shared" si="1"/>
        <v>6.351</v>
      </c>
      <c r="Z32" s="55">
        <v>6.9</v>
      </c>
      <c r="AB32" s="392" t="s">
        <v>308</v>
      </c>
      <c r="AC32" s="390">
        <v>5.6</v>
      </c>
      <c r="AD32" s="390">
        <v>8.9</v>
      </c>
      <c r="AE32" s="394">
        <f t="shared" si="4"/>
        <v>1.5892857142857144</v>
      </c>
      <c r="AF32" s="494">
        <f t="shared" ref="AF32:AF34" si="6">(AD32+AC32)/2</f>
        <v>7.25</v>
      </c>
      <c r="AG32" s="494">
        <f t="shared" si="2"/>
        <v>6.3075000000000001</v>
      </c>
      <c r="AH32" s="494"/>
    </row>
    <row r="33" spans="1:34" ht="15" customHeight="1" x14ac:dyDescent="0.25">
      <c r="A33" s="58"/>
      <c r="B33" s="381" t="s">
        <v>274</v>
      </c>
      <c r="C33" s="66"/>
      <c r="D33" s="67"/>
      <c r="O33" s="491" t="s">
        <v>306</v>
      </c>
      <c r="P33" s="497">
        <v>9.5</v>
      </c>
      <c r="Q33" s="399">
        <v>1.07</v>
      </c>
      <c r="R33" s="384">
        <f>P33*Q33</f>
        <v>10.165000000000001</v>
      </c>
      <c r="S33" s="496">
        <f t="shared" si="0"/>
        <v>8.8435500000000005</v>
      </c>
      <c r="T33" s="498" t="s">
        <v>309</v>
      </c>
      <c r="U33" s="501">
        <v>7.1</v>
      </c>
      <c r="V33" s="80">
        <v>11.9</v>
      </c>
      <c r="W33" s="499">
        <f t="shared" si="3"/>
        <v>1.6760563380281692</v>
      </c>
      <c r="X33" s="494">
        <f t="shared" si="5"/>
        <v>9.5</v>
      </c>
      <c r="Y33" s="494">
        <f t="shared" si="1"/>
        <v>8.2650000000000006</v>
      </c>
      <c r="Z33" s="55">
        <v>8.9</v>
      </c>
      <c r="AB33" s="392" t="s">
        <v>309</v>
      </c>
      <c r="AC33" s="390">
        <v>7.1</v>
      </c>
      <c r="AD33" s="390">
        <v>11.4</v>
      </c>
      <c r="AE33" s="394">
        <f t="shared" si="4"/>
        <v>1.6056338028169015</v>
      </c>
      <c r="AF33" s="494">
        <f t="shared" si="6"/>
        <v>9.25</v>
      </c>
      <c r="AG33" s="494">
        <f t="shared" si="2"/>
        <v>8.0474999999999994</v>
      </c>
      <c r="AH33" s="494"/>
    </row>
    <row r="34" spans="1:34" ht="15" customHeight="1" x14ac:dyDescent="0.25">
      <c r="A34" s="58"/>
      <c r="B34" s="65"/>
      <c r="C34" s="66"/>
      <c r="D34" s="67"/>
      <c r="O34" s="492" t="s">
        <v>264</v>
      </c>
      <c r="P34" s="497">
        <v>21.35</v>
      </c>
      <c r="Q34" s="399">
        <v>1.08</v>
      </c>
      <c r="R34" s="384">
        <f t="shared" ref="R34:R35" si="7">P34*Q34</f>
        <v>23.058000000000003</v>
      </c>
      <c r="S34" s="496">
        <f t="shared" si="0"/>
        <v>20.060460000000003</v>
      </c>
      <c r="T34" s="495" t="s">
        <v>317</v>
      </c>
      <c r="U34" s="502">
        <v>17.100000000000001</v>
      </c>
      <c r="V34" s="390">
        <v>25.6</v>
      </c>
      <c r="W34" s="394">
        <f t="shared" si="3"/>
        <v>1.4970760233918128</v>
      </c>
      <c r="X34" s="494">
        <f t="shared" si="5"/>
        <v>21.35</v>
      </c>
      <c r="Y34" s="494">
        <f t="shared" si="1"/>
        <v>18.5745</v>
      </c>
      <c r="Z34" s="55">
        <v>19.5</v>
      </c>
      <c r="AB34" s="495" t="s">
        <v>317</v>
      </c>
      <c r="AC34" s="390">
        <v>17.100000000000001</v>
      </c>
      <c r="AD34" s="390">
        <v>24.8</v>
      </c>
      <c r="AE34" s="394">
        <f t="shared" si="4"/>
        <v>1.4502923976608186</v>
      </c>
      <c r="AF34" s="494">
        <f t="shared" si="6"/>
        <v>20.950000000000003</v>
      </c>
      <c r="AG34" s="494">
        <f t="shared" si="2"/>
        <v>18.226500000000001</v>
      </c>
      <c r="AH34" s="494"/>
    </row>
    <row r="35" spans="1:34" ht="15" customHeight="1" x14ac:dyDescent="0.25">
      <c r="A35" s="58"/>
      <c r="C35" s="66"/>
      <c r="D35" s="67"/>
      <c r="O35" s="491" t="s">
        <v>266</v>
      </c>
      <c r="P35" s="98">
        <v>62</v>
      </c>
      <c r="Q35" s="399">
        <v>1.0900000000000001</v>
      </c>
      <c r="R35" s="384">
        <f t="shared" si="7"/>
        <v>67.58</v>
      </c>
      <c r="S35" s="400"/>
    </row>
    <row r="36" spans="1:34" ht="15" customHeight="1" x14ac:dyDescent="0.25">
      <c r="A36" s="58"/>
      <c r="C36" s="66"/>
      <c r="D36" s="67"/>
      <c r="O36" s="491" t="s">
        <v>267</v>
      </c>
      <c r="P36" s="98">
        <v>154</v>
      </c>
      <c r="Q36" s="399">
        <v>1.111</v>
      </c>
      <c r="R36" s="384">
        <f>P36*Q36</f>
        <v>171.09399999999999</v>
      </c>
      <c r="S36" s="400"/>
    </row>
    <row r="37" spans="1:34" ht="15" customHeight="1" x14ac:dyDescent="0.25">
      <c r="A37" s="58"/>
      <c r="C37" s="66"/>
      <c r="D37" s="67"/>
      <c r="O37" s="491"/>
      <c r="P37" s="98"/>
      <c r="Q37" s="399"/>
      <c r="R37" s="384"/>
      <c r="S37" s="400"/>
    </row>
    <row r="38" spans="1:34" ht="15" customHeight="1" x14ac:dyDescent="0.25">
      <c r="A38" s="387"/>
      <c r="C38" s="66"/>
      <c r="D38" s="67"/>
      <c r="L38" s="55" t="s">
        <v>320</v>
      </c>
    </row>
    <row r="39" spans="1:34" ht="15" customHeight="1" x14ac:dyDescent="0.3">
      <c r="A39" s="387"/>
      <c r="C39" s="66"/>
      <c r="D39" s="67"/>
      <c r="H39" s="444"/>
      <c r="L39" s="503" t="s">
        <v>319</v>
      </c>
      <c r="O39" s="491"/>
      <c r="P39" s="98"/>
      <c r="Q39" s="399"/>
      <c r="R39" s="384"/>
    </row>
    <row r="40" spans="1:34" ht="15" customHeight="1" x14ac:dyDescent="0.3">
      <c r="A40" s="387"/>
      <c r="C40" s="66"/>
      <c r="D40" s="67"/>
      <c r="H40" s="444"/>
      <c r="O40" s="491"/>
      <c r="P40" s="98"/>
      <c r="Q40" s="399"/>
      <c r="R40" s="384"/>
    </row>
    <row r="41" spans="1:34" ht="15" customHeight="1" x14ac:dyDescent="0.3">
      <c r="A41" s="58"/>
      <c r="B41" s="65"/>
      <c r="C41" s="66"/>
      <c r="D41" s="67"/>
      <c r="H41" s="444" t="s">
        <v>283</v>
      </c>
      <c r="W41" s="68"/>
    </row>
    <row r="42" spans="1:34" ht="15" customHeight="1" thickBot="1" x14ac:dyDescent="0.3">
      <c r="A42" s="58"/>
      <c r="B42" s="65"/>
      <c r="I42" s="479" t="s">
        <v>296</v>
      </c>
      <c r="W42" s="68"/>
    </row>
    <row r="43" spans="1:34" ht="15" customHeight="1" x14ac:dyDescent="0.25">
      <c r="A43" s="58"/>
      <c r="B43" s="59"/>
      <c r="C43" s="77" t="s">
        <v>15</v>
      </c>
      <c r="D43" s="78"/>
      <c r="E43" s="79"/>
      <c r="G43" s="73"/>
      <c r="H43" s="73"/>
      <c r="I43" s="480" t="s">
        <v>297</v>
      </c>
      <c r="J43" s="73"/>
      <c r="K43" s="162" t="s">
        <v>111</v>
      </c>
      <c r="L43" s="453"/>
      <c r="M43" s="267"/>
      <c r="W43" s="68"/>
    </row>
    <row r="44" spans="1:34" ht="15" customHeight="1" x14ac:dyDescent="0.25">
      <c r="A44" s="58"/>
      <c r="B44" s="59"/>
      <c r="C44" s="86" t="s">
        <v>61</v>
      </c>
      <c r="D44" s="87" t="s">
        <v>19</v>
      </c>
      <c r="E44" s="88">
        <v>0.9</v>
      </c>
      <c r="F44" s="80"/>
      <c r="G44" s="81" t="s">
        <v>2</v>
      </c>
      <c r="H44" s="82" t="s">
        <v>250</v>
      </c>
      <c r="I44" s="83">
        <v>0</v>
      </c>
      <c r="J44" s="82" t="s">
        <v>133</v>
      </c>
      <c r="K44" s="82" t="s">
        <v>127</v>
      </c>
      <c r="L44" s="454" t="s">
        <v>128</v>
      </c>
      <c r="M44" s="267"/>
      <c r="N44"/>
      <c r="P44"/>
      <c r="Q44"/>
      <c r="R44"/>
      <c r="S44"/>
      <c r="W44" s="68"/>
    </row>
    <row r="45" spans="1:34" ht="15" customHeight="1" x14ac:dyDescent="0.25">
      <c r="A45" s="58"/>
      <c r="B45" s="59"/>
      <c r="C45" s="86" t="s">
        <v>62</v>
      </c>
      <c r="D45" s="87" t="s">
        <v>20</v>
      </c>
      <c r="E45" s="96">
        <v>0.96</v>
      </c>
      <c r="F45" s="80"/>
      <c r="G45" s="89">
        <v>1</v>
      </c>
      <c r="H45" s="383">
        <v>2.2999999999999998</v>
      </c>
      <c r="I45" s="438">
        <f t="shared" ref="I45:I50" si="8">R29</f>
        <v>2.4300000000000002</v>
      </c>
      <c r="J45" s="90">
        <f>I45*2</f>
        <v>4.8600000000000003</v>
      </c>
      <c r="K45" s="91">
        <f>(J45/G45)</f>
        <v>4.8600000000000003</v>
      </c>
      <c r="L45" s="455">
        <f t="shared" ref="L45:L56" si="9">SQRT(12*32.2*K45^2/(4*$E$46*($E$45*56)*$E$44^2))</f>
        <v>0.78513299735102959</v>
      </c>
      <c r="M45" s="267"/>
      <c r="P45"/>
      <c r="Q45"/>
      <c r="R45"/>
      <c r="S45"/>
      <c r="W45" s="68"/>
    </row>
    <row r="46" spans="1:34" ht="15" customHeight="1" x14ac:dyDescent="0.25">
      <c r="A46" s="58"/>
      <c r="B46" s="59"/>
      <c r="C46" s="102" t="s">
        <v>59</v>
      </c>
      <c r="D46" s="103" t="s">
        <v>28</v>
      </c>
      <c r="E46" s="104">
        <v>85</v>
      </c>
      <c r="F46" s="80"/>
      <c r="G46" s="97">
        <v>2</v>
      </c>
      <c r="H46" s="384">
        <v>4</v>
      </c>
      <c r="I46" s="438">
        <f t="shared" si="8"/>
        <v>4.3049999999999997</v>
      </c>
      <c r="J46" s="98">
        <f t="shared" ref="J46:J56" si="10">I46*2</f>
        <v>8.61</v>
      </c>
      <c r="K46" s="99">
        <f t="shared" ref="K46:K56" si="11">(J46/G46)</f>
        <v>4.3049999999999997</v>
      </c>
      <c r="L46" s="456">
        <f t="shared" si="9"/>
        <v>0.69547274765353551</v>
      </c>
      <c r="M46" s="267"/>
      <c r="P46"/>
      <c r="Q46"/>
      <c r="R46"/>
      <c r="S46"/>
      <c r="W46" s="68"/>
    </row>
    <row r="47" spans="1:34" ht="15" customHeight="1" x14ac:dyDescent="0.25">
      <c r="A47" s="58"/>
      <c r="B47" s="59"/>
      <c r="F47" s="80"/>
      <c r="G47" s="105">
        <v>3</v>
      </c>
      <c r="H47" s="385">
        <v>6.4</v>
      </c>
      <c r="I47" s="438">
        <f t="shared" si="8"/>
        <v>6.1040000000000001</v>
      </c>
      <c r="J47" s="106">
        <f t="shared" si="10"/>
        <v>12.208</v>
      </c>
      <c r="K47" s="107">
        <f t="shared" si="11"/>
        <v>4.0693333333333337</v>
      </c>
      <c r="L47" s="457">
        <f t="shared" si="9"/>
        <v>0.65740079778198701</v>
      </c>
      <c r="M47" s="267"/>
      <c r="P47"/>
      <c r="Q47"/>
      <c r="R47"/>
      <c r="S47"/>
      <c r="W47" s="68"/>
    </row>
    <row r="48" spans="1:34" ht="15" customHeight="1" x14ac:dyDescent="0.3">
      <c r="A48" s="58"/>
      <c r="B48" s="59"/>
      <c r="C48" s="431" t="s">
        <v>298</v>
      </c>
      <c r="G48" s="97">
        <v>4</v>
      </c>
      <c r="H48" s="384">
        <v>9</v>
      </c>
      <c r="I48" s="438">
        <f t="shared" si="8"/>
        <v>7.9570000000000007</v>
      </c>
      <c r="J48" s="98">
        <f t="shared" si="10"/>
        <v>15.914000000000001</v>
      </c>
      <c r="K48" s="99">
        <f t="shared" si="11"/>
        <v>3.9785000000000004</v>
      </c>
      <c r="L48" s="456">
        <f t="shared" si="9"/>
        <v>0.6427266728314962</v>
      </c>
      <c r="M48" s="267"/>
      <c r="P48"/>
      <c r="Q48"/>
      <c r="R48"/>
      <c r="S48"/>
      <c r="W48" s="68"/>
    </row>
    <row r="49" spans="1:23" ht="15" customHeight="1" x14ac:dyDescent="0.25">
      <c r="A49" s="58"/>
      <c r="B49" s="59"/>
      <c r="G49" s="97">
        <v>5</v>
      </c>
      <c r="H49" s="384">
        <v>11.5</v>
      </c>
      <c r="I49" s="438">
        <f t="shared" si="8"/>
        <v>10.165000000000001</v>
      </c>
      <c r="J49" s="98">
        <f t="shared" si="10"/>
        <v>20.330000000000002</v>
      </c>
      <c r="K49" s="99">
        <f t="shared" si="11"/>
        <v>4.0660000000000007</v>
      </c>
      <c r="L49" s="456">
        <f t="shared" si="9"/>
        <v>0.65686229778380389</v>
      </c>
      <c r="M49" s="267"/>
      <c r="P49"/>
      <c r="Q49"/>
      <c r="R49"/>
      <c r="S49"/>
      <c r="W49" s="68"/>
    </row>
    <row r="50" spans="1:23" ht="15" customHeight="1" x14ac:dyDescent="0.25">
      <c r="A50" s="58"/>
      <c r="B50" s="59"/>
      <c r="G50" s="105">
        <v>10</v>
      </c>
      <c r="H50" s="385">
        <v>23.7</v>
      </c>
      <c r="I50" s="438">
        <f t="shared" si="8"/>
        <v>23.058000000000003</v>
      </c>
      <c r="J50" s="106">
        <f t="shared" si="10"/>
        <v>46.116000000000007</v>
      </c>
      <c r="K50" s="107">
        <f t="shared" si="11"/>
        <v>4.611600000000001</v>
      </c>
      <c r="L50" s="457">
        <f t="shared" si="9"/>
        <v>0.74500397748642166</v>
      </c>
      <c r="M50" s="465">
        <f>((L$56-L$50)/6*(G50-G$50)/10+L$50)/L$56</f>
        <v>0.92443298969072196</v>
      </c>
      <c r="P50"/>
      <c r="Q50"/>
      <c r="R50"/>
      <c r="S50"/>
      <c r="W50" s="68"/>
    </row>
    <row r="51" spans="1:23" ht="15" customHeight="1" x14ac:dyDescent="0.25">
      <c r="A51" s="58"/>
      <c r="B51" s="59"/>
      <c r="G51" s="97">
        <v>20</v>
      </c>
      <c r="H51" s="384">
        <v>45.8</v>
      </c>
      <c r="I51" s="97">
        <f t="shared" ref="I51:I56" si="12">H51</f>
        <v>45.8</v>
      </c>
      <c r="J51" s="98">
        <f t="shared" si="10"/>
        <v>91.6</v>
      </c>
      <c r="K51" s="99">
        <f t="shared" si="11"/>
        <v>4.58</v>
      </c>
      <c r="L51" s="456">
        <f t="shared" si="9"/>
        <v>0.73989899750364518</v>
      </c>
      <c r="M51" s="465">
        <f>((L$56-L$50)/6*(G51-G$50)/10+L$50)/L$56</f>
        <v>0.93702749140893504</v>
      </c>
      <c r="P51"/>
      <c r="Q51"/>
      <c r="R51"/>
      <c r="S51"/>
      <c r="W51" s="68"/>
    </row>
    <row r="52" spans="1:23" ht="15" customHeight="1" x14ac:dyDescent="0.25">
      <c r="A52" s="58"/>
      <c r="B52" s="59"/>
      <c r="G52" s="97">
        <v>30</v>
      </c>
      <c r="H52" s="384">
        <v>68.7</v>
      </c>
      <c r="I52" s="97">
        <f t="shared" si="12"/>
        <v>68.7</v>
      </c>
      <c r="J52" s="98">
        <f>I52*2</f>
        <v>137.4</v>
      </c>
      <c r="K52" s="99">
        <f>(J52/G52)</f>
        <v>4.58</v>
      </c>
      <c r="L52" s="456">
        <f t="shared" si="9"/>
        <v>0.73989899750364518</v>
      </c>
      <c r="M52" s="481">
        <f t="shared" ref="M52:M56" si="13">((L$56-L$50)/6*(G52-G$50)/10+L$50)/L$56</f>
        <v>0.94962199312714801</v>
      </c>
      <c r="P52"/>
      <c r="Q52"/>
      <c r="R52"/>
      <c r="S52"/>
      <c r="W52" s="68"/>
    </row>
    <row r="53" spans="1:23" ht="15" customHeight="1" x14ac:dyDescent="0.25">
      <c r="A53" s="58"/>
      <c r="B53" s="59"/>
      <c r="G53" s="97">
        <v>40</v>
      </c>
      <c r="H53" s="384">
        <v>94.5</v>
      </c>
      <c r="I53" s="97">
        <f t="shared" si="12"/>
        <v>94.5</v>
      </c>
      <c r="J53" s="98">
        <f t="shared" si="10"/>
        <v>189</v>
      </c>
      <c r="K53" s="99">
        <f t="shared" si="11"/>
        <v>4.7249999999999996</v>
      </c>
      <c r="L53" s="456">
        <f t="shared" si="9"/>
        <v>0.76332374742461206</v>
      </c>
      <c r="M53" s="465">
        <f t="shared" si="13"/>
        <v>0.96221649484536109</v>
      </c>
      <c r="P53"/>
      <c r="Q53"/>
      <c r="R53"/>
      <c r="S53"/>
      <c r="W53" s="68"/>
    </row>
    <row r="54" spans="1:23" ht="15" customHeight="1" x14ac:dyDescent="0.25">
      <c r="A54" s="58"/>
      <c r="B54" s="59"/>
      <c r="C54" s="59"/>
      <c r="D54" s="59"/>
      <c r="G54" s="97">
        <v>50</v>
      </c>
      <c r="H54" s="384">
        <v>121.5</v>
      </c>
      <c r="I54" s="97">
        <f t="shared" si="12"/>
        <v>121.5</v>
      </c>
      <c r="J54" s="98">
        <f t="shared" si="10"/>
        <v>243</v>
      </c>
      <c r="K54" s="99">
        <f t="shared" si="11"/>
        <v>4.8600000000000003</v>
      </c>
      <c r="L54" s="456">
        <f t="shared" si="9"/>
        <v>0.78513299735102959</v>
      </c>
      <c r="M54" s="465">
        <f t="shared" si="13"/>
        <v>0.97481099656357395</v>
      </c>
      <c r="P54"/>
      <c r="Q54"/>
      <c r="R54"/>
      <c r="S54"/>
      <c r="W54" s="68"/>
    </row>
    <row r="55" spans="1:23" ht="15" customHeight="1" x14ac:dyDescent="0.25">
      <c r="A55" s="58"/>
      <c r="B55" s="59"/>
      <c r="C55" s="59"/>
      <c r="D55" s="59"/>
      <c r="G55" s="97">
        <v>60</v>
      </c>
      <c r="H55" s="384">
        <v>147.9</v>
      </c>
      <c r="I55" s="97">
        <f t="shared" si="12"/>
        <v>147.9</v>
      </c>
      <c r="J55" s="98">
        <f t="shared" si="10"/>
        <v>295.8</v>
      </c>
      <c r="K55" s="99">
        <f t="shared" si="11"/>
        <v>4.9300000000000006</v>
      </c>
      <c r="L55" s="456">
        <f t="shared" si="9"/>
        <v>0.79644149731287583</v>
      </c>
      <c r="M55" s="465">
        <f t="shared" si="13"/>
        <v>0.98740549828178692</v>
      </c>
      <c r="P55"/>
      <c r="Q55"/>
      <c r="R55"/>
      <c r="S55"/>
      <c r="W55" s="68"/>
    </row>
    <row r="56" spans="1:23" ht="15" customHeight="1" thickBot="1" x14ac:dyDescent="0.3">
      <c r="A56" s="58"/>
      <c r="B56" s="59"/>
      <c r="C56" s="59"/>
      <c r="D56" s="59"/>
      <c r="G56" s="105">
        <v>70</v>
      </c>
      <c r="H56" s="385">
        <v>174.6</v>
      </c>
      <c r="I56" s="105">
        <f t="shared" si="12"/>
        <v>174.6</v>
      </c>
      <c r="J56" s="106">
        <f t="shared" si="10"/>
        <v>349.2</v>
      </c>
      <c r="K56" s="107">
        <f t="shared" si="11"/>
        <v>4.9885714285714284</v>
      </c>
      <c r="L56" s="458">
        <f t="shared" si="9"/>
        <v>0.80590371156666529</v>
      </c>
      <c r="M56" s="465">
        <f t="shared" si="13"/>
        <v>1</v>
      </c>
      <c r="P56"/>
      <c r="Q56"/>
      <c r="R56"/>
      <c r="S56"/>
      <c r="W56" s="68"/>
    </row>
    <row r="57" spans="1:23" ht="15" customHeight="1" x14ac:dyDescent="0.25">
      <c r="A57" s="58"/>
      <c r="B57" s="59"/>
      <c r="C57" s="59"/>
      <c r="D57" s="59"/>
      <c r="G57" s="97"/>
      <c r="H57" s="384"/>
      <c r="I57" s="97"/>
      <c r="J57" s="98"/>
      <c r="K57" s="99"/>
      <c r="L57" s="401">
        <f>L52/L56</f>
        <v>0.91809851088201611</v>
      </c>
      <c r="M57" s="465"/>
      <c r="P57"/>
      <c r="Q57"/>
      <c r="R57"/>
      <c r="S57"/>
      <c r="W57" s="68"/>
    </row>
    <row r="58" spans="1:23" ht="15" customHeight="1" x14ac:dyDescent="0.25">
      <c r="A58" s="58"/>
      <c r="B58" s="62" t="s">
        <v>71</v>
      </c>
      <c r="C58" s="63"/>
      <c r="D58" s="64"/>
      <c r="G58" s="97"/>
      <c r="H58" s="384"/>
      <c r="I58" s="97"/>
      <c r="J58" s="98"/>
      <c r="K58" s="99"/>
      <c r="L58" s="504"/>
      <c r="M58" s="465"/>
      <c r="P58"/>
      <c r="Q58"/>
      <c r="R58"/>
      <c r="S58"/>
      <c r="W58" s="68"/>
    </row>
    <row r="59" spans="1:23" ht="15" customHeight="1" x14ac:dyDescent="0.25">
      <c r="A59" s="58"/>
      <c r="M59" s="267"/>
      <c r="N59"/>
      <c r="W59" s="68"/>
    </row>
    <row r="60" spans="1:23" ht="15" customHeight="1" x14ac:dyDescent="0.25">
      <c r="A60" s="58"/>
      <c r="B60" s="59"/>
      <c r="C60" s="112" t="s">
        <v>43</v>
      </c>
      <c r="D60" s="65" t="s">
        <v>74</v>
      </c>
      <c r="N60"/>
      <c r="W60" s="68"/>
    </row>
    <row r="61" spans="1:23" ht="15" customHeight="1" x14ac:dyDescent="0.25">
      <c r="W61" s="68"/>
    </row>
    <row r="62" spans="1:23" ht="15" customHeight="1" x14ac:dyDescent="0.25">
      <c r="B62" s="113" t="s">
        <v>14</v>
      </c>
      <c r="C62" s="63"/>
      <c r="D62" s="63"/>
      <c r="E62" s="63"/>
      <c r="F62" s="63"/>
      <c r="G62" s="63"/>
      <c r="H62" s="63"/>
      <c r="I62" s="63"/>
      <c r="J62" s="63"/>
      <c r="K62" s="63"/>
      <c r="L62" s="64"/>
    </row>
    <row r="63" spans="1:23" ht="15" customHeight="1" x14ac:dyDescent="0.25">
      <c r="B63" s="66" t="s">
        <v>43</v>
      </c>
      <c r="C63" s="67" t="s">
        <v>53</v>
      </c>
    </row>
    <row r="64" spans="1:23" ht="15" customHeight="1" x14ac:dyDescent="0.25">
      <c r="B64" s="66" t="s">
        <v>44</v>
      </c>
      <c r="C64" s="67" t="s">
        <v>54</v>
      </c>
    </row>
    <row r="65" spans="2:21" ht="15" customHeight="1" x14ac:dyDescent="0.25">
      <c r="C65" s="67" t="s">
        <v>56</v>
      </c>
    </row>
    <row r="66" spans="2:21" ht="15" customHeight="1" x14ac:dyDescent="0.25">
      <c r="C66" s="67" t="s">
        <v>57</v>
      </c>
    </row>
    <row r="67" spans="2:21" ht="15" customHeight="1" x14ac:dyDescent="0.25">
      <c r="B67" s="66" t="s">
        <v>45</v>
      </c>
      <c r="C67" s="67" t="s">
        <v>55</v>
      </c>
    </row>
    <row r="68" spans="2:21" ht="15" customHeight="1" x14ac:dyDescent="0.25">
      <c r="B68" s="66"/>
      <c r="C68" s="67"/>
      <c r="U68" s="59"/>
    </row>
    <row r="69" spans="2:21" ht="15" customHeight="1" x14ac:dyDescent="0.25">
      <c r="B69" s="381" t="s">
        <v>299</v>
      </c>
      <c r="C69" s="66"/>
    </row>
    <row r="70" spans="2:21" ht="15" customHeight="1" x14ac:dyDescent="0.25">
      <c r="B70" s="65"/>
      <c r="C70" s="382" t="s">
        <v>268</v>
      </c>
      <c r="G70"/>
      <c r="H70"/>
      <c r="I70"/>
      <c r="J70"/>
    </row>
    <row r="71" spans="2:21" ht="15" customHeight="1" x14ac:dyDescent="0.25">
      <c r="B71" s="65"/>
      <c r="C71" s="382" t="s">
        <v>269</v>
      </c>
      <c r="G71"/>
      <c r="H71"/>
      <c r="I71"/>
      <c r="J71"/>
      <c r="R71" s="58"/>
    </row>
    <row r="72" spans="2:21" ht="15" customHeight="1" x14ac:dyDescent="0.25">
      <c r="B72" s="65"/>
      <c r="C72" s="382"/>
      <c r="G72"/>
      <c r="H72"/>
      <c r="I72"/>
      <c r="J72"/>
      <c r="R72" s="58"/>
    </row>
    <row r="73" spans="2:21" ht="15" customHeight="1" x14ac:dyDescent="0.25">
      <c r="B73" s="115"/>
      <c r="G73"/>
      <c r="H73"/>
      <c r="I73"/>
      <c r="J73"/>
    </row>
    <row r="74" spans="2:21" ht="15" customHeight="1" x14ac:dyDescent="0.25">
      <c r="B74" s="62" t="s">
        <v>139</v>
      </c>
      <c r="C74" s="63"/>
      <c r="D74" s="63"/>
      <c r="E74" s="64"/>
      <c r="I74" s="58" t="s">
        <v>112</v>
      </c>
      <c r="K74" s="58" t="s">
        <v>83</v>
      </c>
      <c r="N74" s="388" t="s">
        <v>270</v>
      </c>
      <c r="O74" s="116"/>
    </row>
    <row r="75" spans="2:21" ht="15" customHeight="1" x14ac:dyDescent="0.25">
      <c r="B75" s="117"/>
      <c r="I75" s="58" t="s">
        <v>113</v>
      </c>
      <c r="K75" s="58" t="s">
        <v>84</v>
      </c>
      <c r="O75" s="116"/>
    </row>
    <row r="76" spans="2:21" ht="15" customHeight="1" x14ac:dyDescent="0.25">
      <c r="B76" s="77" t="s">
        <v>15</v>
      </c>
      <c r="C76" s="78"/>
      <c r="D76" s="79"/>
      <c r="F76" s="171"/>
      <c r="G76" s="172"/>
      <c r="H76"/>
      <c r="I76" s="118" t="s">
        <v>76</v>
      </c>
      <c r="J76" s="119"/>
      <c r="K76" s="118" t="s">
        <v>81</v>
      </c>
      <c r="L76" s="120"/>
      <c r="M76" s="119"/>
      <c r="N76" s="416"/>
      <c r="O76" s="417"/>
      <c r="P76"/>
      <c r="Q76"/>
    </row>
    <row r="77" spans="2:21" ht="15" customHeight="1" x14ac:dyDescent="0.25">
      <c r="B77" s="86" t="s">
        <v>61</v>
      </c>
      <c r="C77" s="87" t="s">
        <v>19</v>
      </c>
      <c r="D77" s="88">
        <v>0.9</v>
      </c>
      <c r="F77" s="173" t="s">
        <v>35</v>
      </c>
      <c r="G77" s="403" t="s">
        <v>58</v>
      </c>
      <c r="H77"/>
      <c r="I77" s="125" t="s">
        <v>80</v>
      </c>
      <c r="J77" s="126"/>
      <c r="K77" s="127" t="s">
        <v>82</v>
      </c>
      <c r="L77" s="128"/>
      <c r="M77" s="410" t="s">
        <v>136</v>
      </c>
      <c r="N77" s="418"/>
      <c r="O77" s="419" t="s">
        <v>142</v>
      </c>
      <c r="P77"/>
      <c r="Q77"/>
    </row>
    <row r="78" spans="2:21" ht="15" customHeight="1" x14ac:dyDescent="0.25">
      <c r="B78" s="86" t="s">
        <v>62</v>
      </c>
      <c r="C78" s="87" t="s">
        <v>20</v>
      </c>
      <c r="D78" s="96">
        <v>0.96</v>
      </c>
      <c r="F78" s="163"/>
      <c r="G78" s="404"/>
      <c r="H78"/>
      <c r="I78" s="130" t="s">
        <v>24</v>
      </c>
      <c r="J78" s="175" t="s">
        <v>26</v>
      </c>
      <c r="K78" s="130" t="s">
        <v>30</v>
      </c>
      <c r="L78" s="134" t="s">
        <v>32</v>
      </c>
      <c r="M78" s="411" t="s">
        <v>32</v>
      </c>
      <c r="N78" s="418"/>
      <c r="O78" s="420"/>
      <c r="P78"/>
      <c r="Q78"/>
    </row>
    <row r="79" spans="2:21" ht="15" customHeight="1" x14ac:dyDescent="0.25">
      <c r="B79" s="102" t="s">
        <v>59</v>
      </c>
      <c r="C79" s="103" t="s">
        <v>28</v>
      </c>
      <c r="D79" s="104">
        <v>85</v>
      </c>
      <c r="F79" s="165"/>
      <c r="G79" s="405"/>
      <c r="H79"/>
      <c r="I79" s="135" t="s">
        <v>25</v>
      </c>
      <c r="J79" s="136" t="s">
        <v>27</v>
      </c>
      <c r="K79" s="135" t="s">
        <v>31</v>
      </c>
      <c r="L79" s="185" t="s">
        <v>33</v>
      </c>
      <c r="M79" s="136" t="s">
        <v>33</v>
      </c>
      <c r="N79" s="418"/>
      <c r="O79" s="419"/>
      <c r="P79"/>
      <c r="Q79"/>
    </row>
    <row r="80" spans="2:21" ht="15" customHeight="1" x14ac:dyDescent="0.25">
      <c r="F80" s="143">
        <v>1</v>
      </c>
      <c r="G80" s="406">
        <f t="shared" ref="G80:G91" si="14">L45</f>
        <v>0.78513299735102959</v>
      </c>
      <c r="H80"/>
      <c r="I80" s="141">
        <f>D78*2.20462*25.4*12</f>
        <v>645.0894489599998</v>
      </c>
      <c r="J80" s="142">
        <f t="shared" ref="J80:J91" si="15">($G80*$D$77*SQRT(4*$D$79*$I$80/32.2)/12)</f>
        <v>4.8598849207803854</v>
      </c>
      <c r="K80" s="143">
        <v>1</v>
      </c>
      <c r="L80" s="145">
        <f t="shared" ref="L80:L91" si="16">K80*J80</f>
        <v>4.8598849207803854</v>
      </c>
      <c r="M80" s="412">
        <f>L80/2</f>
        <v>2.4299424603901927</v>
      </c>
      <c r="N80" s="421">
        <f t="shared" ref="N80:N91" si="17">I45</f>
        <v>2.4300000000000002</v>
      </c>
      <c r="O80" s="420">
        <f>N80/M80</f>
        <v>1.0000236794124739</v>
      </c>
      <c r="P80"/>
      <c r="Q80"/>
    </row>
    <row r="81" spans="1:19" ht="15" customHeight="1" x14ac:dyDescent="0.3">
      <c r="B81" s="431" t="s">
        <v>275</v>
      </c>
      <c r="F81" s="147">
        <v>2</v>
      </c>
      <c r="G81" s="407">
        <f t="shared" si="14"/>
        <v>0.69547274765353551</v>
      </c>
      <c r="I81" s="147"/>
      <c r="J81" s="148">
        <f t="shared" si="15"/>
        <v>4.3048980625431188</v>
      </c>
      <c r="K81" s="147">
        <v>2</v>
      </c>
      <c r="L81" s="150">
        <f t="shared" si="16"/>
        <v>8.6097961250862376</v>
      </c>
      <c r="M81" s="413">
        <f t="shared" ref="M81:M91" si="18">L81/2</f>
        <v>4.3048980625431188</v>
      </c>
      <c r="N81" s="421">
        <f t="shared" si="17"/>
        <v>4.3049999999999997</v>
      </c>
      <c r="O81" s="420">
        <f t="shared" ref="O81:O91" si="19">N81/M81</f>
        <v>1.0000236794124739</v>
      </c>
      <c r="P81"/>
      <c r="Q81"/>
    </row>
    <row r="82" spans="1:19" ht="15" customHeight="1" x14ac:dyDescent="0.25">
      <c r="F82" s="152">
        <v>3</v>
      </c>
      <c r="G82" s="408">
        <f t="shared" si="14"/>
        <v>0.65740079778198701</v>
      </c>
      <c r="I82" s="147"/>
      <c r="J82" s="153">
        <f t="shared" si="15"/>
        <v>4.0692369761925198</v>
      </c>
      <c r="K82" s="152">
        <v>3</v>
      </c>
      <c r="L82" s="155">
        <f t="shared" si="16"/>
        <v>12.207710928577558</v>
      </c>
      <c r="M82" s="414">
        <f t="shared" si="18"/>
        <v>6.1038554642887792</v>
      </c>
      <c r="N82" s="421">
        <f t="shared" si="17"/>
        <v>6.1040000000000001</v>
      </c>
      <c r="O82" s="420">
        <f t="shared" si="19"/>
        <v>1.0000236794124739</v>
      </c>
      <c r="P82"/>
      <c r="Q82"/>
    </row>
    <row r="83" spans="1:19" ht="15" customHeight="1" x14ac:dyDescent="0.25">
      <c r="F83" s="147">
        <v>4</v>
      </c>
      <c r="G83" s="407">
        <f t="shared" si="14"/>
        <v>0.6427266728314962</v>
      </c>
      <c r="I83" s="147"/>
      <c r="J83" s="148">
        <f t="shared" si="15"/>
        <v>3.9784057936882227</v>
      </c>
      <c r="K83" s="147">
        <v>4</v>
      </c>
      <c r="L83" s="150">
        <f t="shared" si="16"/>
        <v>15.913623174752891</v>
      </c>
      <c r="M83" s="413">
        <f t="shared" si="18"/>
        <v>7.9568115873764453</v>
      </c>
      <c r="N83" s="421">
        <f t="shared" si="17"/>
        <v>7.9570000000000007</v>
      </c>
      <c r="O83" s="420">
        <f t="shared" si="19"/>
        <v>1.0000236794124739</v>
      </c>
      <c r="P83"/>
      <c r="Q83"/>
    </row>
    <row r="84" spans="1:19" ht="15" customHeight="1" x14ac:dyDescent="0.25">
      <c r="F84" s="147">
        <v>5</v>
      </c>
      <c r="G84" s="407">
        <f t="shared" si="14"/>
        <v>0.65686229778380389</v>
      </c>
      <c r="I84" s="147"/>
      <c r="J84" s="148">
        <f t="shared" si="15"/>
        <v>4.0659037217886933</v>
      </c>
      <c r="K84" s="147">
        <v>5</v>
      </c>
      <c r="L84" s="150">
        <f t="shared" si="16"/>
        <v>20.329518608943467</v>
      </c>
      <c r="M84" s="413">
        <f t="shared" si="18"/>
        <v>10.164759304471733</v>
      </c>
      <c r="N84" s="421">
        <f t="shared" si="17"/>
        <v>10.165000000000001</v>
      </c>
      <c r="O84" s="420">
        <f t="shared" si="19"/>
        <v>1.0000236794124737</v>
      </c>
      <c r="P84"/>
      <c r="Q84"/>
    </row>
    <row r="85" spans="1:19" ht="15" customHeight="1" x14ac:dyDescent="0.25">
      <c r="F85" s="152">
        <v>10</v>
      </c>
      <c r="G85" s="408">
        <f t="shared" si="14"/>
        <v>0.74500397748642166</v>
      </c>
      <c r="I85" s="147"/>
      <c r="J85" s="153">
        <f t="shared" si="15"/>
        <v>4.6114908026071664</v>
      </c>
      <c r="K85" s="152">
        <v>10</v>
      </c>
      <c r="L85" s="155">
        <f t="shared" si="16"/>
        <v>46.11490802607166</v>
      </c>
      <c r="M85" s="414">
        <f t="shared" si="18"/>
        <v>23.05745401303583</v>
      </c>
      <c r="N85" s="421">
        <f t="shared" si="17"/>
        <v>23.058000000000003</v>
      </c>
      <c r="O85" s="420">
        <f t="shared" si="19"/>
        <v>1.0000236794124739</v>
      </c>
      <c r="P85"/>
      <c r="Q85"/>
    </row>
    <row r="86" spans="1:19" ht="15" customHeight="1" x14ac:dyDescent="0.25">
      <c r="F86" s="147">
        <v>20</v>
      </c>
      <c r="G86" s="407">
        <f t="shared" si="14"/>
        <v>0.73989899750364518</v>
      </c>
      <c r="I86" s="147"/>
      <c r="J86" s="148">
        <f t="shared" si="15"/>
        <v>4.5798915508588811</v>
      </c>
      <c r="K86" s="147">
        <v>20</v>
      </c>
      <c r="L86" s="150">
        <f t="shared" si="16"/>
        <v>91.597831017177626</v>
      </c>
      <c r="M86" s="413">
        <f t="shared" si="18"/>
        <v>45.798915508588813</v>
      </c>
      <c r="N86" s="421">
        <f t="shared" si="17"/>
        <v>45.8</v>
      </c>
      <c r="O86" s="420">
        <f t="shared" si="19"/>
        <v>1.0000236794124739</v>
      </c>
      <c r="P86"/>
      <c r="Q86"/>
    </row>
    <row r="87" spans="1:19" ht="15" customHeight="1" x14ac:dyDescent="0.25">
      <c r="F87" s="147">
        <v>30</v>
      </c>
      <c r="G87" s="407">
        <f t="shared" si="14"/>
        <v>0.73989899750364518</v>
      </c>
      <c r="I87" s="147"/>
      <c r="J87" s="148">
        <f t="shared" si="15"/>
        <v>4.5798915508588811</v>
      </c>
      <c r="K87" s="147">
        <v>30</v>
      </c>
      <c r="L87" s="150">
        <f t="shared" si="16"/>
        <v>137.39674652576645</v>
      </c>
      <c r="M87" s="413">
        <f t="shared" si="18"/>
        <v>68.698373262883223</v>
      </c>
      <c r="N87" s="421">
        <f t="shared" si="17"/>
        <v>68.7</v>
      </c>
      <c r="O87" s="420">
        <f t="shared" si="19"/>
        <v>1.0000236794124739</v>
      </c>
      <c r="P87"/>
      <c r="Q87"/>
    </row>
    <row r="88" spans="1:19" ht="15" customHeight="1" x14ac:dyDescent="0.25">
      <c r="F88" s="147">
        <v>40</v>
      </c>
      <c r="G88" s="407">
        <f t="shared" si="14"/>
        <v>0.76332374742461206</v>
      </c>
      <c r="I88" s="147"/>
      <c r="J88" s="148">
        <f t="shared" si="15"/>
        <v>4.7248881174253734</v>
      </c>
      <c r="K88" s="147">
        <v>40</v>
      </c>
      <c r="L88" s="150">
        <f t="shared" si="16"/>
        <v>188.99552469701493</v>
      </c>
      <c r="M88" s="413">
        <f t="shared" si="18"/>
        <v>94.497762348507464</v>
      </c>
      <c r="N88" s="421">
        <f t="shared" si="17"/>
        <v>94.5</v>
      </c>
      <c r="O88" s="420">
        <f t="shared" si="19"/>
        <v>1.0000236794124742</v>
      </c>
      <c r="P88"/>
      <c r="Q88"/>
    </row>
    <row r="89" spans="1:19" ht="15" customHeight="1" x14ac:dyDescent="0.25">
      <c r="F89" s="147">
        <v>50</v>
      </c>
      <c r="G89" s="407">
        <f t="shared" si="14"/>
        <v>0.78513299735102959</v>
      </c>
      <c r="I89" s="147"/>
      <c r="J89" s="148">
        <f t="shared" si="15"/>
        <v>4.8598849207803854</v>
      </c>
      <c r="K89" s="147">
        <v>50</v>
      </c>
      <c r="L89" s="150">
        <f t="shared" si="16"/>
        <v>242.99424603901926</v>
      </c>
      <c r="M89" s="413">
        <f t="shared" si="18"/>
        <v>121.49712301950963</v>
      </c>
      <c r="N89" s="421">
        <f t="shared" si="17"/>
        <v>121.5</v>
      </c>
      <c r="O89" s="420">
        <f t="shared" si="19"/>
        <v>1.0000236794124739</v>
      </c>
      <c r="P89"/>
      <c r="Q89"/>
    </row>
    <row r="90" spans="1:19" ht="15" customHeight="1" x14ac:dyDescent="0.25">
      <c r="F90" s="147">
        <v>60</v>
      </c>
      <c r="G90" s="407">
        <f t="shared" si="14"/>
        <v>0.79644149731287583</v>
      </c>
      <c r="I90" s="147"/>
      <c r="J90" s="148">
        <f t="shared" si="15"/>
        <v>4.9298832632607619</v>
      </c>
      <c r="K90" s="147">
        <v>60</v>
      </c>
      <c r="L90" s="150">
        <f t="shared" si="16"/>
        <v>295.79299579564571</v>
      </c>
      <c r="M90" s="413">
        <f t="shared" si="18"/>
        <v>147.89649789782285</v>
      </c>
      <c r="N90" s="421">
        <f t="shared" si="17"/>
        <v>147.9</v>
      </c>
      <c r="O90" s="420">
        <f t="shared" si="19"/>
        <v>1.0000236794124737</v>
      </c>
      <c r="P90"/>
      <c r="Q90"/>
    </row>
    <row r="91" spans="1:19" ht="15" customHeight="1" x14ac:dyDescent="0.25">
      <c r="F91" s="157">
        <v>70</v>
      </c>
      <c r="G91" s="409">
        <f t="shared" si="14"/>
        <v>0.80590371156666529</v>
      </c>
      <c r="I91" s="176"/>
      <c r="J91" s="158">
        <f t="shared" si="15"/>
        <v>4.9884533049280133</v>
      </c>
      <c r="K91" s="157">
        <v>70</v>
      </c>
      <c r="L91" s="160">
        <f t="shared" si="16"/>
        <v>349.19173134496094</v>
      </c>
      <c r="M91" s="415">
        <f t="shared" si="18"/>
        <v>174.59586567248047</v>
      </c>
      <c r="N91" s="422">
        <f t="shared" si="17"/>
        <v>174.6</v>
      </c>
      <c r="O91" s="423">
        <f t="shared" si="19"/>
        <v>1.0000236794124742</v>
      </c>
      <c r="P91"/>
      <c r="Q91"/>
    </row>
    <row r="92" spans="1:19" ht="15" customHeight="1" x14ac:dyDescent="0.25">
      <c r="O92" s="116"/>
    </row>
    <row r="93" spans="1:19" ht="1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 s="116"/>
      <c r="P93"/>
    </row>
    <row r="94" spans="1:19" ht="1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 s="116"/>
      <c r="P94"/>
    </row>
    <row r="95" spans="1:19" ht="15" customHeight="1" x14ac:dyDescent="0.25">
      <c r="A95"/>
      <c r="B95"/>
      <c r="C95"/>
      <c r="E95"/>
      <c r="F95"/>
      <c r="G95" s="388" t="s">
        <v>271</v>
      </c>
      <c r="H95"/>
      <c r="I95"/>
      <c r="J95"/>
      <c r="K95"/>
      <c r="L95"/>
      <c r="M95"/>
      <c r="N95"/>
      <c r="O95" s="116"/>
      <c r="P95"/>
    </row>
    <row r="96" spans="1:19" ht="1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78"/>
      <c r="R96" s="177"/>
      <c r="S96" s="177"/>
    </row>
    <row r="97" spans="1:67" ht="15" customHeight="1" x14ac:dyDescent="0.25">
      <c r="A97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29"/>
      <c r="R97" s="430"/>
      <c r="S97" s="430"/>
      <c r="T97" s="198"/>
      <c r="U97" s="198"/>
      <c r="V97" s="198"/>
      <c r="W97" s="198"/>
      <c r="X97" s="198"/>
      <c r="Y97" s="198"/>
      <c r="Z97" s="198"/>
    </row>
    <row r="98" spans="1:67" ht="1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78"/>
      <c r="R98" s="177"/>
      <c r="S98" s="177"/>
    </row>
    <row r="99" spans="1:67" ht="15" customHeight="1" x14ac:dyDescent="0.25">
      <c r="A99"/>
      <c r="B99" s="381" t="s">
        <v>277</v>
      </c>
      <c r="C99" s="66"/>
      <c r="D99"/>
      <c r="E99"/>
      <c r="F99"/>
      <c r="G99"/>
      <c r="H99"/>
      <c r="I99"/>
      <c r="J99"/>
      <c r="K99"/>
      <c r="L99"/>
      <c r="M99"/>
      <c r="N99"/>
      <c r="O99"/>
      <c r="P99"/>
      <c r="Q99" s="178"/>
      <c r="R99" s="177"/>
      <c r="S99" s="177"/>
    </row>
    <row r="100" spans="1:67" ht="15" customHeight="1" x14ac:dyDescent="0.25">
      <c r="A100"/>
      <c r="B100" s="65"/>
      <c r="C100" s="382" t="s">
        <v>300</v>
      </c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78"/>
      <c r="R100" s="177"/>
      <c r="S100" s="177"/>
    </row>
    <row r="101" spans="1:67" ht="15" customHeight="1" x14ac:dyDescent="0.25">
      <c r="A101"/>
      <c r="B101" s="65"/>
      <c r="C101" s="382" t="s">
        <v>278</v>
      </c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78"/>
      <c r="R101" s="177"/>
      <c r="S101" s="177"/>
    </row>
    <row r="102" spans="1:67" ht="15" customHeight="1" x14ac:dyDescent="0.25">
      <c r="A102"/>
      <c r="D102"/>
      <c r="E102"/>
      <c r="F102"/>
      <c r="G102"/>
      <c r="H102"/>
      <c r="I102"/>
      <c r="J102"/>
      <c r="K102"/>
      <c r="L102"/>
      <c r="M102"/>
      <c r="N102"/>
      <c r="P102"/>
      <c r="Q102" s="178"/>
      <c r="R102" s="177"/>
      <c r="S102" s="177"/>
      <c r="BI102" s="267" t="s">
        <v>302</v>
      </c>
    </row>
    <row r="103" spans="1:67" ht="15" customHeight="1" x14ac:dyDescent="0.3">
      <c r="A103"/>
      <c r="D103" s="444" t="s">
        <v>281</v>
      </c>
      <c r="E103"/>
      <c r="F103"/>
      <c r="G103"/>
      <c r="H103"/>
      <c r="I103"/>
      <c r="J103"/>
      <c r="K103"/>
      <c r="L103"/>
      <c r="M103"/>
      <c r="N103"/>
      <c r="O103" s="444"/>
      <c r="P103"/>
      <c r="Q103" s="178"/>
      <c r="R103" s="177"/>
      <c r="S103" s="177"/>
    </row>
    <row r="104" spans="1:67" ht="15" customHeight="1" x14ac:dyDescent="0.3">
      <c r="A104"/>
      <c r="B104" s="65"/>
      <c r="C104" s="382"/>
      <c r="D104" s="444" t="s">
        <v>284</v>
      </c>
      <c r="E104"/>
      <c r="F104"/>
      <c r="G104"/>
      <c r="H104"/>
      <c r="I104"/>
      <c r="J104"/>
      <c r="K104"/>
      <c r="L104"/>
      <c r="M104"/>
      <c r="N104"/>
      <c r="O104" s="444"/>
      <c r="Q104" s="178"/>
      <c r="R104" s="177"/>
      <c r="S104" s="177"/>
    </row>
    <row r="105" spans="1:67" ht="15" customHeight="1" x14ac:dyDescent="0.3">
      <c r="A105"/>
      <c r="B105" s="65"/>
      <c r="C105" s="382"/>
      <c r="D105" s="444" t="s">
        <v>285</v>
      </c>
      <c r="E105"/>
      <c r="F105"/>
      <c r="G105"/>
      <c r="H105"/>
      <c r="I105"/>
      <c r="J105"/>
      <c r="K105"/>
      <c r="L105"/>
      <c r="M105"/>
      <c r="N105"/>
      <c r="O105" s="444"/>
      <c r="P105" s="55" t="s">
        <v>320</v>
      </c>
      <c r="Q105" s="178"/>
      <c r="R105" s="177"/>
      <c r="S105" s="177"/>
    </row>
    <row r="106" spans="1:67" ht="15" customHeight="1" x14ac:dyDescent="0.3">
      <c r="A106"/>
      <c r="B106" s="65"/>
      <c r="C106" s="382"/>
      <c r="D106" s="444" t="s">
        <v>282</v>
      </c>
      <c r="E106"/>
      <c r="F106"/>
      <c r="G106"/>
      <c r="H106"/>
      <c r="I106"/>
      <c r="J106"/>
      <c r="K106"/>
      <c r="L106"/>
      <c r="M106"/>
      <c r="N106"/>
      <c r="P106" s="503" t="s">
        <v>319</v>
      </c>
      <c r="Q106" s="178"/>
      <c r="R106" s="177"/>
    </row>
    <row r="107" spans="1:67" ht="15" customHeight="1" x14ac:dyDescent="0.3">
      <c r="A107"/>
      <c r="B107" s="65"/>
      <c r="C107" s="382"/>
      <c r="D107" s="444" t="s">
        <v>283</v>
      </c>
      <c r="E107"/>
      <c r="F107"/>
      <c r="G107"/>
      <c r="H107"/>
      <c r="I107" s="505" t="s">
        <v>279</v>
      </c>
      <c r="J107"/>
      <c r="K107"/>
      <c r="L107"/>
      <c r="M107"/>
      <c r="N107"/>
      <c r="Q107" s="178"/>
      <c r="R107" s="177"/>
      <c r="S107" s="177"/>
    </row>
    <row r="108" spans="1:67" ht="15" customHeight="1" x14ac:dyDescent="0.25">
      <c r="A108"/>
      <c r="B108" s="65"/>
      <c r="C108" s="382"/>
      <c r="D108"/>
      <c r="E108"/>
      <c r="F108" s="395"/>
      <c r="G108"/>
      <c r="H108" s="396" t="s">
        <v>301</v>
      </c>
      <c r="J108"/>
      <c r="K108"/>
      <c r="L108"/>
      <c r="M108"/>
      <c r="N108"/>
      <c r="Q108" s="178"/>
      <c r="R108" s="177"/>
      <c r="S108" s="177"/>
    </row>
    <row r="109" spans="1:67" ht="15" customHeight="1" thickBot="1" x14ac:dyDescent="0.3">
      <c r="A109" s="58"/>
      <c r="B109" s="65"/>
      <c r="C109" s="382"/>
      <c r="H109" s="267" t="s">
        <v>321</v>
      </c>
      <c r="M109" s="388"/>
      <c r="AE109" s="267" t="s">
        <v>295</v>
      </c>
      <c r="AF109" s="466" t="s">
        <v>283</v>
      </c>
      <c r="AG109" s="464">
        <f>(AG123-AG117)/6</f>
        <v>1.0149955680040604E-2</v>
      </c>
      <c r="AH109" s="464"/>
      <c r="AR109" s="267" t="s">
        <v>294</v>
      </c>
      <c r="AS109" s="466" t="s">
        <v>323</v>
      </c>
      <c r="AT109" s="464">
        <f>(AT123-AT117)/6</f>
        <v>8.8304614416353511E-3</v>
      </c>
      <c r="BO109" s="267" t="s">
        <v>328</v>
      </c>
    </row>
    <row r="110" spans="1:67" ht="15" customHeight="1" x14ac:dyDescent="0.25">
      <c r="A110" s="58"/>
      <c r="B110" s="59"/>
      <c r="C110" s="77" t="s">
        <v>15</v>
      </c>
      <c r="D110" s="78"/>
      <c r="E110" s="79"/>
      <c r="G110" s="432"/>
      <c r="H110" s="433"/>
      <c r="I110" s="434"/>
      <c r="J110" s="433"/>
      <c r="K110" s="435" t="s">
        <v>111</v>
      </c>
      <c r="L110" s="72"/>
      <c r="M110" s="432" t="s">
        <v>260</v>
      </c>
      <c r="N110" s="433"/>
      <c r="O110" s="435" t="s">
        <v>111</v>
      </c>
      <c r="P110" s="453"/>
      <c r="S110" s="506" t="s">
        <v>322</v>
      </c>
      <c r="AE110" s="460"/>
      <c r="AF110" s="461" t="s">
        <v>288</v>
      </c>
      <c r="AG110" s="461" t="s">
        <v>128</v>
      </c>
      <c r="AH110" s="516"/>
      <c r="AJ110" s="77" t="s">
        <v>15</v>
      </c>
      <c r="AK110" s="78"/>
      <c r="AL110" s="79"/>
      <c r="AR110" s="460"/>
      <c r="AS110" s="461" t="s">
        <v>288</v>
      </c>
      <c r="AT110" s="461" t="s">
        <v>128</v>
      </c>
      <c r="AU110" s="516"/>
    </row>
    <row r="111" spans="1:67" ht="15" customHeight="1" x14ac:dyDescent="0.25">
      <c r="A111" s="58"/>
      <c r="B111" s="59"/>
      <c r="C111" s="86" t="s">
        <v>61</v>
      </c>
      <c r="D111" s="87" t="s">
        <v>19</v>
      </c>
      <c r="E111" s="88">
        <v>0.9</v>
      </c>
      <c r="F111" s="80"/>
      <c r="G111" s="436" t="s">
        <v>2</v>
      </c>
      <c r="H111" s="82" t="s">
        <v>250</v>
      </c>
      <c r="I111" s="83"/>
      <c r="J111" s="82" t="s">
        <v>133</v>
      </c>
      <c r="K111" s="82" t="s">
        <v>127</v>
      </c>
      <c r="L111" s="437" t="s">
        <v>128</v>
      </c>
      <c r="M111" s="443">
        <v>0.87</v>
      </c>
      <c r="N111" s="82" t="s">
        <v>133</v>
      </c>
      <c r="O111" s="82" t="s">
        <v>127</v>
      </c>
      <c r="P111" s="454" t="s">
        <v>128</v>
      </c>
      <c r="Q111"/>
      <c r="R111"/>
      <c r="S111"/>
      <c r="AE111" s="462" t="s">
        <v>289</v>
      </c>
      <c r="AF111" s="462" t="s">
        <v>290</v>
      </c>
      <c r="AG111" s="462" t="s">
        <v>19</v>
      </c>
      <c r="AH111" s="517"/>
      <c r="AJ111" s="86" t="s">
        <v>61</v>
      </c>
      <c r="AK111" s="87" t="s">
        <v>19</v>
      </c>
      <c r="AL111" s="88">
        <v>0.9</v>
      </c>
      <c r="AR111" s="462" t="s">
        <v>289</v>
      </c>
      <c r="AS111" s="462" t="s">
        <v>290</v>
      </c>
      <c r="AT111" s="462" t="s">
        <v>19</v>
      </c>
      <c r="AU111" s="517"/>
    </row>
    <row r="112" spans="1:67" ht="15" customHeight="1" x14ac:dyDescent="0.25">
      <c r="A112" s="58"/>
      <c r="B112" s="59"/>
      <c r="C112" s="86" t="s">
        <v>62</v>
      </c>
      <c r="D112" s="87" t="s">
        <v>20</v>
      </c>
      <c r="E112" s="96">
        <v>0.96</v>
      </c>
      <c r="F112" s="80"/>
      <c r="G112" s="143">
        <v>1</v>
      </c>
      <c r="H112" s="438">
        <f>I45</f>
        <v>2.4300000000000002</v>
      </c>
      <c r="I112" s="438">
        <f>H112</f>
        <v>2.4300000000000002</v>
      </c>
      <c r="J112" s="438">
        <f>I112*2</f>
        <v>4.8600000000000003</v>
      </c>
      <c r="K112" s="445">
        <f>(J112/$G112)</f>
        <v>4.8600000000000003</v>
      </c>
      <c r="L112" s="446">
        <f t="shared" ref="L112:L123" si="20">SQRT(12*32.2*K112^2/(4*$E$46*($E$45*56)*$E$44^2))</f>
        <v>0.78513299735102959</v>
      </c>
      <c r="M112" s="438">
        <f>I112*M$111</f>
        <v>2.1141000000000001</v>
      </c>
      <c r="N112" s="90">
        <f>M112*2</f>
        <v>4.2282000000000002</v>
      </c>
      <c r="O112" s="91">
        <f t="shared" ref="O112:O123" si="21">(N112/$G112)</f>
        <v>4.2282000000000002</v>
      </c>
      <c r="P112" s="455">
        <f t="shared" ref="P112:P123" si="22">SQRT(12*32.2*O112^2/(4*$E$46*($E$45*56)*$E$44^2))</f>
        <v>0.68306570769539576</v>
      </c>
      <c r="Q112"/>
      <c r="R112"/>
      <c r="S112"/>
      <c r="AE112" s="462">
        <v>10</v>
      </c>
      <c r="AF112" s="509">
        <f t="shared" ref="AF112:AF123" si="23">I45</f>
        <v>2.4300000000000002</v>
      </c>
      <c r="AG112" s="511">
        <f t="shared" ref="AG112:AG123" si="24">L45</f>
        <v>0.78513299735102959</v>
      </c>
      <c r="AH112" s="518"/>
      <c r="AJ112" s="86" t="s">
        <v>62</v>
      </c>
      <c r="AK112" s="87" t="s">
        <v>20</v>
      </c>
      <c r="AL112" s="96">
        <v>0.96</v>
      </c>
      <c r="AR112" s="462"/>
      <c r="AS112" s="509">
        <f>M112</f>
        <v>2.1141000000000001</v>
      </c>
      <c r="AT112" s="511">
        <f>P112</f>
        <v>0.68306570769539576</v>
      </c>
      <c r="AU112" s="518"/>
    </row>
    <row r="113" spans="1:60" ht="15" customHeight="1" x14ac:dyDescent="0.25">
      <c r="A113" s="58"/>
      <c r="B113" s="59"/>
      <c r="C113" s="102" t="s">
        <v>59</v>
      </c>
      <c r="D113" s="103" t="s">
        <v>28</v>
      </c>
      <c r="E113" s="104">
        <v>85</v>
      </c>
      <c r="F113" s="80"/>
      <c r="G113" s="147">
        <v>2</v>
      </c>
      <c r="H113" s="439">
        <f t="shared" ref="H113:H123" si="25">I46</f>
        <v>4.3049999999999997</v>
      </c>
      <c r="I113" s="439">
        <f t="shared" ref="I113:I123" si="26">H113</f>
        <v>4.3049999999999997</v>
      </c>
      <c r="J113" s="439">
        <f t="shared" ref="J113:J123" si="27">I113*2</f>
        <v>8.61</v>
      </c>
      <c r="K113" s="447">
        <f t="shared" ref="K113:K122" si="28">(J113/$G113)</f>
        <v>4.3049999999999997</v>
      </c>
      <c r="L113" s="448">
        <f t="shared" si="20"/>
        <v>0.69547274765353551</v>
      </c>
      <c r="M113" s="439">
        <f t="shared" ref="M113:M123" si="29">I113*M$111</f>
        <v>3.7453499999999997</v>
      </c>
      <c r="N113" s="98">
        <f t="shared" ref="N113:N118" si="30">M113*2</f>
        <v>7.4906999999999995</v>
      </c>
      <c r="O113" s="99">
        <f t="shared" si="21"/>
        <v>3.7453499999999997</v>
      </c>
      <c r="P113" s="456">
        <f t="shared" si="22"/>
        <v>0.60506129045857582</v>
      </c>
      <c r="Q113"/>
      <c r="R113"/>
      <c r="S113"/>
      <c r="AE113" s="462">
        <v>20</v>
      </c>
      <c r="AF113" s="510">
        <f t="shared" si="23"/>
        <v>4.3049999999999997</v>
      </c>
      <c r="AG113" s="508">
        <f t="shared" si="24"/>
        <v>0.69547274765353551</v>
      </c>
      <c r="AH113" s="519"/>
      <c r="AJ113" s="102" t="s">
        <v>59</v>
      </c>
      <c r="AK113" s="103" t="s">
        <v>28</v>
      </c>
      <c r="AL113" s="104">
        <v>85</v>
      </c>
      <c r="AR113" s="462"/>
      <c r="AS113" s="510">
        <f t="shared" ref="AS113:AS123" si="31">M113</f>
        <v>3.7453499999999997</v>
      </c>
      <c r="AT113" s="508">
        <f t="shared" ref="AT113:AT123" si="32">P113</f>
        <v>0.60506129045857582</v>
      </c>
      <c r="AU113" s="519"/>
      <c r="AV113"/>
      <c r="AW113"/>
      <c r="AX113"/>
      <c r="AY113"/>
      <c r="AZ113"/>
      <c r="BA113"/>
      <c r="BB113"/>
    </row>
    <row r="114" spans="1:60" ht="15" customHeight="1" x14ac:dyDescent="0.25">
      <c r="A114" s="58"/>
      <c r="B114" s="59"/>
      <c r="F114" s="80"/>
      <c r="G114" s="152">
        <v>3</v>
      </c>
      <c r="H114" s="440">
        <f t="shared" si="25"/>
        <v>6.1040000000000001</v>
      </c>
      <c r="I114" s="440">
        <f t="shared" si="26"/>
        <v>6.1040000000000001</v>
      </c>
      <c r="J114" s="440">
        <f t="shared" si="27"/>
        <v>12.208</v>
      </c>
      <c r="K114" s="449">
        <f t="shared" si="28"/>
        <v>4.0693333333333337</v>
      </c>
      <c r="L114" s="450">
        <f t="shared" si="20"/>
        <v>0.65740079778198701</v>
      </c>
      <c r="M114" s="440">
        <f t="shared" si="29"/>
        <v>5.3104800000000001</v>
      </c>
      <c r="N114" s="106">
        <f>M114*2</f>
        <v>10.62096</v>
      </c>
      <c r="O114" s="107">
        <f t="shared" si="21"/>
        <v>3.5403199999999999</v>
      </c>
      <c r="P114" s="457">
        <f t="shared" si="22"/>
        <v>0.5719386940703286</v>
      </c>
      <c r="Q114"/>
      <c r="R114"/>
      <c r="S114"/>
      <c r="AE114" s="462">
        <v>30</v>
      </c>
      <c r="AF114" s="509">
        <f t="shared" si="23"/>
        <v>6.1040000000000001</v>
      </c>
      <c r="AG114" s="511">
        <f t="shared" si="24"/>
        <v>0.65740079778198701</v>
      </c>
      <c r="AH114" s="518"/>
      <c r="AR114" s="462"/>
      <c r="AS114" s="509">
        <f t="shared" si="31"/>
        <v>5.3104800000000001</v>
      </c>
      <c r="AT114" s="511">
        <f t="shared" si="32"/>
        <v>0.5719386940703286</v>
      </c>
      <c r="AU114" s="518"/>
    </row>
    <row r="115" spans="1:60" ht="15" customHeight="1" x14ac:dyDescent="0.3">
      <c r="A115" s="58"/>
      <c r="B115" s="59"/>
      <c r="C115" s="431" t="s">
        <v>286</v>
      </c>
      <c r="G115" s="147">
        <v>4</v>
      </c>
      <c r="H115" s="439">
        <f t="shared" si="25"/>
        <v>7.9570000000000007</v>
      </c>
      <c r="I115" s="439">
        <f t="shared" si="26"/>
        <v>7.9570000000000007</v>
      </c>
      <c r="J115" s="439">
        <f t="shared" si="27"/>
        <v>15.914000000000001</v>
      </c>
      <c r="K115" s="447">
        <f t="shared" si="28"/>
        <v>3.9785000000000004</v>
      </c>
      <c r="L115" s="448">
        <f t="shared" si="20"/>
        <v>0.6427266728314962</v>
      </c>
      <c r="M115" s="439">
        <f t="shared" si="29"/>
        <v>6.9225900000000005</v>
      </c>
      <c r="N115" s="98">
        <f t="shared" si="30"/>
        <v>13.845180000000001</v>
      </c>
      <c r="O115" s="99">
        <f t="shared" si="21"/>
        <v>3.4612950000000002</v>
      </c>
      <c r="P115" s="456">
        <f t="shared" si="22"/>
        <v>0.55917220536340162</v>
      </c>
      <c r="Q115"/>
      <c r="R115"/>
      <c r="S115"/>
      <c r="AE115" s="462">
        <v>40</v>
      </c>
      <c r="AF115" s="510">
        <f t="shared" si="23"/>
        <v>7.9570000000000007</v>
      </c>
      <c r="AG115" s="508">
        <f t="shared" si="24"/>
        <v>0.6427266728314962</v>
      </c>
      <c r="AH115" s="519"/>
      <c r="AM115" s="493" t="s">
        <v>325</v>
      </c>
      <c r="AQ115" s="387"/>
      <c r="AR115" s="462"/>
      <c r="AS115" s="510">
        <f t="shared" si="31"/>
        <v>6.9225900000000005</v>
      </c>
      <c r="AT115" s="508">
        <f t="shared" si="32"/>
        <v>0.55917220536340162</v>
      </c>
      <c r="AU115" s="519"/>
      <c r="AZ115" s="493" t="s">
        <v>325</v>
      </c>
    </row>
    <row r="116" spans="1:60" ht="15" customHeight="1" x14ac:dyDescent="0.25">
      <c r="A116" s="58"/>
      <c r="B116" s="59"/>
      <c r="G116" s="147">
        <v>5</v>
      </c>
      <c r="H116" s="439">
        <f t="shared" si="25"/>
        <v>10.165000000000001</v>
      </c>
      <c r="I116" s="439">
        <f t="shared" si="26"/>
        <v>10.165000000000001</v>
      </c>
      <c r="J116" s="439">
        <f t="shared" si="27"/>
        <v>20.330000000000002</v>
      </c>
      <c r="K116" s="447">
        <f t="shared" si="28"/>
        <v>4.0660000000000007</v>
      </c>
      <c r="L116" s="448">
        <f t="shared" si="20"/>
        <v>0.65686229778380389</v>
      </c>
      <c r="M116" s="439">
        <f t="shared" si="29"/>
        <v>8.8435500000000005</v>
      </c>
      <c r="N116" s="98">
        <f t="shared" si="30"/>
        <v>17.687100000000001</v>
      </c>
      <c r="O116" s="99">
        <f t="shared" si="21"/>
        <v>3.53742</v>
      </c>
      <c r="P116" s="456">
        <f t="shared" si="22"/>
        <v>0.57147019907190932</v>
      </c>
      <c r="Q116"/>
      <c r="R116"/>
      <c r="S116"/>
      <c r="AE116" s="462">
        <v>50</v>
      </c>
      <c r="AF116" s="510">
        <f t="shared" si="23"/>
        <v>10.165000000000001</v>
      </c>
      <c r="AG116" s="508">
        <f t="shared" si="24"/>
        <v>0.65686229778380389</v>
      </c>
      <c r="AH116" s="519"/>
      <c r="AI116" s="482" t="s">
        <v>332</v>
      </c>
      <c r="AK116" s="482" t="s">
        <v>324</v>
      </c>
      <c r="AL116" s="482" t="s">
        <v>26</v>
      </c>
      <c r="AM116" s="267" t="s">
        <v>288</v>
      </c>
      <c r="AN116" s="396" t="s">
        <v>26</v>
      </c>
      <c r="AO116" s="515" t="s">
        <v>288</v>
      </c>
      <c r="AP116" s="396" t="s">
        <v>327</v>
      </c>
      <c r="AR116" s="462"/>
      <c r="AS116" s="510">
        <f t="shared" si="31"/>
        <v>8.8435500000000005</v>
      </c>
      <c r="AT116" s="508">
        <f t="shared" si="32"/>
        <v>0.57147019907190932</v>
      </c>
      <c r="AU116" s="519"/>
      <c r="AV116" s="482" t="s">
        <v>332</v>
      </c>
      <c r="AX116" s="482" t="s">
        <v>324</v>
      </c>
      <c r="AY116" s="482" t="s">
        <v>26</v>
      </c>
      <c r="AZ116" s="267" t="s">
        <v>288</v>
      </c>
      <c r="BA116" s="396" t="s">
        <v>26</v>
      </c>
      <c r="BB116" s="515" t="s">
        <v>288</v>
      </c>
      <c r="BC116" s="396" t="s">
        <v>327</v>
      </c>
      <c r="BE116" s="482" t="s">
        <v>324</v>
      </c>
      <c r="BF116" s="482" t="s">
        <v>26</v>
      </c>
      <c r="BG116" s="267" t="s">
        <v>288</v>
      </c>
      <c r="BH116" s="523" t="s">
        <v>327</v>
      </c>
    </row>
    <row r="117" spans="1:60" ht="15" customHeight="1" x14ac:dyDescent="0.25">
      <c r="A117" s="58"/>
      <c r="B117" s="59"/>
      <c r="G117" s="152">
        <v>10</v>
      </c>
      <c r="H117" s="440">
        <f t="shared" si="25"/>
        <v>23.058000000000003</v>
      </c>
      <c r="I117" s="440">
        <f t="shared" si="26"/>
        <v>23.058000000000003</v>
      </c>
      <c r="J117" s="440">
        <f t="shared" si="27"/>
        <v>46.116000000000007</v>
      </c>
      <c r="K117" s="449">
        <f t="shared" si="28"/>
        <v>4.611600000000001</v>
      </c>
      <c r="L117" s="450">
        <f t="shared" si="20"/>
        <v>0.74500397748642166</v>
      </c>
      <c r="M117" s="440">
        <f>I117*M$111</f>
        <v>20.060460000000003</v>
      </c>
      <c r="N117" s="106">
        <f t="shared" si="30"/>
        <v>40.120920000000005</v>
      </c>
      <c r="O117" s="107">
        <f t="shared" si="21"/>
        <v>4.0120920000000009</v>
      </c>
      <c r="P117" s="457">
        <f t="shared" si="22"/>
        <v>0.64815346041318678</v>
      </c>
      <c r="Q117" s="465">
        <f>((P$123-P$117)/6*(G117-G$117)/10+P$117)/P$123</f>
        <v>0.92443298969072174</v>
      </c>
      <c r="R117"/>
      <c r="S117"/>
      <c r="AE117" s="462">
        <v>10</v>
      </c>
      <c r="AF117" s="509">
        <f t="shared" si="23"/>
        <v>23.058000000000003</v>
      </c>
      <c r="AG117" s="511">
        <f t="shared" si="24"/>
        <v>0.74500397748642166</v>
      </c>
      <c r="AH117" s="520">
        <v>0.80590371156666529</v>
      </c>
      <c r="AI117" s="512">
        <f t="shared" ref="AI117:AI123" si="33">((AG$123-AG$117)/6*(AE117-AE$117)/10+AG$117)</f>
        <v>0.74500397748642166</v>
      </c>
      <c r="AJ117" s="527">
        <f t="shared" ref="AJ117:AJ123" si="34">((AG$123-AG$117)/6*(AE117-AE$117)/10+AG$117)/AG$123</f>
        <v>0.92443298969072196</v>
      </c>
      <c r="AK117" s="507">
        <f>($AL$112*2.20462*25.4*12)</f>
        <v>645.0894489599998</v>
      </c>
      <c r="AL117" s="513">
        <f t="shared" ref="AL117:AL123" si="35">($AG117*$AL$111*SQRT(4*$AL$113*$AK117/32.2)/12)</f>
        <v>4.6114908026071664</v>
      </c>
      <c r="AM117" s="507">
        <f t="shared" ref="AM117:AM123" si="36">($AL117*$AE117)/2</f>
        <v>23.05745401303583</v>
      </c>
      <c r="AN117" s="402"/>
      <c r="AO117" s="396"/>
      <c r="AP117" s="396"/>
      <c r="AR117" s="462">
        <v>10</v>
      </c>
      <c r="AS117" s="509">
        <f t="shared" si="31"/>
        <v>20.060460000000003</v>
      </c>
      <c r="AT117" s="511">
        <f t="shared" si="32"/>
        <v>0.64815346041318678</v>
      </c>
      <c r="AU117" s="520"/>
      <c r="AV117" s="512">
        <f t="shared" ref="AV117:AV123" si="37">((AT$123-AT$117)/6*(AR117-AR$117)/10+AT$117)</f>
        <v>0.64815346041318678</v>
      </c>
      <c r="AW117" s="522">
        <f t="shared" ref="AW117:AW123" si="38">((AT$123-AT$117)/6*(AR117-AR$117)/10+AT$117)/AT$123</f>
        <v>0.92443298969072174</v>
      </c>
      <c r="AX117" s="507">
        <f>($AL$112*2.20462*25.4*12)</f>
        <v>645.0894489599998</v>
      </c>
      <c r="AY117" s="513">
        <f>($AT117*$AL$111*SQRT(4*$AL$113*$AX117/32.2)/12)</f>
        <v>4.0119969982682351</v>
      </c>
      <c r="AZ117" s="507">
        <f>($AY117*$AR117)/2</f>
        <v>20.059984991341175</v>
      </c>
      <c r="BA117" s="514">
        <f t="shared" ref="BA117:BA123" si="39">($AV117*$AL$111*SQRT(4*$AL$113*$AX117/32.2)/12)</f>
        <v>4.0119969982682351</v>
      </c>
      <c r="BB117" s="402">
        <f>($BA117*$AR117)/2</f>
        <v>20.059984991341175</v>
      </c>
      <c r="BC117" s="396"/>
      <c r="BD117" s="511">
        <v>0.7</v>
      </c>
      <c r="BE117" s="507">
        <f>($AL$112*2.20462*25.4*12)</f>
        <v>645.0894489599998</v>
      </c>
      <c r="BF117" s="513">
        <f>($BD117*$AL$111*SQRT(4*$AL$113*$BE117/32.2)/12)</f>
        <v>4.3329212452209367</v>
      </c>
      <c r="BG117" s="507">
        <f>($BF117*$AR117)/2</f>
        <v>21.664606226104684</v>
      </c>
      <c r="BH117" s="523"/>
    </row>
    <row r="118" spans="1:60" ht="15" customHeight="1" x14ac:dyDescent="0.25">
      <c r="A118" s="58"/>
      <c r="B118" s="59"/>
      <c r="G118" s="147">
        <v>20</v>
      </c>
      <c r="H118" s="439">
        <f t="shared" si="25"/>
        <v>45.8</v>
      </c>
      <c r="I118" s="439">
        <f t="shared" si="26"/>
        <v>45.8</v>
      </c>
      <c r="J118" s="439">
        <f t="shared" si="27"/>
        <v>91.6</v>
      </c>
      <c r="K118" s="447">
        <f t="shared" si="28"/>
        <v>4.58</v>
      </c>
      <c r="L118" s="448">
        <f t="shared" si="20"/>
        <v>0.73989899750364518</v>
      </c>
      <c r="M118" s="439">
        <f t="shared" si="29"/>
        <v>39.845999999999997</v>
      </c>
      <c r="N118" s="98">
        <f t="shared" si="30"/>
        <v>79.691999999999993</v>
      </c>
      <c r="O118" s="99">
        <f t="shared" si="21"/>
        <v>3.9845999999999995</v>
      </c>
      <c r="P118" s="456">
        <f t="shared" si="22"/>
        <v>0.64371212782817122</v>
      </c>
      <c r="Q118" s="465">
        <f t="shared" ref="Q118:Q123" si="40">((P$123-P$117)/6*(G118-G$117)/10+P$117)/P$123</f>
        <v>0.93702749140893482</v>
      </c>
      <c r="R118"/>
      <c r="S118"/>
      <c r="AE118" s="462">
        <v>20</v>
      </c>
      <c r="AF118" s="510">
        <f t="shared" si="23"/>
        <v>45.8</v>
      </c>
      <c r="AG118" s="508">
        <f t="shared" si="24"/>
        <v>0.73989899750364518</v>
      </c>
      <c r="AH118" s="521">
        <v>0.80590371156666529</v>
      </c>
      <c r="AI118" s="512">
        <f t="shared" si="33"/>
        <v>0.75515393316646229</v>
      </c>
      <c r="AJ118" s="527">
        <f t="shared" si="34"/>
        <v>0.93702749140893504</v>
      </c>
      <c r="AK118" s="507">
        <f t="shared" ref="AK118:AK123" si="41">($AL$112*2.20462*25.4*12)</f>
        <v>645.0894489599998</v>
      </c>
      <c r="AL118" s="513">
        <f t="shared" si="35"/>
        <v>4.5798915508588811</v>
      </c>
      <c r="AM118" s="507">
        <f t="shared" si="36"/>
        <v>45.798915508588813</v>
      </c>
      <c r="AN118" s="402"/>
      <c r="AO118" s="396"/>
      <c r="AP118" s="396"/>
      <c r="AR118" s="462">
        <v>20</v>
      </c>
      <c r="AS118" s="510">
        <f t="shared" si="31"/>
        <v>39.845999999999997</v>
      </c>
      <c r="AT118" s="508">
        <f t="shared" si="32"/>
        <v>0.64371212782817122</v>
      </c>
      <c r="AU118" s="521"/>
      <c r="AV118" s="512">
        <f t="shared" si="37"/>
        <v>0.65698392185482213</v>
      </c>
      <c r="AW118" s="522">
        <f t="shared" si="38"/>
        <v>0.93702749140893482</v>
      </c>
      <c r="AX118" s="507">
        <f t="shared" ref="AX118:AX123" si="42">($AL$112*2.20462*25.4*12)</f>
        <v>645.0894489599998</v>
      </c>
      <c r="AY118" s="513">
        <f t="shared" ref="AY118:AY123" si="43">($AT118*$AL$111*SQRT(4*$AL$113*$AX118/32.2)/12)</f>
        <v>3.9845056492472257</v>
      </c>
      <c r="AZ118" s="507">
        <f t="shared" ref="AZ118:AZ123" si="44">($AY118*$AR118)/2</f>
        <v>39.84505649247226</v>
      </c>
      <c r="BA118" s="514">
        <f t="shared" si="39"/>
        <v>4.0666565611047574</v>
      </c>
      <c r="BB118" s="402">
        <f t="shared" ref="BB118:BB123" si="45">($BA118*$AR118)/2</f>
        <v>40.666565611047574</v>
      </c>
      <c r="BC118" s="396"/>
      <c r="BD118" s="508">
        <v>0.7</v>
      </c>
      <c r="BE118" s="507">
        <f t="shared" ref="BE118:BE123" si="46">($AL$112*2.20462*25.4*12)</f>
        <v>645.0894489599998</v>
      </c>
      <c r="BF118" s="513">
        <f t="shared" ref="BF118:BF123" si="47">($BD118*$AL$111*SQRT(4*$AL$113*$BE118/32.2)/12)</f>
        <v>4.3329212452209367</v>
      </c>
      <c r="BG118" s="507">
        <f t="shared" ref="BG118:BG123" si="48">($BF118*$AR118)/2</f>
        <v>43.329212452209369</v>
      </c>
      <c r="BH118" s="523"/>
    </row>
    <row r="119" spans="1:60" ht="15" customHeight="1" x14ac:dyDescent="0.25">
      <c r="A119" s="58"/>
      <c r="B119" s="59"/>
      <c r="G119" s="147">
        <v>30</v>
      </c>
      <c r="H119" s="439">
        <f t="shared" si="25"/>
        <v>68.7</v>
      </c>
      <c r="I119" s="439">
        <f t="shared" si="26"/>
        <v>68.7</v>
      </c>
      <c r="J119" s="439">
        <f t="shared" si="27"/>
        <v>137.4</v>
      </c>
      <c r="K119" s="447">
        <f t="shared" si="28"/>
        <v>4.58</v>
      </c>
      <c r="L119" s="448">
        <f t="shared" si="20"/>
        <v>0.73989899750364518</v>
      </c>
      <c r="M119" s="439">
        <f t="shared" si="29"/>
        <v>59.769000000000005</v>
      </c>
      <c r="N119" s="98">
        <f>M119*2</f>
        <v>119.53800000000001</v>
      </c>
      <c r="O119" s="99">
        <f t="shared" si="21"/>
        <v>3.9846000000000004</v>
      </c>
      <c r="P119" s="456">
        <f t="shared" si="22"/>
        <v>0.64371212782817133</v>
      </c>
      <c r="Q119" s="465">
        <f t="shared" si="40"/>
        <v>0.94962199312714779</v>
      </c>
      <c r="R119"/>
      <c r="S119"/>
      <c r="AE119" s="462">
        <v>30</v>
      </c>
      <c r="AF119" s="509">
        <f t="shared" si="23"/>
        <v>68.7</v>
      </c>
      <c r="AG119" s="511">
        <f t="shared" si="24"/>
        <v>0.73989899750364518</v>
      </c>
      <c r="AH119" s="520">
        <v>0.80590371156666529</v>
      </c>
      <c r="AI119" s="512">
        <f t="shared" si="33"/>
        <v>0.76530388884650291</v>
      </c>
      <c r="AJ119" s="527">
        <f t="shared" si="34"/>
        <v>0.94962199312714801</v>
      </c>
      <c r="AK119" s="507">
        <f t="shared" si="41"/>
        <v>645.0894489599998</v>
      </c>
      <c r="AL119" s="513">
        <f t="shared" si="35"/>
        <v>4.5798915508588811</v>
      </c>
      <c r="AM119" s="507">
        <f t="shared" si="36"/>
        <v>68.698373262883223</v>
      </c>
      <c r="AN119" s="514">
        <f>($AI119*$AL$111*SQRT(4*$AL$113*$AK119/32.2)/12)</f>
        <v>4.7371449700474493</v>
      </c>
      <c r="AO119" s="402">
        <f>($AN119*$AE119)/2</f>
        <v>71.057174550711736</v>
      </c>
      <c r="AP119" s="402">
        <f>AO119-AF119</f>
        <v>2.3571745507117328</v>
      </c>
      <c r="AR119" s="462">
        <v>30</v>
      </c>
      <c r="AS119" s="509">
        <f t="shared" si="31"/>
        <v>59.769000000000005</v>
      </c>
      <c r="AT119" s="511">
        <f t="shared" si="32"/>
        <v>0.64371212782817133</v>
      </c>
      <c r="AU119" s="520"/>
      <c r="AV119" s="512">
        <f t="shared" si="37"/>
        <v>0.66581438329645748</v>
      </c>
      <c r="AW119" s="522">
        <f t="shared" si="38"/>
        <v>0.94962199312714779</v>
      </c>
      <c r="AX119" s="507">
        <f t="shared" si="42"/>
        <v>645.0894489599998</v>
      </c>
      <c r="AY119" s="513">
        <f t="shared" si="43"/>
        <v>3.9845056492472271</v>
      </c>
      <c r="AZ119" s="507">
        <f t="shared" si="44"/>
        <v>59.767584738708408</v>
      </c>
      <c r="BA119" s="514">
        <f t="shared" si="39"/>
        <v>4.1213161239412806</v>
      </c>
      <c r="BB119" s="402">
        <f t="shared" si="45"/>
        <v>61.819741859119205</v>
      </c>
      <c r="BC119" s="402">
        <f>BB119-AS119</f>
        <v>2.0507418591191993</v>
      </c>
      <c r="BD119" s="511">
        <v>0.7</v>
      </c>
      <c r="BE119" s="507">
        <f t="shared" si="46"/>
        <v>645.0894489599998</v>
      </c>
      <c r="BF119" s="513">
        <f t="shared" si="47"/>
        <v>4.3329212452209367</v>
      </c>
      <c r="BG119" s="507">
        <f t="shared" si="48"/>
        <v>64.993818678314057</v>
      </c>
      <c r="BH119" s="524">
        <f>BG119-AS119</f>
        <v>5.2248186783140511</v>
      </c>
    </row>
    <row r="120" spans="1:60" ht="15" customHeight="1" x14ac:dyDescent="0.25">
      <c r="A120" s="58"/>
      <c r="B120" s="59"/>
      <c r="G120" s="147">
        <v>40</v>
      </c>
      <c r="H120" s="439">
        <f t="shared" si="25"/>
        <v>94.5</v>
      </c>
      <c r="I120" s="439">
        <f t="shared" si="26"/>
        <v>94.5</v>
      </c>
      <c r="J120" s="439">
        <f t="shared" si="27"/>
        <v>189</v>
      </c>
      <c r="K120" s="447">
        <f t="shared" si="28"/>
        <v>4.7249999999999996</v>
      </c>
      <c r="L120" s="448">
        <f t="shared" si="20"/>
        <v>0.76332374742461206</v>
      </c>
      <c r="M120" s="439">
        <f t="shared" si="29"/>
        <v>82.215000000000003</v>
      </c>
      <c r="N120" s="98">
        <f t="shared" ref="N120:N123" si="49">M120*2</f>
        <v>164.43</v>
      </c>
      <c r="O120" s="99">
        <f t="shared" si="21"/>
        <v>4.1107500000000003</v>
      </c>
      <c r="P120" s="456">
        <f t="shared" si="22"/>
        <v>0.66409166025941258</v>
      </c>
      <c r="Q120" s="465">
        <f t="shared" si="40"/>
        <v>0.96221649484536087</v>
      </c>
      <c r="R120"/>
      <c r="S120"/>
      <c r="AE120" s="462">
        <v>40</v>
      </c>
      <c r="AF120" s="510">
        <f t="shared" si="23"/>
        <v>94.5</v>
      </c>
      <c r="AG120" s="508">
        <f t="shared" si="24"/>
        <v>0.76332374742461206</v>
      </c>
      <c r="AH120" s="521">
        <v>0.80590371156666529</v>
      </c>
      <c r="AI120" s="512">
        <f t="shared" si="33"/>
        <v>0.77545384452654353</v>
      </c>
      <c r="AJ120" s="527">
        <f t="shared" si="34"/>
        <v>0.96221649484536109</v>
      </c>
      <c r="AK120" s="507">
        <f t="shared" si="41"/>
        <v>645.0894489599998</v>
      </c>
      <c r="AL120" s="513">
        <f t="shared" si="35"/>
        <v>4.7248881174253734</v>
      </c>
      <c r="AM120" s="507">
        <f t="shared" si="36"/>
        <v>94.497762348507464</v>
      </c>
      <c r="AN120" s="402"/>
      <c r="AO120" s="402"/>
      <c r="AP120" s="402"/>
      <c r="AQ120" s="396"/>
      <c r="AR120" s="462">
        <v>40</v>
      </c>
      <c r="AS120" s="510">
        <f t="shared" si="31"/>
        <v>82.215000000000003</v>
      </c>
      <c r="AT120" s="508">
        <f t="shared" si="32"/>
        <v>0.66409166025941258</v>
      </c>
      <c r="AU120" s="521"/>
      <c r="AV120" s="512">
        <f t="shared" si="37"/>
        <v>0.67464484473809283</v>
      </c>
      <c r="AW120" s="522">
        <f t="shared" si="38"/>
        <v>0.96221649484536087</v>
      </c>
      <c r="AX120" s="507">
        <f t="shared" si="42"/>
        <v>645.0894489599998</v>
      </c>
      <c r="AY120" s="513">
        <f t="shared" si="43"/>
        <v>4.1106526621600752</v>
      </c>
      <c r="AZ120" s="507">
        <f t="shared" si="44"/>
        <v>82.2130532432015</v>
      </c>
      <c r="BA120" s="514">
        <f t="shared" si="39"/>
        <v>4.1759756867778037</v>
      </c>
      <c r="BB120" s="402">
        <f t="shared" si="45"/>
        <v>83.519513735556075</v>
      </c>
      <c r="BC120" s="402"/>
      <c r="BD120" s="508">
        <v>0.7</v>
      </c>
      <c r="BE120" s="507">
        <f t="shared" si="46"/>
        <v>645.0894489599998</v>
      </c>
      <c r="BF120" s="513">
        <f t="shared" si="47"/>
        <v>4.3329212452209367</v>
      </c>
      <c r="BG120" s="507">
        <f t="shared" si="48"/>
        <v>86.658424904418737</v>
      </c>
      <c r="BH120" s="524"/>
    </row>
    <row r="121" spans="1:60" ht="15" customHeight="1" x14ac:dyDescent="0.25">
      <c r="A121" s="58"/>
      <c r="B121" s="59"/>
      <c r="G121" s="147">
        <v>50</v>
      </c>
      <c r="H121" s="439">
        <f t="shared" si="25"/>
        <v>121.5</v>
      </c>
      <c r="I121" s="439">
        <f t="shared" si="26"/>
        <v>121.5</v>
      </c>
      <c r="J121" s="439">
        <f t="shared" si="27"/>
        <v>243</v>
      </c>
      <c r="K121" s="447">
        <f t="shared" si="28"/>
        <v>4.8600000000000003</v>
      </c>
      <c r="L121" s="448">
        <f t="shared" si="20"/>
        <v>0.78513299735102959</v>
      </c>
      <c r="M121" s="439">
        <f t="shared" si="29"/>
        <v>105.705</v>
      </c>
      <c r="N121" s="98">
        <f t="shared" si="49"/>
        <v>211.41</v>
      </c>
      <c r="O121" s="99">
        <f t="shared" si="21"/>
        <v>4.2282000000000002</v>
      </c>
      <c r="P121" s="456">
        <f t="shared" si="22"/>
        <v>0.68306570769539576</v>
      </c>
      <c r="Q121" s="465">
        <f t="shared" si="40"/>
        <v>0.97481099656357395</v>
      </c>
      <c r="R121"/>
      <c r="S121"/>
      <c r="AE121" s="462">
        <v>50</v>
      </c>
      <c r="AF121" s="510">
        <f t="shared" si="23"/>
        <v>121.5</v>
      </c>
      <c r="AG121" s="508">
        <f t="shared" si="24"/>
        <v>0.78513299735102959</v>
      </c>
      <c r="AH121" s="521">
        <v>0.80590371156666529</v>
      </c>
      <c r="AI121" s="512">
        <f t="shared" si="33"/>
        <v>0.78560380020658405</v>
      </c>
      <c r="AJ121" s="527">
        <f t="shared" si="34"/>
        <v>0.97481099656357395</v>
      </c>
      <c r="AK121" s="507">
        <f t="shared" si="41"/>
        <v>645.0894489599998</v>
      </c>
      <c r="AL121" s="513">
        <f t="shared" si="35"/>
        <v>4.8598849207803854</v>
      </c>
      <c r="AM121" s="507">
        <f t="shared" si="36"/>
        <v>121.49712301950963</v>
      </c>
      <c r="AN121" s="402"/>
      <c r="AO121" s="396"/>
      <c r="AP121" s="402"/>
      <c r="AQ121" s="396"/>
      <c r="AR121" s="462">
        <v>50</v>
      </c>
      <c r="AS121" s="510">
        <f t="shared" si="31"/>
        <v>105.705</v>
      </c>
      <c r="AT121" s="508">
        <f t="shared" si="32"/>
        <v>0.68306570769539576</v>
      </c>
      <c r="AU121" s="521"/>
      <c r="AV121" s="512">
        <f t="shared" si="37"/>
        <v>0.68347530617972818</v>
      </c>
      <c r="AW121" s="522">
        <f t="shared" si="38"/>
        <v>0.97481099656357395</v>
      </c>
      <c r="AX121" s="507">
        <f t="shared" si="42"/>
        <v>645.0894489599998</v>
      </c>
      <c r="AY121" s="513">
        <f t="shared" si="43"/>
        <v>4.2280998810789345</v>
      </c>
      <c r="AZ121" s="507">
        <f t="shared" si="44"/>
        <v>105.70249702697336</v>
      </c>
      <c r="BA121" s="514">
        <f t="shared" si="39"/>
        <v>4.230635249614326</v>
      </c>
      <c r="BB121" s="402">
        <f t="shared" si="45"/>
        <v>105.76588124035815</v>
      </c>
      <c r="BC121" s="402"/>
      <c r="BD121" s="508">
        <v>0.7</v>
      </c>
      <c r="BE121" s="507">
        <f t="shared" si="46"/>
        <v>645.0894489599998</v>
      </c>
      <c r="BF121" s="513">
        <f t="shared" si="47"/>
        <v>4.3329212452209367</v>
      </c>
      <c r="BG121" s="507">
        <f t="shared" si="48"/>
        <v>108.32303113052342</v>
      </c>
      <c r="BH121" s="524"/>
    </row>
    <row r="122" spans="1:60" ht="15" customHeight="1" x14ac:dyDescent="0.25">
      <c r="A122" s="58"/>
      <c r="B122" s="59"/>
      <c r="G122" s="147">
        <v>60</v>
      </c>
      <c r="H122" s="439">
        <f t="shared" si="25"/>
        <v>147.9</v>
      </c>
      <c r="I122" s="439">
        <f t="shared" si="26"/>
        <v>147.9</v>
      </c>
      <c r="J122" s="439">
        <f t="shared" si="27"/>
        <v>295.8</v>
      </c>
      <c r="K122" s="447">
        <f t="shared" si="28"/>
        <v>4.9300000000000006</v>
      </c>
      <c r="L122" s="448">
        <f t="shared" si="20"/>
        <v>0.79644149731287583</v>
      </c>
      <c r="M122" s="439">
        <f t="shared" si="29"/>
        <v>128.673</v>
      </c>
      <c r="N122" s="98">
        <f t="shared" si="49"/>
        <v>257.346</v>
      </c>
      <c r="O122" s="99">
        <f t="shared" si="21"/>
        <v>4.2891000000000004</v>
      </c>
      <c r="P122" s="456">
        <f t="shared" si="22"/>
        <v>0.69290410266220193</v>
      </c>
      <c r="Q122" s="465">
        <f t="shared" si="40"/>
        <v>0.98740549828178692</v>
      </c>
      <c r="R122"/>
      <c r="S122"/>
      <c r="AE122" s="462">
        <v>60</v>
      </c>
      <c r="AF122" s="510">
        <f t="shared" si="23"/>
        <v>147.9</v>
      </c>
      <c r="AG122" s="508">
        <f t="shared" si="24"/>
        <v>0.79644149731287583</v>
      </c>
      <c r="AH122" s="521">
        <v>0.80590371156666529</v>
      </c>
      <c r="AI122" s="512">
        <f t="shared" si="33"/>
        <v>0.79575375588662467</v>
      </c>
      <c r="AJ122" s="527">
        <f t="shared" si="34"/>
        <v>0.98740549828178692</v>
      </c>
      <c r="AK122" s="507">
        <f t="shared" si="41"/>
        <v>645.0894489599998</v>
      </c>
      <c r="AL122" s="513">
        <f t="shared" si="35"/>
        <v>4.9298832632607619</v>
      </c>
      <c r="AM122" s="507">
        <f t="shared" si="36"/>
        <v>147.89649789782285</v>
      </c>
      <c r="AN122" s="402"/>
      <c r="AO122" s="402"/>
      <c r="AP122" s="402"/>
      <c r="AQ122" s="396"/>
      <c r="AR122" s="462">
        <v>60</v>
      </c>
      <c r="AS122" s="510">
        <f t="shared" si="31"/>
        <v>128.673</v>
      </c>
      <c r="AT122" s="508">
        <f t="shared" si="32"/>
        <v>0.69290410266220193</v>
      </c>
      <c r="AU122" s="521"/>
      <c r="AV122" s="512">
        <f t="shared" si="37"/>
        <v>0.69230576762136353</v>
      </c>
      <c r="AW122" s="522">
        <f t="shared" si="38"/>
        <v>0.98740549828178692</v>
      </c>
      <c r="AX122" s="507">
        <f t="shared" si="42"/>
        <v>645.0894489599998</v>
      </c>
      <c r="AY122" s="513">
        <f t="shared" si="43"/>
        <v>4.2889984390368623</v>
      </c>
      <c r="AZ122" s="507">
        <f t="shared" si="44"/>
        <v>128.66995317110587</v>
      </c>
      <c r="BA122" s="514">
        <f t="shared" si="39"/>
        <v>4.2852948124508501</v>
      </c>
      <c r="BB122" s="402">
        <f t="shared" si="45"/>
        <v>128.55884437352552</v>
      </c>
      <c r="BC122" s="402"/>
      <c r="BD122" s="508">
        <v>0.7</v>
      </c>
      <c r="BE122" s="507">
        <f t="shared" si="46"/>
        <v>645.0894489599998</v>
      </c>
      <c r="BF122" s="513">
        <f t="shared" si="47"/>
        <v>4.3329212452209367</v>
      </c>
      <c r="BG122" s="507">
        <f t="shared" si="48"/>
        <v>129.98763735662811</v>
      </c>
    </row>
    <row r="123" spans="1:60" ht="15" customHeight="1" thickBot="1" x14ac:dyDescent="0.3">
      <c r="A123" s="58"/>
      <c r="G123" s="157">
        <v>70</v>
      </c>
      <c r="H123" s="441">
        <f t="shared" si="25"/>
        <v>174.6</v>
      </c>
      <c r="I123" s="441">
        <f t="shared" si="26"/>
        <v>174.6</v>
      </c>
      <c r="J123" s="441">
        <f t="shared" si="27"/>
        <v>349.2</v>
      </c>
      <c r="K123" s="451">
        <f>(J123/$G123)</f>
        <v>4.9885714285714284</v>
      </c>
      <c r="L123" s="452">
        <f t="shared" si="20"/>
        <v>0.80590371156666529</v>
      </c>
      <c r="M123" s="441">
        <f t="shared" si="29"/>
        <v>151.90199999999999</v>
      </c>
      <c r="N123" s="442">
        <f t="shared" si="49"/>
        <v>303.80399999999997</v>
      </c>
      <c r="O123" s="231">
        <f t="shared" si="21"/>
        <v>4.3400571428571428</v>
      </c>
      <c r="P123" s="458">
        <f t="shared" si="22"/>
        <v>0.70113622906299888</v>
      </c>
      <c r="Q123" s="465">
        <f t="shared" si="40"/>
        <v>1</v>
      </c>
      <c r="R123"/>
      <c r="S123"/>
      <c r="AE123" s="462">
        <v>70</v>
      </c>
      <c r="AF123" s="509">
        <f t="shared" si="23"/>
        <v>174.6</v>
      </c>
      <c r="AG123" s="511">
        <f t="shared" si="24"/>
        <v>0.80590371156666529</v>
      </c>
      <c r="AH123" s="520">
        <v>0.80590371156666529</v>
      </c>
      <c r="AI123" s="512">
        <f t="shared" si="33"/>
        <v>0.80590371156666529</v>
      </c>
      <c r="AJ123" s="527">
        <f t="shared" si="34"/>
        <v>1</v>
      </c>
      <c r="AK123" s="507">
        <f t="shared" si="41"/>
        <v>645.0894489599998</v>
      </c>
      <c r="AL123" s="513">
        <f t="shared" si="35"/>
        <v>4.9884533049280133</v>
      </c>
      <c r="AM123" s="507">
        <f t="shared" si="36"/>
        <v>174.59586567248047</v>
      </c>
      <c r="AN123" s="402"/>
      <c r="AO123" s="402"/>
      <c r="AP123" s="402"/>
      <c r="AQ123" s="396"/>
      <c r="AR123" s="462">
        <v>70</v>
      </c>
      <c r="AS123" s="509">
        <f t="shared" si="31"/>
        <v>151.90199999999999</v>
      </c>
      <c r="AT123" s="511">
        <f t="shared" si="32"/>
        <v>0.70113622906299888</v>
      </c>
      <c r="AU123" s="520"/>
      <c r="AV123" s="512">
        <f t="shared" si="37"/>
        <v>0.70113622906299888</v>
      </c>
      <c r="AW123" s="522">
        <f t="shared" si="38"/>
        <v>1</v>
      </c>
      <c r="AX123" s="507">
        <f t="shared" si="42"/>
        <v>645.0894489599998</v>
      </c>
      <c r="AY123" s="513">
        <f t="shared" si="43"/>
        <v>4.3399543752873724</v>
      </c>
      <c r="AZ123" s="507">
        <f t="shared" si="44"/>
        <v>151.89840313505803</v>
      </c>
      <c r="BA123" s="514">
        <f t="shared" si="39"/>
        <v>4.3399543752873724</v>
      </c>
      <c r="BB123" s="402">
        <f t="shared" si="45"/>
        <v>151.89840313505803</v>
      </c>
      <c r="BC123" s="402"/>
      <c r="BD123" s="511">
        <v>0.7</v>
      </c>
      <c r="BE123" s="507">
        <f t="shared" si="46"/>
        <v>645.0894489599998</v>
      </c>
      <c r="BF123" s="513">
        <f t="shared" si="47"/>
        <v>4.3329212452209367</v>
      </c>
      <c r="BG123" s="507">
        <f t="shared" si="48"/>
        <v>151.65224358273278</v>
      </c>
    </row>
    <row r="124" spans="1:60" ht="15" customHeight="1" x14ac:dyDescent="0.25">
      <c r="A124" s="58"/>
      <c r="M124" s="401"/>
      <c r="Q124"/>
      <c r="R124"/>
      <c r="AG124" s="401">
        <f>AG119/AG123</f>
        <v>0.91809851088201611</v>
      </c>
      <c r="AH124" s="401"/>
      <c r="AQ124" s="396"/>
      <c r="AT124" s="401">
        <f>AT119/AT123</f>
        <v>0.91809851088201599</v>
      </c>
      <c r="AU124"/>
    </row>
    <row r="125" spans="1:60" ht="15" customHeight="1" x14ac:dyDescent="0.25">
      <c r="A125" s="58"/>
      <c r="Q125"/>
      <c r="R125"/>
      <c r="V125" s="401"/>
      <c r="AU125"/>
      <c r="AV125"/>
      <c r="AW125"/>
      <c r="AX125"/>
      <c r="AY125"/>
      <c r="AZ125"/>
      <c r="BA125"/>
      <c r="BB125"/>
    </row>
    <row r="126" spans="1:60" ht="15" customHeight="1" x14ac:dyDescent="0.25">
      <c r="A126" s="58"/>
      <c r="Q126"/>
      <c r="R126"/>
    </row>
    <row r="127" spans="1:60" ht="15" customHeight="1" x14ac:dyDescent="0.25">
      <c r="A127" s="58"/>
      <c r="Q127"/>
      <c r="R127"/>
      <c r="AE127"/>
      <c r="AF127" s="464">
        <f>(AF134-AF128)/6</f>
        <v>1.0149955680040604E-2</v>
      </c>
      <c r="AG127" s="482" t="s">
        <v>332</v>
      </c>
      <c r="AH127"/>
      <c r="AI127"/>
      <c r="AR127"/>
      <c r="AS127" s="464">
        <f>(AS134-AS128)/6</f>
        <v>8.8304614416353511E-3</v>
      </c>
      <c r="AT127" s="482" t="s">
        <v>332</v>
      </c>
      <c r="AU127"/>
    </row>
    <row r="128" spans="1:60" ht="15" customHeight="1" x14ac:dyDescent="0.25">
      <c r="A128" s="58"/>
      <c r="L128" s="401"/>
      <c r="M128" s="401"/>
      <c r="P128" s="401"/>
      <c r="AE128" s="2">
        <v>1</v>
      </c>
      <c r="AF128" s="512">
        <f>AG117</f>
        <v>0.74500397748642166</v>
      </c>
      <c r="AG128" s="512">
        <f>AF128</f>
        <v>0.74500397748642166</v>
      </c>
      <c r="AI128"/>
      <c r="AR128" s="2">
        <v>1</v>
      </c>
      <c r="AS128" s="512">
        <f>AT117</f>
        <v>0.64815346041318678</v>
      </c>
      <c r="AT128" s="512">
        <f>AS128</f>
        <v>0.64815346041318678</v>
      </c>
    </row>
    <row r="129" spans="1:65" ht="15" customHeight="1" x14ac:dyDescent="0.25">
      <c r="A129" s="58"/>
      <c r="M129" s="401"/>
      <c r="P129" s="401"/>
      <c r="AE129" s="2">
        <v>2</v>
      </c>
      <c r="AF129" s="512">
        <f t="shared" ref="AF129:AF134" si="50">AG118</f>
        <v>0.73989899750364518</v>
      </c>
      <c r="AG129" s="512">
        <f t="shared" ref="AG129:AG134" si="51">AG128+AF$127</f>
        <v>0.75515393316646229</v>
      </c>
      <c r="AH129" s="512">
        <f t="shared" ref="AH129:AH134" si="52">AG129-AG128</f>
        <v>1.0149955680040623E-2</v>
      </c>
      <c r="AR129" s="2">
        <v>2</v>
      </c>
      <c r="AS129" s="512">
        <f t="shared" ref="AS129:AS134" si="53">AT118</f>
        <v>0.64371212782817122</v>
      </c>
      <c r="AT129" s="512">
        <f t="shared" ref="AT129:AT134" si="54">AT128+AS$127</f>
        <v>0.65698392185482213</v>
      </c>
      <c r="AU129" s="512">
        <f t="shared" ref="AU129:AU134" si="55">AT129-AT128</f>
        <v>8.8304614416353511E-3</v>
      </c>
    </row>
    <row r="130" spans="1:65" ht="15" customHeight="1" x14ac:dyDescent="0.25">
      <c r="A130" s="58"/>
      <c r="L130" s="401"/>
      <c r="M130" s="401"/>
      <c r="AE130" s="2">
        <v>3</v>
      </c>
      <c r="AF130" s="512">
        <f t="shared" si="50"/>
        <v>0.73989899750364518</v>
      </c>
      <c r="AG130" s="512">
        <f t="shared" si="51"/>
        <v>0.76530388884650291</v>
      </c>
      <c r="AH130" s="512">
        <f t="shared" si="52"/>
        <v>1.0149955680040623E-2</v>
      </c>
      <c r="AR130" s="2">
        <v>3</v>
      </c>
      <c r="AS130" s="512">
        <f t="shared" si="53"/>
        <v>0.64371212782817133</v>
      </c>
      <c r="AT130" s="512">
        <f t="shared" si="54"/>
        <v>0.66581438329645748</v>
      </c>
      <c r="AU130" s="512">
        <f t="shared" si="55"/>
        <v>8.8304614416353511E-3</v>
      </c>
    </row>
    <row r="131" spans="1:65" ht="15" customHeight="1" x14ac:dyDescent="0.25">
      <c r="A131" s="58"/>
      <c r="L131" s="401"/>
      <c r="M131" s="401"/>
      <c r="P131" s="401"/>
      <c r="AE131" s="2">
        <v>4</v>
      </c>
      <c r="AF131" s="512">
        <f t="shared" si="50"/>
        <v>0.76332374742461206</v>
      </c>
      <c r="AG131" s="512">
        <f t="shared" si="51"/>
        <v>0.77545384452654353</v>
      </c>
      <c r="AH131" s="512">
        <f t="shared" si="52"/>
        <v>1.0149955680040623E-2</v>
      </c>
      <c r="AR131" s="2">
        <v>4</v>
      </c>
      <c r="AS131" s="512">
        <f t="shared" si="53"/>
        <v>0.66409166025941258</v>
      </c>
      <c r="AT131" s="512">
        <f t="shared" si="54"/>
        <v>0.67464484473809283</v>
      </c>
      <c r="AU131" s="512">
        <f t="shared" si="55"/>
        <v>8.8304614416353511E-3</v>
      </c>
    </row>
    <row r="132" spans="1:65" ht="15" customHeight="1" x14ac:dyDescent="0.25">
      <c r="A132" s="62" t="s">
        <v>71</v>
      </c>
      <c r="B132" s="63"/>
      <c r="C132" s="64"/>
      <c r="L132" s="401"/>
      <c r="M132" s="401"/>
      <c r="P132" s="401"/>
      <c r="AE132" s="2">
        <v>5</v>
      </c>
      <c r="AF132" s="512">
        <f t="shared" si="50"/>
        <v>0.78513299735102959</v>
      </c>
      <c r="AG132" s="512">
        <f t="shared" si="51"/>
        <v>0.78560380020658416</v>
      </c>
      <c r="AH132" s="512">
        <f t="shared" si="52"/>
        <v>1.0149955680040623E-2</v>
      </c>
      <c r="AR132" s="2">
        <v>5</v>
      </c>
      <c r="AS132" s="512">
        <f t="shared" si="53"/>
        <v>0.68306570769539576</v>
      </c>
      <c r="AT132" s="512">
        <f t="shared" si="54"/>
        <v>0.68347530617972818</v>
      </c>
      <c r="AU132" s="512">
        <f t="shared" si="55"/>
        <v>8.8304614416353511E-3</v>
      </c>
    </row>
    <row r="133" spans="1:65" ht="15" customHeight="1" x14ac:dyDescent="0.25">
      <c r="A133" s="58"/>
      <c r="L133" s="401"/>
      <c r="M133" s="401"/>
      <c r="P133" s="401"/>
      <c r="AE133" s="2">
        <v>6</v>
      </c>
      <c r="AF133" s="512">
        <f t="shared" si="50"/>
        <v>0.79644149731287583</v>
      </c>
      <c r="AG133" s="512">
        <f t="shared" si="51"/>
        <v>0.79575375588662478</v>
      </c>
      <c r="AH133" s="512">
        <f t="shared" si="52"/>
        <v>1.0149955680040623E-2</v>
      </c>
      <c r="AR133" s="2">
        <v>6</v>
      </c>
      <c r="AS133" s="512">
        <f t="shared" si="53"/>
        <v>0.69290410266220193</v>
      </c>
      <c r="AT133" s="512">
        <f t="shared" si="54"/>
        <v>0.69230576762136353</v>
      </c>
      <c r="AU133" s="512">
        <f t="shared" si="55"/>
        <v>8.8304614416353511E-3</v>
      </c>
    </row>
    <row r="134" spans="1:65" ht="15" customHeight="1" x14ac:dyDescent="0.25">
      <c r="A134" s="58"/>
      <c r="L134" s="401"/>
      <c r="M134" s="401"/>
      <c r="P134" s="401"/>
      <c r="AE134" s="2">
        <v>7</v>
      </c>
      <c r="AF134" s="512">
        <f t="shared" si="50"/>
        <v>0.80590371156666529</v>
      </c>
      <c r="AG134" s="512">
        <f t="shared" si="51"/>
        <v>0.8059037115666654</v>
      </c>
      <c r="AH134" s="512">
        <f t="shared" si="52"/>
        <v>1.0149955680040623E-2</v>
      </c>
      <c r="AR134" s="2">
        <v>7</v>
      </c>
      <c r="AS134" s="512">
        <f t="shared" si="53"/>
        <v>0.70113622906299888</v>
      </c>
      <c r="AT134" s="512">
        <f t="shared" si="54"/>
        <v>0.70113622906299888</v>
      </c>
      <c r="AU134" s="512">
        <f t="shared" si="55"/>
        <v>8.8304614416353511E-3</v>
      </c>
    </row>
    <row r="135" spans="1:65" ht="15" customHeight="1" x14ac:dyDescent="0.25">
      <c r="A135" s="58"/>
      <c r="B135" s="59"/>
      <c r="C135" s="112" t="s">
        <v>43</v>
      </c>
      <c r="D135" s="65" t="s">
        <v>74</v>
      </c>
      <c r="AF135" s="178"/>
      <c r="AG135" s="178"/>
      <c r="AH135" s="178"/>
    </row>
    <row r="136" spans="1:65" ht="15" customHeight="1" x14ac:dyDescent="0.25"/>
    <row r="137" spans="1:65" ht="15" customHeight="1" x14ac:dyDescent="0.25">
      <c r="B137" s="113" t="s">
        <v>14</v>
      </c>
      <c r="C137" s="63"/>
      <c r="D137" s="63"/>
      <c r="E137" s="63"/>
      <c r="F137" s="63"/>
      <c r="G137" s="63"/>
      <c r="H137" s="63"/>
      <c r="I137" s="63"/>
      <c r="J137" s="63"/>
      <c r="K137" s="63"/>
      <c r="L137" s="64"/>
    </row>
    <row r="138" spans="1:65" ht="15" customHeight="1" x14ac:dyDescent="0.25">
      <c r="B138" s="66" t="s">
        <v>43</v>
      </c>
      <c r="C138" s="67" t="s">
        <v>53</v>
      </c>
    </row>
    <row r="139" spans="1:65" ht="15" customHeight="1" x14ac:dyDescent="0.25">
      <c r="B139" s="66" t="s">
        <v>44</v>
      </c>
      <c r="C139" s="67" t="s">
        <v>54</v>
      </c>
    </row>
    <row r="140" spans="1:65" ht="15" customHeight="1" x14ac:dyDescent="0.25">
      <c r="C140" s="67" t="s">
        <v>56</v>
      </c>
    </row>
    <row r="141" spans="1:65" ht="15" customHeight="1" x14ac:dyDescent="0.25">
      <c r="C141" s="67" t="s">
        <v>57</v>
      </c>
      <c r="BM141" s="97"/>
    </row>
    <row r="142" spans="1:65" ht="15" customHeight="1" x14ac:dyDescent="0.25">
      <c r="B142" s="66" t="s">
        <v>45</v>
      </c>
      <c r="C142" s="67" t="s">
        <v>55</v>
      </c>
    </row>
    <row r="143" spans="1:65" ht="15" customHeight="1" x14ac:dyDescent="0.25">
      <c r="B143" s="66"/>
      <c r="C143" s="67"/>
      <c r="U143" s="59"/>
      <c r="Z143" s="460"/>
      <c r="AA143" s="467" t="s">
        <v>288</v>
      </c>
      <c r="AB143" s="468" t="s">
        <v>288</v>
      </c>
      <c r="AC143" s="469">
        <f>1/2</f>
        <v>0.5</v>
      </c>
      <c r="AD143" s="467" t="s">
        <v>128</v>
      </c>
      <c r="AE143" s="468" t="s">
        <v>128</v>
      </c>
      <c r="AK143" s="267" t="s">
        <v>329</v>
      </c>
    </row>
    <row r="144" spans="1:65" ht="15" customHeight="1" x14ac:dyDescent="0.25">
      <c r="B144" s="381" t="s">
        <v>247</v>
      </c>
      <c r="C144" s="66"/>
      <c r="Z144" s="462" t="s">
        <v>289</v>
      </c>
      <c r="AA144" s="462" t="s">
        <v>291</v>
      </c>
      <c r="AB144" s="470" t="s">
        <v>292</v>
      </c>
      <c r="AC144" s="471" t="s">
        <v>293</v>
      </c>
      <c r="AD144" s="462" t="s">
        <v>291</v>
      </c>
      <c r="AE144" s="470" t="s">
        <v>292</v>
      </c>
      <c r="AK144" s="462"/>
      <c r="AL144" s="462"/>
      <c r="AM144" s="462"/>
      <c r="AN144" s="462"/>
      <c r="AO144" s="462"/>
      <c r="AP144" s="462"/>
      <c r="AR144" s="267" t="s">
        <v>294</v>
      </c>
      <c r="AS144" s="466" t="s">
        <v>331</v>
      </c>
      <c r="AT144" s="464">
        <f>(AT158-AT152)/6</f>
        <v>1.4583333333333337E-2</v>
      </c>
    </row>
    <row r="145" spans="2:60" ht="15" customHeight="1" x14ac:dyDescent="0.25">
      <c r="B145" s="65"/>
      <c r="C145" s="382" t="s">
        <v>268</v>
      </c>
      <c r="G145"/>
      <c r="H145"/>
      <c r="I145"/>
      <c r="J145"/>
      <c r="X145" s="55">
        <f>-AA145</f>
        <v>2.2999999999999998</v>
      </c>
      <c r="Z145" s="462">
        <v>1</v>
      </c>
      <c r="AA145" s="472">
        <v>-2.2999999999999998</v>
      </c>
      <c r="AB145" s="473">
        <v>-2.1</v>
      </c>
      <c r="AC145" s="474">
        <v>-1.1100000000000001</v>
      </c>
      <c r="AD145" s="472">
        <v>0.72809999999999997</v>
      </c>
      <c r="AE145" s="473">
        <v>0.65810000000000002</v>
      </c>
      <c r="AK145" s="460"/>
      <c r="AL145" s="467" t="s">
        <v>288</v>
      </c>
      <c r="AM145" s="468" t="s">
        <v>288</v>
      </c>
      <c r="AN145" s="469">
        <f>1/2</f>
        <v>0.5</v>
      </c>
      <c r="AO145" s="467" t="s">
        <v>128</v>
      </c>
      <c r="AP145" s="468" t="s">
        <v>128</v>
      </c>
      <c r="AR145" s="460"/>
      <c r="AS145" s="461" t="s">
        <v>288</v>
      </c>
      <c r="AT145" s="461" t="s">
        <v>128</v>
      </c>
      <c r="AU145" s="516"/>
      <c r="AW145" s="77" t="s">
        <v>15</v>
      </c>
      <c r="AX145" s="78"/>
      <c r="AY145" s="79"/>
    </row>
    <row r="146" spans="2:60" ht="15" customHeight="1" x14ac:dyDescent="0.25">
      <c r="B146" s="65"/>
      <c r="C146" s="382" t="s">
        <v>269</v>
      </c>
      <c r="G146"/>
      <c r="H146"/>
      <c r="I146"/>
      <c r="J146"/>
      <c r="R146" s="58"/>
      <c r="X146" s="55">
        <f t="shared" ref="X146:X156" si="56">-AA146</f>
        <v>4</v>
      </c>
      <c r="Z146" s="462">
        <v>2</v>
      </c>
      <c r="AA146" s="472">
        <v>-4</v>
      </c>
      <c r="AB146" s="473">
        <v>-3.6</v>
      </c>
      <c r="AC146" s="474">
        <v>-1.1200000000000001</v>
      </c>
      <c r="AD146" s="472">
        <v>0.6331</v>
      </c>
      <c r="AE146" s="473">
        <v>0.56410000000000005</v>
      </c>
      <c r="AK146" s="462" t="s">
        <v>289</v>
      </c>
      <c r="AL146" s="462" t="s">
        <v>291</v>
      </c>
      <c r="AM146" s="470" t="s">
        <v>292</v>
      </c>
      <c r="AN146" s="471" t="s">
        <v>293</v>
      </c>
      <c r="AO146" s="462" t="s">
        <v>291</v>
      </c>
      <c r="AP146" s="470" t="s">
        <v>292</v>
      </c>
      <c r="AR146" s="462" t="s">
        <v>289</v>
      </c>
      <c r="AS146" s="462" t="s">
        <v>290</v>
      </c>
      <c r="AT146" s="462" t="s">
        <v>19</v>
      </c>
      <c r="AU146" s="517"/>
      <c r="AW146" s="86" t="s">
        <v>61</v>
      </c>
      <c r="AX146" s="87" t="s">
        <v>19</v>
      </c>
      <c r="AY146" s="88">
        <v>0.9</v>
      </c>
    </row>
    <row r="147" spans="2:60" ht="15" customHeight="1" x14ac:dyDescent="0.25">
      <c r="B147" s="65"/>
      <c r="C147" s="382"/>
      <c r="G147"/>
      <c r="H147"/>
      <c r="I147"/>
      <c r="J147"/>
      <c r="R147" s="58"/>
      <c r="X147" s="55">
        <f t="shared" si="56"/>
        <v>6.4</v>
      </c>
      <c r="Z147" s="462">
        <v>3</v>
      </c>
      <c r="AA147" s="475">
        <v>-6.4</v>
      </c>
      <c r="AB147" s="476">
        <v>-5.8</v>
      </c>
      <c r="AC147" s="477">
        <v>-1.1000000000000001</v>
      </c>
      <c r="AD147" s="475">
        <v>0.6754</v>
      </c>
      <c r="AE147" s="478">
        <v>0.61629999999999996</v>
      </c>
      <c r="AK147" s="462">
        <v>1</v>
      </c>
      <c r="AL147" s="472">
        <v>2.2000000000000002</v>
      </c>
      <c r="AM147" s="473">
        <v>2.1</v>
      </c>
      <c r="AN147" s="474">
        <v>1.07</v>
      </c>
      <c r="AO147" s="472">
        <v>0.73250000000000004</v>
      </c>
      <c r="AP147" s="473">
        <v>0.68310000000000004</v>
      </c>
      <c r="AR147" s="462"/>
      <c r="AS147" s="509">
        <f>AL147</f>
        <v>2.2000000000000002</v>
      </c>
      <c r="AT147" s="511">
        <f>AO147</f>
        <v>0.73250000000000004</v>
      </c>
      <c r="AU147" s="518"/>
      <c r="AW147" s="86" t="s">
        <v>62</v>
      </c>
      <c r="AX147" s="87" t="s">
        <v>20</v>
      </c>
      <c r="AY147" s="96">
        <v>0.90600000000000003</v>
      </c>
    </row>
    <row r="148" spans="2:60" ht="15" customHeight="1" x14ac:dyDescent="0.25">
      <c r="B148" s="115"/>
      <c r="G148"/>
      <c r="H148"/>
      <c r="I148"/>
      <c r="J148"/>
      <c r="X148" s="55">
        <f t="shared" si="56"/>
        <v>9</v>
      </c>
      <c r="Z148" s="462">
        <v>4</v>
      </c>
      <c r="AA148" s="472">
        <v>-9</v>
      </c>
      <c r="AB148" s="473">
        <v>-8.1999999999999993</v>
      </c>
      <c r="AC148" s="474">
        <v>-1.1000000000000001</v>
      </c>
      <c r="AD148" s="472">
        <v>0.71230000000000004</v>
      </c>
      <c r="AE148" s="473">
        <v>0.65029999999999999</v>
      </c>
      <c r="AK148" s="462">
        <v>2</v>
      </c>
      <c r="AL148" s="472">
        <v>3.2</v>
      </c>
      <c r="AM148" s="473">
        <v>3.6</v>
      </c>
      <c r="AN148" s="474">
        <v>0.88</v>
      </c>
      <c r="AO148" s="472">
        <v>0.53269999999999995</v>
      </c>
      <c r="AP148" s="473">
        <v>0.60509999999999997</v>
      </c>
      <c r="AR148" s="462"/>
      <c r="AS148" s="510">
        <f t="shared" ref="AS148:AS158" si="57">AL148</f>
        <v>3.2</v>
      </c>
      <c r="AT148" s="508">
        <f t="shared" ref="AT148:AT158" si="58">AO148</f>
        <v>0.53269999999999995</v>
      </c>
      <c r="AU148" s="519"/>
      <c r="AV148"/>
      <c r="AW148" s="102" t="s">
        <v>59</v>
      </c>
      <c r="AX148" s="103" t="s">
        <v>28</v>
      </c>
      <c r="AY148" s="104">
        <v>85</v>
      </c>
      <c r="AZ148"/>
      <c r="BA148"/>
      <c r="BB148"/>
    </row>
    <row r="149" spans="2:60" ht="15" customHeight="1" x14ac:dyDescent="0.25">
      <c r="B149" s="62" t="s">
        <v>139</v>
      </c>
      <c r="C149" s="63"/>
      <c r="D149" s="63"/>
      <c r="E149" s="64"/>
      <c r="I149" s="58" t="s">
        <v>112</v>
      </c>
      <c r="K149" s="58" t="s">
        <v>83</v>
      </c>
      <c r="N149" s="388" t="s">
        <v>270</v>
      </c>
      <c r="O149" s="116"/>
      <c r="X149" s="55">
        <f t="shared" si="56"/>
        <v>11.5</v>
      </c>
      <c r="Z149" s="462">
        <v>5</v>
      </c>
      <c r="AA149" s="472">
        <v>-11.5</v>
      </c>
      <c r="AB149" s="473">
        <v>-10.7</v>
      </c>
      <c r="AC149" s="474">
        <v>-1.08</v>
      </c>
      <c r="AD149" s="472">
        <v>0.72809999999999997</v>
      </c>
      <c r="AE149" s="473">
        <v>0.67689999999999995</v>
      </c>
      <c r="AK149" s="462">
        <v>3</v>
      </c>
      <c r="AL149" s="475">
        <v>4.5999999999999996</v>
      </c>
      <c r="AM149" s="476">
        <v>5.2</v>
      </c>
      <c r="AN149" s="477">
        <v>0.89</v>
      </c>
      <c r="AO149" s="475">
        <v>0.51049999999999995</v>
      </c>
      <c r="AP149" s="478">
        <v>0.57189999999999996</v>
      </c>
      <c r="AR149" s="462"/>
      <c r="AS149" s="509">
        <f t="shared" si="57"/>
        <v>4.5999999999999996</v>
      </c>
      <c r="AT149" s="511">
        <f t="shared" si="58"/>
        <v>0.51049999999999995</v>
      </c>
      <c r="AU149" s="518"/>
    </row>
    <row r="150" spans="2:60" ht="15" customHeight="1" x14ac:dyDescent="0.25">
      <c r="B150" s="117"/>
      <c r="I150" s="58" t="s">
        <v>113</v>
      </c>
      <c r="K150" s="58" t="s">
        <v>84</v>
      </c>
      <c r="O150" s="116"/>
      <c r="X150" s="55">
        <f t="shared" si="56"/>
        <v>23.7</v>
      </c>
      <c r="Z150" s="462">
        <v>10</v>
      </c>
      <c r="AA150" s="475">
        <v>-23.7</v>
      </c>
      <c r="AB150" s="476">
        <v>-22.4</v>
      </c>
      <c r="AC150" s="477">
        <v>-1.06</v>
      </c>
      <c r="AD150" s="475">
        <v>0.75029999999999997</v>
      </c>
      <c r="AE150" s="478">
        <v>0.70830000000000004</v>
      </c>
      <c r="AK150" s="462">
        <v>4</v>
      </c>
      <c r="AL150" s="472">
        <v>6</v>
      </c>
      <c r="AM150" s="473">
        <v>6.7</v>
      </c>
      <c r="AN150" s="474">
        <v>0.89</v>
      </c>
      <c r="AO150" s="472">
        <v>0.49940000000000001</v>
      </c>
      <c r="AP150" s="473">
        <v>0.55920000000000003</v>
      </c>
      <c r="AR150" s="462"/>
      <c r="AS150" s="510">
        <f t="shared" si="57"/>
        <v>6</v>
      </c>
      <c r="AT150" s="508">
        <f t="shared" si="58"/>
        <v>0.49940000000000001</v>
      </c>
      <c r="AU150" s="519"/>
      <c r="AZ150" s="493" t="s">
        <v>325</v>
      </c>
    </row>
    <row r="151" spans="2:60" ht="15" customHeight="1" x14ac:dyDescent="0.25">
      <c r="B151" s="77" t="s">
        <v>15</v>
      </c>
      <c r="C151" s="78"/>
      <c r="D151" s="79"/>
      <c r="F151" s="171"/>
      <c r="G151" s="172"/>
      <c r="H151"/>
      <c r="I151" s="118" t="s">
        <v>76</v>
      </c>
      <c r="J151" s="119"/>
      <c r="K151" s="118" t="s">
        <v>81</v>
      </c>
      <c r="L151" s="120"/>
      <c r="M151" s="119"/>
      <c r="N151" s="416"/>
      <c r="O151" s="417"/>
      <c r="P151"/>
      <c r="Q151"/>
      <c r="X151" s="55">
        <f t="shared" si="56"/>
        <v>45.8</v>
      </c>
      <c r="Z151" s="462">
        <v>20</v>
      </c>
      <c r="AA151" s="472">
        <v>-45.8</v>
      </c>
      <c r="AB151" s="473">
        <v>-44.6</v>
      </c>
      <c r="AC151" s="474">
        <v>-1.03</v>
      </c>
      <c r="AD151" s="472">
        <v>0.72499999999999998</v>
      </c>
      <c r="AE151" s="473">
        <v>0.70669999999999999</v>
      </c>
      <c r="AK151" s="462">
        <v>5</v>
      </c>
      <c r="AL151" s="472">
        <v>8</v>
      </c>
      <c r="AM151" s="473">
        <v>8.6</v>
      </c>
      <c r="AN151" s="474">
        <v>0.93</v>
      </c>
      <c r="AO151" s="472">
        <v>0.53269999999999995</v>
      </c>
      <c r="AP151" s="473">
        <v>0.57150000000000001</v>
      </c>
      <c r="AR151" s="462"/>
      <c r="AS151" s="510">
        <f t="shared" si="57"/>
        <v>8</v>
      </c>
      <c r="AT151" s="508">
        <f t="shared" si="58"/>
        <v>0.53269999999999995</v>
      </c>
      <c r="AU151" s="519"/>
      <c r="AV151" s="267" t="s">
        <v>326</v>
      </c>
      <c r="AX151" s="482" t="s">
        <v>324</v>
      </c>
      <c r="AY151" s="482" t="s">
        <v>26</v>
      </c>
      <c r="AZ151" s="267" t="s">
        <v>288</v>
      </c>
      <c r="BA151" s="396" t="s">
        <v>26</v>
      </c>
      <c r="BB151" s="515" t="s">
        <v>288</v>
      </c>
      <c r="BC151" s="396" t="s">
        <v>327</v>
      </c>
      <c r="BE151" s="482" t="s">
        <v>324</v>
      </c>
      <c r="BF151" s="482" t="s">
        <v>26</v>
      </c>
      <c r="BG151" s="267" t="s">
        <v>288</v>
      </c>
      <c r="BH151" s="523" t="s">
        <v>327</v>
      </c>
    </row>
    <row r="152" spans="2:60" ht="15" customHeight="1" x14ac:dyDescent="0.25">
      <c r="B152" s="86" t="s">
        <v>61</v>
      </c>
      <c r="C152" s="87" t="s">
        <v>19</v>
      </c>
      <c r="D152" s="88">
        <v>0.9</v>
      </c>
      <c r="F152" s="173" t="s">
        <v>35</v>
      </c>
      <c r="G152" s="403" t="s">
        <v>58</v>
      </c>
      <c r="H152"/>
      <c r="I152" s="125" t="s">
        <v>80</v>
      </c>
      <c r="J152" s="126"/>
      <c r="K152" s="127" t="s">
        <v>82</v>
      </c>
      <c r="L152" s="128"/>
      <c r="M152" s="410" t="s">
        <v>136</v>
      </c>
      <c r="N152" s="418"/>
      <c r="O152" s="419" t="s">
        <v>142</v>
      </c>
      <c r="P152"/>
      <c r="Q152"/>
      <c r="X152" s="55">
        <f t="shared" si="56"/>
        <v>68.7</v>
      </c>
      <c r="Z152" s="462">
        <v>30</v>
      </c>
      <c r="AA152" s="475">
        <v>-68.7</v>
      </c>
      <c r="AB152" s="476">
        <v>-66.900000000000006</v>
      </c>
      <c r="AC152" s="477">
        <v>-1.03</v>
      </c>
      <c r="AD152" s="475">
        <v>0.72499999999999998</v>
      </c>
      <c r="AE152" s="478">
        <v>0.70620000000000005</v>
      </c>
      <c r="AK152" s="462">
        <v>10</v>
      </c>
      <c r="AL152" s="475">
        <v>18.100000000000001</v>
      </c>
      <c r="AM152" s="476">
        <v>19.5</v>
      </c>
      <c r="AN152" s="477">
        <v>0.93</v>
      </c>
      <c r="AO152" s="475">
        <v>0.60270000000000001</v>
      </c>
      <c r="AP152" s="478">
        <v>0.6482</v>
      </c>
      <c r="AR152" s="462">
        <v>10</v>
      </c>
      <c r="AS152" s="509">
        <f t="shared" si="57"/>
        <v>18.100000000000001</v>
      </c>
      <c r="AT152" s="511">
        <f t="shared" si="58"/>
        <v>0.60270000000000001</v>
      </c>
      <c r="AU152" s="520"/>
      <c r="AV152" s="512">
        <f>((AT$158-AT$152)/6*(AR152-AR$152)/10+AT$152)</f>
        <v>0.60270000000000001</v>
      </c>
      <c r="AX152" s="507">
        <f>($AY$147*2.20462*25.4*12)</f>
        <v>608.80316745599987</v>
      </c>
      <c r="AY152" s="513">
        <f>($AT152*$AY$146*SQRT(4*$AY$148*$AX152/32.2)/12)</f>
        <v>3.6242022794591073</v>
      </c>
      <c r="AZ152" s="507">
        <f>($AY152*$AR152)/2</f>
        <v>18.121011397295536</v>
      </c>
      <c r="BA152" s="514">
        <f>($AV152*$AY$146*SQRT(4*$AY$148*$AX152/32.2)/12)</f>
        <v>3.6242022794591073</v>
      </c>
      <c r="BB152" s="402">
        <f>($BA152*$AR152)/2</f>
        <v>18.121011397295536</v>
      </c>
      <c r="BC152" s="396"/>
      <c r="BD152" s="511">
        <v>0.7</v>
      </c>
      <c r="BE152" s="507">
        <f>($AL$112*2.20462*25.4*12)</f>
        <v>645.0894489599998</v>
      </c>
      <c r="BF152" s="513">
        <f>($BD152*$AL$111*SQRT(4*$AL$113*$BE152/32.2)/12)</f>
        <v>4.3329212452209367</v>
      </c>
      <c r="BG152" s="507">
        <f>($BF152*$AR152)/2</f>
        <v>21.664606226104684</v>
      </c>
      <c r="BH152" s="523"/>
    </row>
    <row r="153" spans="2:60" ht="15" customHeight="1" x14ac:dyDescent="0.25">
      <c r="B153" s="86" t="s">
        <v>62</v>
      </c>
      <c r="C153" s="87" t="s">
        <v>20</v>
      </c>
      <c r="D153" s="96">
        <v>0.96</v>
      </c>
      <c r="F153" s="163"/>
      <c r="G153" s="404"/>
      <c r="H153"/>
      <c r="I153" s="130" t="s">
        <v>24</v>
      </c>
      <c r="J153" s="175" t="s">
        <v>26</v>
      </c>
      <c r="K153" s="130" t="s">
        <v>30</v>
      </c>
      <c r="L153" s="134" t="s">
        <v>32</v>
      </c>
      <c r="M153" s="411" t="s">
        <v>32</v>
      </c>
      <c r="N153" s="418"/>
      <c r="O153" s="420"/>
      <c r="P153"/>
      <c r="Q153"/>
      <c r="X153" s="55">
        <f t="shared" si="56"/>
        <v>94.5</v>
      </c>
      <c r="Z153" s="462">
        <v>40</v>
      </c>
      <c r="AA153" s="472">
        <v>-94.5</v>
      </c>
      <c r="AB153" s="473">
        <v>-90.3</v>
      </c>
      <c r="AC153" s="474">
        <v>-1.05</v>
      </c>
      <c r="AD153" s="472">
        <v>0.74790000000000001</v>
      </c>
      <c r="AE153" s="473">
        <v>0.71460000000000001</v>
      </c>
      <c r="AK153" s="462">
        <v>20</v>
      </c>
      <c r="AL153" s="472">
        <v>38.4</v>
      </c>
      <c r="AM153" s="473">
        <v>38.700000000000003</v>
      </c>
      <c r="AN153" s="474">
        <v>0.99</v>
      </c>
      <c r="AO153" s="472">
        <v>0.63929999999999998</v>
      </c>
      <c r="AP153" s="473">
        <v>0.64370000000000005</v>
      </c>
      <c r="AR153" s="462">
        <v>20</v>
      </c>
      <c r="AS153" s="510">
        <f t="shared" si="57"/>
        <v>38.4</v>
      </c>
      <c r="AT153" s="508">
        <f t="shared" si="58"/>
        <v>0.63929999999999998</v>
      </c>
      <c r="AU153" s="521"/>
      <c r="AV153" s="512">
        <f t="shared" ref="AV153:AV158" si="59">((AT$158-AT$152)/6*(AR153-AR$152)/10+AT$152)</f>
        <v>0.61728333333333341</v>
      </c>
      <c r="AX153" s="507">
        <f t="shared" ref="AX153:AX158" si="60">($AY$147*2.20462*25.4*12)</f>
        <v>608.80316745599987</v>
      </c>
      <c r="AY153" s="513">
        <f t="shared" ref="AY153:AY158" si="61">($AT153*$AL$111*SQRT(4*$AL$113*$AX153/32.2)/12)</f>
        <v>3.8442882317209346</v>
      </c>
      <c r="AZ153" s="507">
        <f t="shared" ref="AZ153:AZ158" si="62">($AY153*$AR153)/2</f>
        <v>38.442882317209346</v>
      </c>
      <c r="BA153" s="514">
        <f t="shared" ref="BA153:BA158" si="63">($AV153*$AY$146*SQRT(4*$AY$148*$AX153/32.2)/12)</f>
        <v>3.7118959079787337</v>
      </c>
      <c r="BB153" s="402">
        <f t="shared" ref="BB153:BB158" si="64">($BA153*$AR153)/2</f>
        <v>37.118959079787338</v>
      </c>
      <c r="BC153" s="396"/>
      <c r="BD153" s="508">
        <v>0.7</v>
      </c>
      <c r="BE153" s="507">
        <f t="shared" ref="BE153:BE158" si="65">($AL$112*2.20462*25.4*12)</f>
        <v>645.0894489599998</v>
      </c>
      <c r="BF153" s="513">
        <f t="shared" ref="BF153:BF158" si="66">($BD153*$AL$111*SQRT(4*$AL$113*$BE153/32.2)/12)</f>
        <v>4.3329212452209367</v>
      </c>
      <c r="BG153" s="507">
        <f t="shared" ref="BG153:BG158" si="67">($BF153*$AR153)/2</f>
        <v>43.329212452209369</v>
      </c>
      <c r="BH153" s="523"/>
    </row>
    <row r="154" spans="2:60" ht="15" customHeight="1" x14ac:dyDescent="0.25">
      <c r="B154" s="102" t="s">
        <v>59</v>
      </c>
      <c r="C154" s="103" t="s">
        <v>28</v>
      </c>
      <c r="D154" s="104">
        <v>85</v>
      </c>
      <c r="F154" s="165"/>
      <c r="G154" s="405"/>
      <c r="H154"/>
      <c r="I154" s="135" t="s">
        <v>25</v>
      </c>
      <c r="J154" s="136" t="s">
        <v>27</v>
      </c>
      <c r="K154" s="135" t="s">
        <v>31</v>
      </c>
      <c r="L154" s="185" t="s">
        <v>33</v>
      </c>
      <c r="M154" s="136" t="s">
        <v>33</v>
      </c>
      <c r="N154" s="418"/>
      <c r="O154" s="419"/>
      <c r="P154"/>
      <c r="Q154"/>
      <c r="X154" s="55">
        <f t="shared" si="56"/>
        <v>121.5</v>
      </c>
      <c r="Z154" s="462">
        <v>50</v>
      </c>
      <c r="AA154" s="472">
        <v>-121.5</v>
      </c>
      <c r="AB154" s="473">
        <v>-115.2</v>
      </c>
      <c r="AC154" s="474">
        <v>-1.05</v>
      </c>
      <c r="AD154" s="472">
        <v>0.76929999999999998</v>
      </c>
      <c r="AE154" s="473">
        <v>0.72960000000000003</v>
      </c>
      <c r="AK154" s="462">
        <v>30</v>
      </c>
      <c r="AL154" s="475">
        <v>58</v>
      </c>
      <c r="AM154" s="476">
        <v>58</v>
      </c>
      <c r="AN154" s="477">
        <v>1</v>
      </c>
      <c r="AO154" s="475">
        <v>0.64370000000000005</v>
      </c>
      <c r="AP154" s="478">
        <v>0.64370000000000005</v>
      </c>
      <c r="AR154" s="462">
        <v>30</v>
      </c>
      <c r="AS154" s="509">
        <f t="shared" si="57"/>
        <v>58</v>
      </c>
      <c r="AT154" s="511">
        <f t="shared" si="58"/>
        <v>0.64370000000000005</v>
      </c>
      <c r="AU154" s="520"/>
      <c r="AV154" s="512">
        <f>((AT$158-AT$152)/6*(AR154-AR$152)/10+AT$152)</f>
        <v>0.63186666666666669</v>
      </c>
      <c r="AX154" s="507">
        <f t="shared" si="60"/>
        <v>608.80316745599987</v>
      </c>
      <c r="AY154" s="513">
        <f t="shared" si="61"/>
        <v>3.8707466522114271</v>
      </c>
      <c r="AZ154" s="507">
        <f t="shared" si="62"/>
        <v>58.061199783171404</v>
      </c>
      <c r="BA154" s="514">
        <f t="shared" si="63"/>
        <v>3.7995895364983596</v>
      </c>
      <c r="BB154" s="402">
        <f t="shared" si="64"/>
        <v>56.993843047475394</v>
      </c>
      <c r="BC154" s="402">
        <f>BB154-AS154</f>
        <v>-1.0061569525246057</v>
      </c>
      <c r="BD154" s="511">
        <v>0.7</v>
      </c>
      <c r="BE154" s="507">
        <f t="shared" si="65"/>
        <v>645.0894489599998</v>
      </c>
      <c r="BF154" s="513">
        <f t="shared" si="66"/>
        <v>4.3329212452209367</v>
      </c>
      <c r="BG154" s="507">
        <f t="shared" si="67"/>
        <v>64.993818678314057</v>
      </c>
      <c r="BH154" s="524">
        <f>BG154-AS154</f>
        <v>6.9938186783140566</v>
      </c>
    </row>
    <row r="155" spans="2:60" ht="15" customHeight="1" x14ac:dyDescent="0.25">
      <c r="F155" s="143">
        <v>1</v>
      </c>
      <c r="G155" s="459">
        <f>P112</f>
        <v>0.68306570769539576</v>
      </c>
      <c r="H155"/>
      <c r="I155" s="141">
        <f>D153*2.20462*25.4*12</f>
        <v>645.0894489599998</v>
      </c>
      <c r="J155" s="142">
        <f t="shared" ref="J155:J166" si="68">($G155*$D$77*SQRT(4*$D$79*$I$80/32.2)/12)</f>
        <v>4.2280998810789345</v>
      </c>
      <c r="K155" s="143">
        <v>1</v>
      </c>
      <c r="L155" s="145">
        <f>K155*J155</f>
        <v>4.2280998810789345</v>
      </c>
      <c r="M155" s="412">
        <f>L155/2</f>
        <v>2.1140499405394673</v>
      </c>
      <c r="N155" s="421">
        <f>M112</f>
        <v>2.1141000000000001</v>
      </c>
      <c r="O155" s="420">
        <f>N155/M155</f>
        <v>1.0000236794124742</v>
      </c>
      <c r="P155"/>
      <c r="Q155"/>
      <c r="X155" s="55">
        <f t="shared" si="56"/>
        <v>147.9</v>
      </c>
      <c r="Z155" s="462">
        <v>60</v>
      </c>
      <c r="AA155" s="472">
        <v>-147.9</v>
      </c>
      <c r="AB155" s="473">
        <v>-141.80000000000001</v>
      </c>
      <c r="AC155" s="474">
        <v>-1.04</v>
      </c>
      <c r="AD155" s="472">
        <v>0.78039999999999998</v>
      </c>
      <c r="AE155" s="473">
        <v>0.74790000000000001</v>
      </c>
      <c r="AK155" s="462">
        <v>40</v>
      </c>
      <c r="AL155" s="472">
        <v>78.599999999999994</v>
      </c>
      <c r="AM155" s="473">
        <v>79.8</v>
      </c>
      <c r="AN155" s="474">
        <v>0.99</v>
      </c>
      <c r="AO155" s="472">
        <v>0.65429999999999999</v>
      </c>
      <c r="AP155" s="473">
        <v>0.66410000000000002</v>
      </c>
      <c r="AR155" s="462">
        <v>40</v>
      </c>
      <c r="AS155" s="510">
        <f t="shared" si="57"/>
        <v>78.599999999999994</v>
      </c>
      <c r="AT155" s="508">
        <f t="shared" si="58"/>
        <v>0.65429999999999999</v>
      </c>
      <c r="AU155" s="521"/>
      <c r="AV155" s="512">
        <f t="shared" si="59"/>
        <v>0.64644999999999997</v>
      </c>
      <c r="AX155" s="507">
        <f t="shared" si="60"/>
        <v>608.80316745599987</v>
      </c>
      <c r="AY155" s="513">
        <f t="shared" si="61"/>
        <v>3.9344873924839781</v>
      </c>
      <c r="AZ155" s="507">
        <f t="shared" si="62"/>
        <v>78.689747849679563</v>
      </c>
      <c r="BA155" s="514">
        <f t="shared" si="63"/>
        <v>3.8872831650179851</v>
      </c>
      <c r="BB155" s="402">
        <f t="shared" si="64"/>
        <v>77.745663300359695</v>
      </c>
      <c r="BC155" s="402"/>
      <c r="BD155" s="508">
        <v>0.7</v>
      </c>
      <c r="BE155" s="507">
        <f t="shared" si="65"/>
        <v>645.0894489599998</v>
      </c>
      <c r="BF155" s="513">
        <f t="shared" si="66"/>
        <v>4.3329212452209367</v>
      </c>
      <c r="BG155" s="507">
        <f t="shared" si="67"/>
        <v>86.658424904418737</v>
      </c>
      <c r="BH155" s="524"/>
    </row>
    <row r="156" spans="2:60" ht="15" customHeight="1" x14ac:dyDescent="0.3">
      <c r="B156" s="431" t="s">
        <v>286</v>
      </c>
      <c r="F156" s="147">
        <v>2</v>
      </c>
      <c r="G156" s="85">
        <f t="shared" ref="G156:G166" si="69">P113</f>
        <v>0.60506129045857582</v>
      </c>
      <c r="I156" s="147"/>
      <c r="J156" s="148">
        <f t="shared" si="68"/>
        <v>3.7452613144125126</v>
      </c>
      <c r="K156" s="147">
        <v>2</v>
      </c>
      <c r="L156" s="150">
        <f t="shared" ref="L156:L166" si="70">K156*J156</f>
        <v>7.4905226288250253</v>
      </c>
      <c r="M156" s="413">
        <f t="shared" ref="M156:M166" si="71">L156/2</f>
        <v>3.7452613144125126</v>
      </c>
      <c r="N156" s="421">
        <f t="shared" ref="N156:N166" si="72">M113</f>
        <v>3.7453499999999997</v>
      </c>
      <c r="O156" s="420">
        <f t="shared" ref="O156:O166" si="73">N156/M156</f>
        <v>1.0000236794124742</v>
      </c>
      <c r="P156"/>
      <c r="Q156"/>
      <c r="X156" s="55">
        <f t="shared" si="56"/>
        <v>174.6</v>
      </c>
      <c r="Z156" s="462">
        <v>70</v>
      </c>
      <c r="AA156" s="475">
        <v>-174.6</v>
      </c>
      <c r="AB156" s="476">
        <v>-169.4</v>
      </c>
      <c r="AC156" s="477">
        <v>-1.03</v>
      </c>
      <c r="AD156" s="475">
        <v>0.78959999999999997</v>
      </c>
      <c r="AE156" s="478">
        <v>0.76600000000000001</v>
      </c>
      <c r="AK156" s="462">
        <v>50</v>
      </c>
      <c r="AL156" s="472">
        <v>99.8</v>
      </c>
      <c r="AM156" s="473">
        <v>102.6</v>
      </c>
      <c r="AN156" s="474">
        <v>0.97</v>
      </c>
      <c r="AO156" s="472">
        <v>0.66459999999999997</v>
      </c>
      <c r="AP156" s="473">
        <v>0.68310000000000004</v>
      </c>
      <c r="AR156" s="462">
        <v>50</v>
      </c>
      <c r="AS156" s="510">
        <f t="shared" si="57"/>
        <v>99.8</v>
      </c>
      <c r="AT156" s="508">
        <f t="shared" si="58"/>
        <v>0.66459999999999997</v>
      </c>
      <c r="AU156" s="521"/>
      <c r="AV156" s="512">
        <f t="shared" si="59"/>
        <v>0.66103333333333336</v>
      </c>
      <c r="AX156" s="507">
        <f t="shared" si="60"/>
        <v>608.80316745599987</v>
      </c>
      <c r="AY156" s="513">
        <f t="shared" si="61"/>
        <v>3.996424149541268</v>
      </c>
      <c r="AZ156" s="507">
        <f t="shared" si="62"/>
        <v>99.910603738531705</v>
      </c>
      <c r="BA156" s="514">
        <f t="shared" si="63"/>
        <v>3.9749767935376119</v>
      </c>
      <c r="BB156" s="402">
        <f t="shared" si="64"/>
        <v>99.374419838440303</v>
      </c>
      <c r="BC156" s="402"/>
      <c r="BD156" s="508">
        <v>0.7</v>
      </c>
      <c r="BE156" s="507">
        <f t="shared" si="65"/>
        <v>645.0894489599998</v>
      </c>
      <c r="BF156" s="513">
        <f t="shared" si="66"/>
        <v>4.3329212452209367</v>
      </c>
      <c r="BG156" s="507">
        <f t="shared" si="67"/>
        <v>108.32303113052342</v>
      </c>
      <c r="BH156" s="524"/>
    </row>
    <row r="157" spans="2:60" ht="15" customHeight="1" x14ac:dyDescent="0.25">
      <c r="F157" s="152">
        <v>3</v>
      </c>
      <c r="G157" s="95">
        <f t="shared" si="69"/>
        <v>0.5719386940703286</v>
      </c>
      <c r="I157" s="147"/>
      <c r="J157" s="153">
        <f t="shared" si="68"/>
        <v>3.5402361692874922</v>
      </c>
      <c r="K157" s="152">
        <v>3</v>
      </c>
      <c r="L157" s="155">
        <f t="shared" si="70"/>
        <v>10.620708507862476</v>
      </c>
      <c r="M157" s="414">
        <f t="shared" si="71"/>
        <v>5.3103542539312381</v>
      </c>
      <c r="N157" s="421">
        <f t="shared" si="72"/>
        <v>5.3104800000000001</v>
      </c>
      <c r="O157" s="420">
        <f t="shared" si="73"/>
        <v>1.0000236794124739</v>
      </c>
      <c r="P157"/>
      <c r="Q157"/>
      <c r="AK157" s="462">
        <v>60</v>
      </c>
      <c r="AL157" s="472">
        <v>122.1</v>
      </c>
      <c r="AM157" s="473">
        <v>124.9</v>
      </c>
      <c r="AN157" s="474">
        <v>0.98</v>
      </c>
      <c r="AO157" s="472">
        <v>0.67759999999999998</v>
      </c>
      <c r="AP157" s="473">
        <v>0.69289999999999996</v>
      </c>
      <c r="AR157" s="462">
        <v>60</v>
      </c>
      <c r="AS157" s="510">
        <f t="shared" si="57"/>
        <v>122.1</v>
      </c>
      <c r="AT157" s="508">
        <f t="shared" si="58"/>
        <v>0.67759999999999998</v>
      </c>
      <c r="AU157" s="521"/>
      <c r="AV157" s="512">
        <f t="shared" si="59"/>
        <v>0.67561666666666675</v>
      </c>
      <c r="AX157" s="507">
        <f t="shared" si="60"/>
        <v>608.80316745599987</v>
      </c>
      <c r="AY157" s="513">
        <f t="shared" si="61"/>
        <v>4.0745967555359064</v>
      </c>
      <c r="AZ157" s="507">
        <f t="shared" si="62"/>
        <v>122.23790266607719</v>
      </c>
      <c r="BA157" s="514">
        <f t="shared" si="63"/>
        <v>4.0626704220572378</v>
      </c>
      <c r="BB157" s="402">
        <f t="shared" si="64"/>
        <v>121.88011266171713</v>
      </c>
      <c r="BC157" s="402"/>
      <c r="BD157" s="508">
        <v>0.7</v>
      </c>
      <c r="BE157" s="507">
        <f t="shared" si="65"/>
        <v>645.0894489599998</v>
      </c>
      <c r="BF157" s="513">
        <f t="shared" si="66"/>
        <v>4.3329212452209367</v>
      </c>
      <c r="BG157" s="507">
        <f t="shared" si="67"/>
        <v>129.98763735662811</v>
      </c>
    </row>
    <row r="158" spans="2:60" ht="15" customHeight="1" x14ac:dyDescent="0.25">
      <c r="F158" s="147">
        <v>4</v>
      </c>
      <c r="G158" s="85">
        <f t="shared" si="69"/>
        <v>0.55917220536340162</v>
      </c>
      <c r="I158" s="147"/>
      <c r="J158" s="148">
        <f t="shared" si="68"/>
        <v>3.4612130405087531</v>
      </c>
      <c r="K158" s="147">
        <v>4</v>
      </c>
      <c r="L158" s="150">
        <f t="shared" si="70"/>
        <v>13.844852162035012</v>
      </c>
      <c r="M158" s="413">
        <f t="shared" si="71"/>
        <v>6.9224260810175062</v>
      </c>
      <c r="N158" s="421">
        <f t="shared" si="72"/>
        <v>6.9225900000000005</v>
      </c>
      <c r="O158" s="420">
        <f t="shared" si="73"/>
        <v>1.0000236794124742</v>
      </c>
      <c r="P158"/>
      <c r="Q158"/>
      <c r="AK158" s="462">
        <v>70</v>
      </c>
      <c r="AL158" s="475">
        <v>145.1</v>
      </c>
      <c r="AM158" s="476">
        <v>147.4</v>
      </c>
      <c r="AN158" s="477">
        <v>0.98</v>
      </c>
      <c r="AO158" s="475">
        <v>0.69020000000000004</v>
      </c>
      <c r="AP158" s="478">
        <v>0.70109999999999995</v>
      </c>
      <c r="AR158" s="462">
        <v>70</v>
      </c>
      <c r="AS158" s="509">
        <f t="shared" si="57"/>
        <v>145.1</v>
      </c>
      <c r="AT158" s="511">
        <f t="shared" si="58"/>
        <v>0.69020000000000004</v>
      </c>
      <c r="AU158" s="520"/>
      <c r="AV158" s="512">
        <f t="shared" si="59"/>
        <v>0.69020000000000004</v>
      </c>
      <c r="AX158" s="507">
        <f t="shared" si="60"/>
        <v>608.80316745599987</v>
      </c>
      <c r="AY158" s="513">
        <f t="shared" si="61"/>
        <v>4.1503640505768642</v>
      </c>
      <c r="AZ158" s="507">
        <f t="shared" si="62"/>
        <v>145.26274177019025</v>
      </c>
      <c r="BA158" s="514">
        <f t="shared" si="63"/>
        <v>4.1503640505768642</v>
      </c>
      <c r="BB158" s="402">
        <f t="shared" si="64"/>
        <v>145.26274177019025</v>
      </c>
      <c r="BC158" s="402"/>
      <c r="BD158" s="511">
        <v>0.7</v>
      </c>
      <c r="BE158" s="507">
        <f t="shared" si="65"/>
        <v>645.0894489599998</v>
      </c>
      <c r="BF158" s="513">
        <f t="shared" si="66"/>
        <v>4.3329212452209367</v>
      </c>
      <c r="BG158" s="507">
        <f t="shared" si="67"/>
        <v>151.65224358273278</v>
      </c>
    </row>
    <row r="159" spans="2:60" ht="15" customHeight="1" x14ac:dyDescent="0.25">
      <c r="F159" s="147">
        <v>5</v>
      </c>
      <c r="G159" s="85">
        <f t="shared" si="69"/>
        <v>0.57147019907190932</v>
      </c>
      <c r="I159" s="147"/>
      <c r="J159" s="148">
        <f t="shared" si="68"/>
        <v>3.5373362379561626</v>
      </c>
      <c r="K159" s="147">
        <v>5</v>
      </c>
      <c r="L159" s="150">
        <f t="shared" si="70"/>
        <v>17.686681189780813</v>
      </c>
      <c r="M159" s="413">
        <f t="shared" si="71"/>
        <v>8.8433405948904067</v>
      </c>
      <c r="N159" s="421">
        <f t="shared" si="72"/>
        <v>8.8435500000000005</v>
      </c>
      <c r="O159" s="420">
        <f t="shared" si="73"/>
        <v>1.0000236794124739</v>
      </c>
      <c r="P159"/>
      <c r="Q159"/>
      <c r="AK159" s="808"/>
      <c r="AL159" s="809"/>
      <c r="AM159" s="463"/>
      <c r="AN159" s="463"/>
      <c r="AO159" s="463"/>
      <c r="AP159" s="463"/>
      <c r="AT159" s="401">
        <f>AT154/AT158</f>
        <v>0.93262822370327447</v>
      </c>
      <c r="AU159"/>
      <c r="AV159" s="401">
        <f>AV154/AV158</f>
        <v>0.91548343475321159</v>
      </c>
    </row>
    <row r="160" spans="2:60" ht="15" customHeight="1" x14ac:dyDescent="0.25">
      <c r="F160" s="152">
        <v>10</v>
      </c>
      <c r="G160" s="95">
        <f t="shared" si="69"/>
        <v>0.64815346041318678</v>
      </c>
      <c r="I160" s="147"/>
      <c r="J160" s="153">
        <f t="shared" si="68"/>
        <v>4.0119969982682351</v>
      </c>
      <c r="K160" s="152">
        <v>10</v>
      </c>
      <c r="L160" s="155">
        <f t="shared" si="70"/>
        <v>40.119969982682349</v>
      </c>
      <c r="M160" s="414">
        <f t="shared" si="71"/>
        <v>20.059984991341175</v>
      </c>
      <c r="N160" s="421">
        <f t="shared" si="72"/>
        <v>20.060460000000003</v>
      </c>
      <c r="O160" s="420">
        <f t="shared" si="73"/>
        <v>1.0000236794124737</v>
      </c>
      <c r="P160"/>
      <c r="Q160"/>
      <c r="AK160" s="810" t="s">
        <v>330</v>
      </c>
      <c r="AL160" s="811"/>
      <c r="AM160" s="525"/>
      <c r="AN160" s="525"/>
      <c r="AO160" s="525">
        <v>0.93</v>
      </c>
      <c r="AP160" s="525">
        <v>0.95</v>
      </c>
      <c r="AT160" s="401">
        <f>AT152/AT158</f>
        <v>0.87322515212981744</v>
      </c>
      <c r="AV160" s="401">
        <f>AV152/AV158</f>
        <v>0.87322515212981744</v>
      </c>
    </row>
    <row r="161" spans="1:48" ht="15" customHeight="1" x14ac:dyDescent="0.25">
      <c r="F161" s="147">
        <v>20</v>
      </c>
      <c r="G161" s="85">
        <f t="shared" si="69"/>
        <v>0.64371212782817122</v>
      </c>
      <c r="I161" s="147"/>
      <c r="J161" s="148">
        <f t="shared" si="68"/>
        <v>3.9845056492472257</v>
      </c>
      <c r="K161" s="147">
        <v>20</v>
      </c>
      <c r="L161" s="150">
        <f t="shared" si="70"/>
        <v>79.69011298494452</v>
      </c>
      <c r="M161" s="413">
        <f t="shared" si="71"/>
        <v>39.84505649247226</v>
      </c>
      <c r="N161" s="421">
        <f t="shared" si="72"/>
        <v>39.845999999999997</v>
      </c>
      <c r="O161" s="420">
        <f t="shared" si="73"/>
        <v>1.0000236794124739</v>
      </c>
      <c r="P161"/>
      <c r="Q161"/>
      <c r="AT161" s="55">
        <f>AT160/AT159</f>
        <v>0.93630573248407634</v>
      </c>
      <c r="AV161" s="55">
        <f>AV160/AV159</f>
        <v>0.95384047267355987</v>
      </c>
    </row>
    <row r="162" spans="1:48" ht="15" customHeight="1" x14ac:dyDescent="0.25">
      <c r="F162" s="147">
        <v>30</v>
      </c>
      <c r="G162" s="85">
        <f t="shared" si="69"/>
        <v>0.64371212782817133</v>
      </c>
      <c r="I162" s="147"/>
      <c r="J162" s="148">
        <f>($G162*$D$77*SQRT(4*$D$79*$I$80/32.2)/12)</f>
        <v>3.9845056492472271</v>
      </c>
      <c r="K162" s="147">
        <v>30</v>
      </c>
      <c r="L162" s="150">
        <f>K162*J162</f>
        <v>119.53516947741682</v>
      </c>
      <c r="M162" s="413">
        <f t="shared" si="71"/>
        <v>59.767584738708408</v>
      </c>
      <c r="N162" s="421">
        <f t="shared" si="72"/>
        <v>59.769000000000005</v>
      </c>
      <c r="O162" s="420">
        <f t="shared" si="73"/>
        <v>1.0000236794124739</v>
      </c>
      <c r="P162"/>
      <c r="Q162"/>
    </row>
    <row r="163" spans="1:48" ht="15" customHeight="1" x14ac:dyDescent="0.25">
      <c r="F163" s="147">
        <v>40</v>
      </c>
      <c r="G163" s="85">
        <f t="shared" si="69"/>
        <v>0.66409166025941258</v>
      </c>
      <c r="I163" s="147"/>
      <c r="J163" s="148">
        <f t="shared" si="68"/>
        <v>4.1106526621600752</v>
      </c>
      <c r="K163" s="147">
        <v>40</v>
      </c>
      <c r="L163" s="150">
        <f t="shared" si="70"/>
        <v>164.426106486403</v>
      </c>
      <c r="M163" s="413">
        <f t="shared" si="71"/>
        <v>82.2130532432015</v>
      </c>
      <c r="N163" s="421">
        <f t="shared" si="72"/>
        <v>82.215000000000003</v>
      </c>
      <c r="O163" s="420">
        <f t="shared" si="73"/>
        <v>1.0000236794124742</v>
      </c>
      <c r="P163"/>
      <c r="Q163"/>
    </row>
    <row r="164" spans="1:48" ht="15" customHeight="1" x14ac:dyDescent="0.25">
      <c r="F164" s="147">
        <v>50</v>
      </c>
      <c r="G164" s="85">
        <f t="shared" si="69"/>
        <v>0.68306570769539576</v>
      </c>
      <c r="I164" s="147"/>
      <c r="J164" s="148">
        <f t="shared" si="68"/>
        <v>4.2280998810789345</v>
      </c>
      <c r="K164" s="147">
        <v>50</v>
      </c>
      <c r="L164" s="150">
        <f t="shared" si="70"/>
        <v>211.40499405394672</v>
      </c>
      <c r="M164" s="413">
        <f t="shared" si="71"/>
        <v>105.70249702697336</v>
      </c>
      <c r="N164" s="421">
        <f t="shared" si="72"/>
        <v>105.705</v>
      </c>
      <c r="O164" s="420">
        <f t="shared" si="73"/>
        <v>1.0000236794124739</v>
      </c>
      <c r="P164"/>
      <c r="Q164"/>
    </row>
    <row r="165" spans="1:48" ht="15" customHeight="1" x14ac:dyDescent="0.25">
      <c r="F165" s="147">
        <v>60</v>
      </c>
      <c r="G165" s="85">
        <f t="shared" si="69"/>
        <v>0.69290410266220193</v>
      </c>
      <c r="I165" s="147"/>
      <c r="J165" s="148">
        <f t="shared" si="68"/>
        <v>4.2889984390368623</v>
      </c>
      <c r="K165" s="147">
        <v>60</v>
      </c>
      <c r="L165" s="150">
        <f t="shared" si="70"/>
        <v>257.33990634221175</v>
      </c>
      <c r="M165" s="413">
        <f t="shared" si="71"/>
        <v>128.66995317110587</v>
      </c>
      <c r="N165" s="421">
        <f t="shared" si="72"/>
        <v>128.673</v>
      </c>
      <c r="O165" s="420">
        <f t="shared" si="73"/>
        <v>1.0000236794124739</v>
      </c>
      <c r="P165"/>
      <c r="Q165"/>
    </row>
    <row r="166" spans="1:48" ht="15" customHeight="1" x14ac:dyDescent="0.25">
      <c r="F166" s="157">
        <v>70</v>
      </c>
      <c r="G166" s="111">
        <f t="shared" si="69"/>
        <v>0.70113622906299888</v>
      </c>
      <c r="I166" s="176"/>
      <c r="J166" s="158">
        <f t="shared" si="68"/>
        <v>4.3399543752873724</v>
      </c>
      <c r="K166" s="157">
        <v>70</v>
      </c>
      <c r="L166" s="160">
        <f t="shared" si="70"/>
        <v>303.79680627011606</v>
      </c>
      <c r="M166" s="415">
        <f t="shared" si="71"/>
        <v>151.89840313505803</v>
      </c>
      <c r="N166" s="422">
        <f t="shared" si="72"/>
        <v>151.90199999999999</v>
      </c>
      <c r="O166" s="423">
        <f t="shared" si="73"/>
        <v>1.0000236794124739</v>
      </c>
      <c r="P166"/>
      <c r="Q166"/>
    </row>
    <row r="167" spans="1:48" ht="15" customHeight="1" x14ac:dyDescent="0.25">
      <c r="O167" s="116"/>
    </row>
    <row r="168" spans="1:48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 s="116"/>
      <c r="P168"/>
    </row>
    <row r="169" spans="1:48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 s="116"/>
      <c r="P169"/>
    </row>
    <row r="170" spans="1:48" ht="15" customHeight="1" x14ac:dyDescent="0.25">
      <c r="A170"/>
      <c r="B170"/>
      <c r="C170"/>
      <c r="E170"/>
      <c r="F170"/>
      <c r="G170" s="388" t="s">
        <v>271</v>
      </c>
      <c r="H170"/>
      <c r="I170"/>
      <c r="J170"/>
      <c r="K170"/>
      <c r="L170"/>
      <c r="M170"/>
      <c r="N170"/>
      <c r="O170" s="116"/>
      <c r="P170"/>
    </row>
    <row r="171" spans="1:48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78"/>
      <c r="R171" s="177"/>
      <c r="S171" s="177"/>
    </row>
    <row r="172" spans="1:48" ht="15" customHeight="1" x14ac:dyDescent="0.25"/>
    <row r="173" spans="1:48" ht="15" customHeight="1" x14ac:dyDescent="0.25"/>
    <row r="174" spans="1:48" ht="15" customHeight="1" x14ac:dyDescent="0.25"/>
    <row r="175" spans="1:48" ht="15" customHeight="1" x14ac:dyDescent="0.25"/>
    <row r="176" spans="1:48" ht="15" customHeight="1" x14ac:dyDescent="0.25">
      <c r="E176" s="388" t="s">
        <v>303</v>
      </c>
    </row>
    <row r="177" spans="6:8" ht="15" customHeight="1" x14ac:dyDescent="0.25"/>
    <row r="178" spans="6:8" ht="15" customHeight="1" x14ac:dyDescent="0.25">
      <c r="F178" s="171"/>
      <c r="G178" s="490" t="s">
        <v>304</v>
      </c>
      <c r="H178" s="490" t="s">
        <v>287</v>
      </c>
    </row>
    <row r="179" spans="6:8" ht="15" customHeight="1" x14ac:dyDescent="0.25">
      <c r="F179" s="173" t="s">
        <v>35</v>
      </c>
      <c r="G179" s="483" t="s">
        <v>58</v>
      </c>
      <c r="H179" s="483" t="s">
        <v>58</v>
      </c>
    </row>
    <row r="180" spans="6:8" ht="15" customHeight="1" x14ac:dyDescent="0.25">
      <c r="F180" s="163"/>
      <c r="G180" s="484"/>
      <c r="H180" s="484"/>
    </row>
    <row r="181" spans="6:8" ht="15" customHeight="1" x14ac:dyDescent="0.25">
      <c r="F181" s="165"/>
      <c r="G181" s="485"/>
      <c r="H181" s="485"/>
    </row>
    <row r="182" spans="6:8" ht="15" customHeight="1" x14ac:dyDescent="0.25">
      <c r="F182" s="143">
        <v>1</v>
      </c>
      <c r="G182" s="486">
        <f t="shared" ref="G182:G193" si="74">L45</f>
        <v>0.78513299735102959</v>
      </c>
      <c r="H182" s="486">
        <f>P112</f>
        <v>0.68306570769539576</v>
      </c>
    </row>
    <row r="183" spans="6:8" ht="15" customHeight="1" x14ac:dyDescent="0.25">
      <c r="F183" s="147">
        <v>2</v>
      </c>
      <c r="G183" s="487">
        <f t="shared" si="74"/>
        <v>0.69547274765353551</v>
      </c>
      <c r="H183" s="487">
        <f t="shared" ref="H183:H193" si="75">P113</f>
        <v>0.60506129045857582</v>
      </c>
    </row>
    <row r="184" spans="6:8" ht="15" customHeight="1" x14ac:dyDescent="0.25">
      <c r="F184" s="152">
        <v>3</v>
      </c>
      <c r="G184" s="488">
        <f t="shared" si="74"/>
        <v>0.65740079778198701</v>
      </c>
      <c r="H184" s="488">
        <f t="shared" si="75"/>
        <v>0.5719386940703286</v>
      </c>
    </row>
    <row r="185" spans="6:8" ht="15" customHeight="1" x14ac:dyDescent="0.25">
      <c r="F185" s="147">
        <v>4</v>
      </c>
      <c r="G185" s="487">
        <f t="shared" si="74"/>
        <v>0.6427266728314962</v>
      </c>
      <c r="H185" s="487">
        <f t="shared" si="75"/>
        <v>0.55917220536340162</v>
      </c>
    </row>
    <row r="186" spans="6:8" ht="15" customHeight="1" x14ac:dyDescent="0.25">
      <c r="F186" s="147">
        <v>5</v>
      </c>
      <c r="G186" s="487">
        <f t="shared" si="74"/>
        <v>0.65686229778380389</v>
      </c>
      <c r="H186" s="487">
        <f t="shared" si="75"/>
        <v>0.57147019907190932</v>
      </c>
    </row>
    <row r="187" spans="6:8" ht="15" customHeight="1" x14ac:dyDescent="0.25">
      <c r="F187" s="152">
        <v>10</v>
      </c>
      <c r="G187" s="488">
        <f t="shared" si="74"/>
        <v>0.74500397748642166</v>
      </c>
      <c r="H187" s="488">
        <f t="shared" si="75"/>
        <v>0.64815346041318678</v>
      </c>
    </row>
    <row r="188" spans="6:8" ht="15" customHeight="1" x14ac:dyDescent="0.25">
      <c r="F188" s="147">
        <v>20</v>
      </c>
      <c r="G188" s="487">
        <f t="shared" si="74"/>
        <v>0.73989899750364518</v>
      </c>
      <c r="H188" s="487">
        <f t="shared" si="75"/>
        <v>0.64371212782817122</v>
      </c>
    </row>
    <row r="189" spans="6:8" ht="15" customHeight="1" x14ac:dyDescent="0.25">
      <c r="F189" s="147">
        <v>30</v>
      </c>
      <c r="G189" s="487">
        <f t="shared" si="74"/>
        <v>0.73989899750364518</v>
      </c>
      <c r="H189" s="487">
        <f t="shared" si="75"/>
        <v>0.64371212782817133</v>
      </c>
    </row>
    <row r="190" spans="6:8" ht="15" customHeight="1" x14ac:dyDescent="0.25">
      <c r="F190" s="147">
        <v>40</v>
      </c>
      <c r="G190" s="487">
        <f t="shared" si="74"/>
        <v>0.76332374742461206</v>
      </c>
      <c r="H190" s="487">
        <f t="shared" si="75"/>
        <v>0.66409166025941258</v>
      </c>
    </row>
    <row r="191" spans="6:8" ht="15" customHeight="1" x14ac:dyDescent="0.25">
      <c r="F191" s="147">
        <v>50</v>
      </c>
      <c r="G191" s="487">
        <f t="shared" si="74"/>
        <v>0.78513299735102959</v>
      </c>
      <c r="H191" s="487">
        <f t="shared" si="75"/>
        <v>0.68306570769539576</v>
      </c>
    </row>
    <row r="192" spans="6:8" ht="15" customHeight="1" x14ac:dyDescent="0.25">
      <c r="F192" s="147">
        <v>60</v>
      </c>
      <c r="G192" s="487">
        <f t="shared" si="74"/>
        <v>0.79644149731287583</v>
      </c>
      <c r="H192" s="487">
        <f t="shared" si="75"/>
        <v>0.69290410266220193</v>
      </c>
    </row>
    <row r="193" spans="6:8" ht="15" customHeight="1" x14ac:dyDescent="0.25">
      <c r="F193" s="157">
        <v>70</v>
      </c>
      <c r="G193" s="489">
        <f t="shared" si="74"/>
        <v>0.80590371156666529</v>
      </c>
      <c r="H193" s="489">
        <f t="shared" si="75"/>
        <v>0.70113622906299888</v>
      </c>
    </row>
    <row r="194" spans="6:8" ht="15" customHeight="1" x14ac:dyDescent="0.25"/>
    <row r="195" spans="6:8" ht="15" customHeight="1" x14ac:dyDescent="0.25"/>
    <row r="196" spans="6:8" ht="15" customHeight="1" x14ac:dyDescent="0.25"/>
    <row r="197" spans="6:8" ht="15" customHeight="1" x14ac:dyDescent="0.25"/>
    <row r="198" spans="6:8" ht="15" customHeight="1" x14ac:dyDescent="0.25"/>
    <row r="199" spans="6:8" ht="15" customHeight="1" x14ac:dyDescent="0.25"/>
    <row r="200" spans="6:8" ht="15" customHeight="1" x14ac:dyDescent="0.25"/>
    <row r="201" spans="6:8" ht="15" customHeight="1" x14ac:dyDescent="0.25"/>
    <row r="202" spans="6:8" ht="15" customHeight="1" x14ac:dyDescent="0.25"/>
    <row r="203" spans="6:8" ht="15" customHeight="1" x14ac:dyDescent="0.25"/>
    <row r="204" spans="6:8" ht="15" customHeight="1" x14ac:dyDescent="0.25"/>
    <row r="205" spans="6:8" ht="15" customHeight="1" x14ac:dyDescent="0.25"/>
    <row r="206" spans="6:8" ht="15" customHeight="1" x14ac:dyDescent="0.25"/>
    <row r="207" spans="6:8" ht="15" customHeight="1" x14ac:dyDescent="0.25"/>
    <row r="208" spans="6: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</sheetData>
  <mergeCells count="2">
    <mergeCell ref="AK159:AL159"/>
    <mergeCell ref="AK160:AL160"/>
  </mergeCells>
  <pageMargins left="0.2" right="0.2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5C13-B249-4DD9-8A30-1A9301BF451D}">
  <sheetPr transitionEvaluation="1" transitionEntry="1">
    <pageSetUpPr fitToPage="1"/>
  </sheetPr>
  <dimension ref="A1:BS396"/>
  <sheetViews>
    <sheetView showGridLines="0" tabSelected="1" topLeftCell="A214" zoomScale="80" zoomScaleNormal="80" workbookViewId="0">
      <selection activeCell="N225" sqref="N225"/>
    </sheetView>
  </sheetViews>
  <sheetFormatPr defaultRowHeight="15.75" x14ac:dyDescent="0.25"/>
  <cols>
    <col min="1" max="1" width="9.140625" style="545"/>
    <col min="2" max="2" width="6.85546875" style="545" customWidth="1"/>
    <col min="3" max="21" width="10.7109375" style="545" customWidth="1"/>
    <col min="22" max="22" width="13.5703125" style="545" customWidth="1"/>
    <col min="23" max="26" width="9.28515625" style="545" bestFit="1" customWidth="1"/>
    <col min="27" max="28" width="10.42578125" style="545" bestFit="1" customWidth="1"/>
    <col min="29" max="31" width="10.42578125" style="545" customWidth="1"/>
    <col min="32" max="32" width="13" style="545" customWidth="1"/>
    <col min="33" max="33" width="17.85546875" style="545" customWidth="1"/>
    <col min="34" max="34" width="17.140625" style="545" customWidth="1"/>
    <col min="35" max="35" width="8.42578125" style="545" customWidth="1"/>
    <col min="36" max="40" width="10.140625" style="545" customWidth="1"/>
    <col min="41" max="45" width="10.7109375" style="545" customWidth="1"/>
    <col min="46" max="46" width="10.42578125" style="545" customWidth="1"/>
    <col min="47" max="53" width="10.7109375" style="545" customWidth="1"/>
    <col min="54" max="59" width="9.28515625" style="545" bestFit="1" customWidth="1"/>
    <col min="60" max="60" width="11.140625" style="545" bestFit="1" customWidth="1"/>
    <col min="61" max="64" width="9.28515625" style="545" bestFit="1" customWidth="1"/>
    <col min="65" max="16384" width="9.140625" style="545"/>
  </cols>
  <sheetData>
    <row r="1" spans="1:52" x14ac:dyDescent="0.25">
      <c r="AZ1" s="545" t="s">
        <v>210</v>
      </c>
    </row>
    <row r="3" spans="1:52" x14ac:dyDescent="0.25">
      <c r="A3" s="545" t="s">
        <v>237</v>
      </c>
      <c r="B3" s="546" t="s">
        <v>333</v>
      </c>
    </row>
    <row r="4" spans="1:52" x14ac:dyDescent="0.25">
      <c r="B4" s="530" t="s">
        <v>428</v>
      </c>
    </row>
    <row r="5" spans="1:52" x14ac:dyDescent="0.25">
      <c r="B5" s="530" t="s">
        <v>429</v>
      </c>
    </row>
    <row r="6" spans="1:52" x14ac:dyDescent="0.25">
      <c r="B6" s="530" t="s">
        <v>430</v>
      </c>
    </row>
    <row r="7" spans="1:52" x14ac:dyDescent="0.25">
      <c r="B7" s="530" t="s">
        <v>431</v>
      </c>
    </row>
    <row r="8" spans="1:52" x14ac:dyDescent="0.25">
      <c r="B8" s="530" t="s">
        <v>432</v>
      </c>
    </row>
    <row r="9" spans="1:52" x14ac:dyDescent="0.25">
      <c r="A9" s="530" t="s">
        <v>337</v>
      </c>
    </row>
    <row r="10" spans="1:52" x14ac:dyDescent="0.25">
      <c r="B10" s="546"/>
    </row>
    <row r="11" spans="1:52" x14ac:dyDescent="0.25">
      <c r="B11" s="530"/>
    </row>
    <row r="13" spans="1:52" x14ac:dyDescent="0.25">
      <c r="B13" s="546" t="s">
        <v>237</v>
      </c>
      <c r="C13" s="548"/>
      <c r="J13" s="545" t="s">
        <v>341</v>
      </c>
    </row>
    <row r="14" spans="1:52" x14ac:dyDescent="0.25">
      <c r="C14" s="530" t="s">
        <v>338</v>
      </c>
      <c r="J14" s="545" t="s">
        <v>282</v>
      </c>
    </row>
    <row r="15" spans="1:52" ht="15" customHeight="1" x14ac:dyDescent="0.25">
      <c r="B15" s="546"/>
      <c r="C15" s="530" t="s">
        <v>339</v>
      </c>
      <c r="J15" s="530" t="s">
        <v>284</v>
      </c>
      <c r="K15" s="547"/>
    </row>
    <row r="16" spans="1:52" ht="15" customHeight="1" x14ac:dyDescent="0.25">
      <c r="A16" s="530"/>
      <c r="B16" s="546"/>
      <c r="C16" s="530" t="s">
        <v>340</v>
      </c>
      <c r="D16" s="549"/>
      <c r="J16" s="530" t="s">
        <v>282</v>
      </c>
    </row>
    <row r="17" spans="1:26" ht="15" customHeight="1" x14ac:dyDescent="0.25">
      <c r="A17" s="530"/>
      <c r="C17" s="530" t="s">
        <v>251</v>
      </c>
      <c r="D17" s="549"/>
      <c r="J17" s="530" t="s">
        <v>283</v>
      </c>
    </row>
    <row r="18" spans="1:26" ht="15" customHeight="1" x14ac:dyDescent="0.25">
      <c r="A18" s="530"/>
      <c r="B18" s="546"/>
      <c r="C18" s="530"/>
      <c r="D18" s="549"/>
    </row>
    <row r="19" spans="1:26" ht="15" customHeight="1" x14ac:dyDescent="0.25">
      <c r="A19" s="530"/>
      <c r="B19" s="546"/>
      <c r="C19" s="530"/>
      <c r="D19" s="549"/>
    </row>
    <row r="20" spans="1:26" ht="15" customHeight="1" thickBot="1" x14ac:dyDescent="0.3">
      <c r="A20" s="530"/>
      <c r="B20" s="786"/>
      <c r="C20" s="787"/>
      <c r="D20" s="783"/>
      <c r="E20" s="783"/>
      <c r="F20" s="783"/>
      <c r="G20" s="783"/>
      <c r="H20" s="783"/>
      <c r="I20" s="783"/>
      <c r="J20" s="783"/>
      <c r="K20" s="783"/>
      <c r="L20" s="783"/>
      <c r="M20" s="783"/>
      <c r="N20" s="783"/>
      <c r="O20" s="783"/>
      <c r="P20" s="783"/>
      <c r="Q20" s="783"/>
      <c r="R20" s="783"/>
      <c r="S20" s="783"/>
      <c r="T20" s="783"/>
      <c r="U20" s="783"/>
      <c r="V20" s="783"/>
      <c r="W20" s="783"/>
      <c r="X20" s="783"/>
      <c r="Y20" s="783"/>
      <c r="Z20" s="783"/>
    </row>
    <row r="21" spans="1:26" ht="15" customHeight="1" thickTop="1" x14ac:dyDescent="0.25">
      <c r="A21" s="530"/>
      <c r="B21" s="546"/>
      <c r="C21" s="530"/>
    </row>
    <row r="22" spans="1:26" ht="15" customHeight="1" x14ac:dyDescent="0.3">
      <c r="A22" s="530"/>
      <c r="B22" s="788" t="s">
        <v>349</v>
      </c>
      <c r="N22" s="545">
        <v>1</v>
      </c>
      <c r="O22" s="791">
        <f>P40</f>
        <v>2</v>
      </c>
      <c r="P22" s="792">
        <f>(O22+Q22)/2</f>
        <v>2.25</v>
      </c>
      <c r="Q22" s="792">
        <f>(O22+S22)/2</f>
        <v>2.5</v>
      </c>
      <c r="R22" s="792">
        <f>(Q22+S22)/2</f>
        <v>2.75</v>
      </c>
      <c r="S22" s="792">
        <f>Q40</f>
        <v>3</v>
      </c>
      <c r="T22" s="793" t="s">
        <v>437</v>
      </c>
      <c r="U22" s="794"/>
    </row>
    <row r="23" spans="1:26" ht="15" customHeight="1" x14ac:dyDescent="0.25">
      <c r="A23" s="530"/>
      <c r="B23" s="546"/>
      <c r="C23" s="530" t="s">
        <v>342</v>
      </c>
      <c r="N23" s="545">
        <v>2</v>
      </c>
      <c r="O23" s="791">
        <f t="shared" ref="O23:O33" si="0">P41</f>
        <v>3</v>
      </c>
      <c r="P23" s="792">
        <f t="shared" ref="P23:R28" si="1">(O23+Q23)/2</f>
        <v>3.4</v>
      </c>
      <c r="Q23" s="792">
        <f t="shared" ref="Q23:Q26" si="2">(O23+S23)/2</f>
        <v>3.8</v>
      </c>
      <c r="R23" s="792">
        <f t="shared" si="1"/>
        <v>4.1999999999999993</v>
      </c>
      <c r="S23" s="792">
        <f t="shared" ref="S23:S27" si="3">Q41</f>
        <v>4.5999999999999996</v>
      </c>
      <c r="T23" s="793" t="s">
        <v>437</v>
      </c>
      <c r="U23" s="794"/>
    </row>
    <row r="24" spans="1:26" ht="15" customHeight="1" x14ac:dyDescent="0.25">
      <c r="A24" s="530"/>
      <c r="B24" s="546"/>
      <c r="C24" s="545" t="s">
        <v>343</v>
      </c>
      <c r="N24" s="545">
        <v>3</v>
      </c>
      <c r="O24" s="791">
        <f t="shared" si="0"/>
        <v>4.2</v>
      </c>
      <c r="P24" s="792">
        <f t="shared" si="1"/>
        <v>4.8250000000000002</v>
      </c>
      <c r="Q24" s="792">
        <f t="shared" si="2"/>
        <v>5.45</v>
      </c>
      <c r="R24" s="792">
        <f t="shared" si="1"/>
        <v>6.0750000000000002</v>
      </c>
      <c r="S24" s="792">
        <f t="shared" si="3"/>
        <v>6.7</v>
      </c>
      <c r="T24" s="793" t="s">
        <v>437</v>
      </c>
      <c r="U24" s="794"/>
    </row>
    <row r="25" spans="1:26" ht="15" customHeight="1" x14ac:dyDescent="0.25">
      <c r="A25" s="530"/>
      <c r="B25" s="546"/>
      <c r="C25" s="530" t="s">
        <v>344</v>
      </c>
      <c r="N25" s="545">
        <v>4</v>
      </c>
      <c r="O25" s="791">
        <f t="shared" si="0"/>
        <v>5.6</v>
      </c>
      <c r="P25" s="792">
        <f t="shared" si="1"/>
        <v>6.4</v>
      </c>
      <c r="Q25" s="792">
        <f t="shared" si="2"/>
        <v>7.2</v>
      </c>
      <c r="R25" s="792">
        <f t="shared" si="1"/>
        <v>8</v>
      </c>
      <c r="S25" s="792">
        <f t="shared" si="3"/>
        <v>8.8000000000000007</v>
      </c>
      <c r="T25" s="793" t="s">
        <v>437</v>
      </c>
      <c r="U25" s="794"/>
    </row>
    <row r="26" spans="1:26" ht="15" customHeight="1" x14ac:dyDescent="0.25">
      <c r="A26" s="530"/>
      <c r="B26" s="546"/>
      <c r="N26" s="545">
        <v>5</v>
      </c>
      <c r="O26" s="791">
        <f t="shared" si="0"/>
        <v>7.1</v>
      </c>
      <c r="P26" s="792">
        <f t="shared" si="1"/>
        <v>8.25</v>
      </c>
      <c r="Q26" s="792">
        <f t="shared" si="2"/>
        <v>9.3999999999999986</v>
      </c>
      <c r="R26" s="792">
        <f t="shared" si="1"/>
        <v>10.549999999999999</v>
      </c>
      <c r="S26" s="792">
        <f t="shared" si="3"/>
        <v>11.7</v>
      </c>
      <c r="T26" s="793" t="s">
        <v>437</v>
      </c>
      <c r="U26" s="794"/>
    </row>
    <row r="27" spans="1:26" ht="15" customHeight="1" x14ac:dyDescent="0.25">
      <c r="A27" s="530"/>
      <c r="B27" s="546"/>
      <c r="N27" s="545">
        <v>10</v>
      </c>
      <c r="O27" s="791">
        <f t="shared" si="0"/>
        <v>15</v>
      </c>
      <c r="P27" s="792">
        <f t="shared" si="1"/>
        <v>17.7</v>
      </c>
      <c r="Q27" s="792">
        <f>(O27+S27)/2</f>
        <v>20.399999999999999</v>
      </c>
      <c r="R27" s="792">
        <f t="shared" si="1"/>
        <v>23.1</v>
      </c>
      <c r="S27" s="792">
        <f t="shared" si="3"/>
        <v>25.8</v>
      </c>
      <c r="T27" s="793" t="s">
        <v>437</v>
      </c>
      <c r="U27" s="794"/>
    </row>
    <row r="28" spans="1:26" ht="15" customHeight="1" x14ac:dyDescent="0.25">
      <c r="A28" s="530"/>
      <c r="B28" s="546"/>
      <c r="N28" s="545">
        <v>20</v>
      </c>
      <c r="O28" s="791">
        <f t="shared" si="0"/>
        <v>31.8</v>
      </c>
      <c r="P28" s="792">
        <f t="shared" si="1"/>
        <v>36.85</v>
      </c>
      <c r="Q28" s="792">
        <f>(O28+S28)/2</f>
        <v>41.9</v>
      </c>
      <c r="R28" s="792">
        <f t="shared" si="1"/>
        <v>46.95</v>
      </c>
      <c r="S28" s="792">
        <f t="shared" ref="S28" si="4">Q46</f>
        <v>52</v>
      </c>
      <c r="T28" s="793" t="s">
        <v>437</v>
      </c>
      <c r="U28" s="794"/>
    </row>
    <row r="29" spans="1:26" ht="15" customHeight="1" x14ac:dyDescent="0.25">
      <c r="A29" s="530"/>
      <c r="B29" s="546"/>
      <c r="N29" s="545">
        <v>30</v>
      </c>
      <c r="O29" s="791">
        <f t="shared" si="0"/>
        <v>51</v>
      </c>
      <c r="P29" s="792">
        <f t="shared" ref="P29" si="5">(O29+Q29)/2</f>
        <v>57.25</v>
      </c>
      <c r="Q29" s="792">
        <f t="shared" ref="Q29:Q30" si="6">(O29+S29)/2</f>
        <v>63.5</v>
      </c>
      <c r="R29" s="792">
        <f t="shared" ref="R29" si="7">(Q29+S29)/2</f>
        <v>69.75</v>
      </c>
      <c r="S29" s="792">
        <f t="shared" ref="S29:S30" si="8">Q47</f>
        <v>76</v>
      </c>
      <c r="T29" s="793" t="s">
        <v>437</v>
      </c>
      <c r="U29" s="794"/>
    </row>
    <row r="30" spans="1:26" ht="15" customHeight="1" x14ac:dyDescent="0.25">
      <c r="A30" s="530"/>
      <c r="B30" s="546"/>
      <c r="N30" s="545">
        <v>40</v>
      </c>
      <c r="O30" s="791">
        <f t="shared" si="0"/>
        <v>71.599999999999994</v>
      </c>
      <c r="P30" s="792">
        <f t="shared" ref="P30:P33" si="9">(O30+Q30)/2</f>
        <v>79.949999999999989</v>
      </c>
      <c r="Q30" s="792">
        <f t="shared" si="6"/>
        <v>88.3</v>
      </c>
      <c r="R30" s="792">
        <f t="shared" ref="R30:R33" si="10">(Q30+S30)/2</f>
        <v>96.65</v>
      </c>
      <c r="S30" s="792">
        <f t="shared" si="8"/>
        <v>105</v>
      </c>
      <c r="T30" s="793" t="s">
        <v>437</v>
      </c>
      <c r="U30" s="794"/>
    </row>
    <row r="31" spans="1:26" ht="15" customHeight="1" x14ac:dyDescent="0.25">
      <c r="A31" s="530"/>
      <c r="B31" s="546"/>
      <c r="N31" s="545">
        <v>50</v>
      </c>
      <c r="O31" s="791">
        <f t="shared" si="0"/>
        <v>91.7</v>
      </c>
      <c r="P31" s="792">
        <f t="shared" si="9"/>
        <v>101.94999999999999</v>
      </c>
      <c r="Q31" s="792">
        <f t="shared" ref="Q31" si="11">(O31+S31)/2</f>
        <v>112.19999999999999</v>
      </c>
      <c r="R31" s="792">
        <f t="shared" si="10"/>
        <v>122.44999999999999</v>
      </c>
      <c r="S31" s="792">
        <f t="shared" ref="S31" si="12">Q49</f>
        <v>132.69999999999999</v>
      </c>
      <c r="T31" s="793" t="s">
        <v>437</v>
      </c>
      <c r="U31" s="794"/>
    </row>
    <row r="32" spans="1:26" ht="15" customHeight="1" x14ac:dyDescent="0.25">
      <c r="A32" s="530"/>
      <c r="B32" s="546"/>
      <c r="N32" s="545">
        <v>60</v>
      </c>
      <c r="O32" s="791">
        <f t="shared" si="0"/>
        <v>116.1</v>
      </c>
      <c r="P32" s="792">
        <f t="shared" si="9"/>
        <v>125.075</v>
      </c>
      <c r="Q32" s="792">
        <f t="shared" ref="Q32:Q33" si="13">(O32+S32)/2</f>
        <v>134.05000000000001</v>
      </c>
      <c r="R32" s="792">
        <f t="shared" si="10"/>
        <v>143.02500000000001</v>
      </c>
      <c r="S32" s="792">
        <f t="shared" ref="S32:S33" si="14">Q50</f>
        <v>152</v>
      </c>
      <c r="T32" s="793" t="s">
        <v>437</v>
      </c>
      <c r="U32" s="794"/>
    </row>
    <row r="33" spans="1:61" ht="15" customHeight="1" x14ac:dyDescent="0.25">
      <c r="A33" s="530"/>
      <c r="B33" s="546"/>
      <c r="N33" s="545">
        <v>70</v>
      </c>
      <c r="O33" s="791">
        <f t="shared" si="0"/>
        <v>141.19999999999999</v>
      </c>
      <c r="P33" s="792">
        <f t="shared" si="9"/>
        <v>150.39999999999998</v>
      </c>
      <c r="Q33" s="792">
        <f t="shared" si="13"/>
        <v>159.6</v>
      </c>
      <c r="R33" s="792">
        <f t="shared" si="10"/>
        <v>168.8</v>
      </c>
      <c r="S33" s="792">
        <f t="shared" si="14"/>
        <v>178</v>
      </c>
      <c r="T33" s="793" t="s">
        <v>437</v>
      </c>
      <c r="U33" s="794"/>
    </row>
    <row r="34" spans="1:61" ht="15" customHeight="1" x14ac:dyDescent="0.25">
      <c r="A34" s="530"/>
      <c r="B34" s="546"/>
      <c r="G34" s="530"/>
    </row>
    <row r="35" spans="1:61" ht="15" customHeight="1" x14ac:dyDescent="0.25">
      <c r="A35" s="530"/>
      <c r="G35" s="530"/>
    </row>
    <row r="36" spans="1:61" ht="15" customHeight="1" x14ac:dyDescent="0.25">
      <c r="A36" s="530"/>
      <c r="C36" s="654"/>
      <c r="D36" s="552"/>
      <c r="E36" s="552"/>
      <c r="F36" s="552"/>
      <c r="G36" s="552"/>
      <c r="H36" s="552"/>
      <c r="I36" s="552"/>
      <c r="J36" s="643"/>
      <c r="K36" s="552"/>
      <c r="L36" s="552"/>
      <c r="M36" s="552"/>
      <c r="N36" s="552"/>
      <c r="O36" s="551"/>
      <c r="P36" s="552"/>
      <c r="Q36" s="552"/>
      <c r="R36" s="552"/>
      <c r="S36" s="552"/>
      <c r="T36" s="790" t="s">
        <v>435</v>
      </c>
      <c r="U36" s="552"/>
      <c r="V36" s="552"/>
      <c r="W36" s="562"/>
      <c r="BI36" s="545" t="s">
        <v>276</v>
      </c>
    </row>
    <row r="37" spans="1:61" ht="15" customHeight="1" x14ac:dyDescent="0.25">
      <c r="A37" s="530"/>
      <c r="B37" s="546"/>
      <c r="C37" s="554"/>
      <c r="J37" s="644"/>
      <c r="O37" s="554"/>
      <c r="W37" s="645"/>
    </row>
    <row r="38" spans="1:61" ht="15" customHeight="1" x14ac:dyDescent="0.25">
      <c r="A38" s="530"/>
      <c r="B38" s="546"/>
      <c r="C38"/>
      <c r="D38"/>
      <c r="E38"/>
      <c r="F38"/>
      <c r="G38"/>
      <c r="H38"/>
      <c r="I38"/>
      <c r="J38"/>
      <c r="K38"/>
      <c r="L38"/>
      <c r="M38"/>
      <c r="O38" s="554"/>
      <c r="U38" s="789">
        <v>1.1100000000000001</v>
      </c>
      <c r="V38" s="545" t="s">
        <v>433</v>
      </c>
      <c r="W38" s="645"/>
    </row>
    <row r="39" spans="1:61" ht="15" customHeight="1" x14ac:dyDescent="0.25">
      <c r="A39" s="530"/>
      <c r="B39" s="546"/>
      <c r="C39"/>
      <c r="D39" s="530" t="s">
        <v>451</v>
      </c>
      <c r="E39"/>
      <c r="F39"/>
      <c r="G39"/>
      <c r="H39"/>
      <c r="I39"/>
      <c r="J39"/>
      <c r="K39"/>
      <c r="L39"/>
      <c r="M39"/>
      <c r="O39" s="595" t="s">
        <v>35</v>
      </c>
      <c r="P39" s="550" t="s">
        <v>312</v>
      </c>
      <c r="Q39" s="550" t="s">
        <v>313</v>
      </c>
      <c r="R39" s="666" t="s">
        <v>142</v>
      </c>
      <c r="S39" s="646" t="s">
        <v>315</v>
      </c>
      <c r="T39" s="550" t="s">
        <v>434</v>
      </c>
      <c r="U39" s="550" t="s">
        <v>312</v>
      </c>
      <c r="V39" s="550" t="s">
        <v>313</v>
      </c>
      <c r="W39" s="645"/>
    </row>
    <row r="40" spans="1:61" ht="15" customHeight="1" x14ac:dyDescent="0.25">
      <c r="A40" s="530"/>
      <c r="B40" s="546"/>
      <c r="C40"/>
      <c r="D40" s="545" t="s">
        <v>448</v>
      </c>
      <c r="E40"/>
      <c r="F40"/>
      <c r="G40"/>
      <c r="H40"/>
      <c r="I40"/>
      <c r="J40"/>
      <c r="K40"/>
      <c r="L40"/>
      <c r="M40"/>
      <c r="N40" s="537"/>
      <c r="O40" s="795" t="s">
        <v>256</v>
      </c>
      <c r="P40" s="796">
        <v>2</v>
      </c>
      <c r="Q40" s="796">
        <v>3</v>
      </c>
      <c r="R40" s="797">
        <f>Q40/P40</f>
        <v>1.5</v>
      </c>
      <c r="S40" s="802">
        <f>(Q40+P40)/2</f>
        <v>2.5</v>
      </c>
      <c r="T40" s="798">
        <v>2.5</v>
      </c>
      <c r="U40" s="799">
        <f t="shared" ref="U40:U46" si="15">S40/U$38</f>
        <v>2.2522522522522519</v>
      </c>
      <c r="V40" s="800">
        <f t="shared" ref="V40:V46" si="16">S40*U$38</f>
        <v>2.7750000000000004</v>
      </c>
      <c r="W40" s="645"/>
      <c r="X40" s="545" t="s">
        <v>436</v>
      </c>
    </row>
    <row r="41" spans="1:61" ht="15" customHeight="1" x14ac:dyDescent="0.25">
      <c r="A41" s="530"/>
      <c r="B41" s="546"/>
      <c r="C41"/>
      <c r="D41" s="530" t="s">
        <v>449</v>
      </c>
      <c r="E41"/>
      <c r="F41"/>
      <c r="G41"/>
      <c r="H41"/>
      <c r="I41"/>
      <c r="J41"/>
      <c r="K41"/>
      <c r="L41"/>
      <c r="M41"/>
      <c r="N41" s="537"/>
      <c r="O41" s="795" t="s">
        <v>255</v>
      </c>
      <c r="P41" s="796">
        <v>3</v>
      </c>
      <c r="Q41" s="796">
        <v>4.5999999999999996</v>
      </c>
      <c r="R41" s="797">
        <f>Q41/P41</f>
        <v>1.5333333333333332</v>
      </c>
      <c r="S41" s="802">
        <f>(Q41+P41)/2</f>
        <v>3.8</v>
      </c>
      <c r="T41" s="798">
        <v>3.8</v>
      </c>
      <c r="U41" s="799">
        <f t="shared" si="15"/>
        <v>3.4234234234234231</v>
      </c>
      <c r="V41" s="800">
        <f t="shared" si="16"/>
        <v>4.218</v>
      </c>
      <c r="W41" s="645"/>
    </row>
    <row r="42" spans="1:61" ht="15" customHeight="1" x14ac:dyDescent="0.25">
      <c r="A42" s="530"/>
      <c r="B42" s="546"/>
      <c r="C42"/>
      <c r="D42" s="814" t="s">
        <v>450</v>
      </c>
      <c r="E42"/>
      <c r="F42"/>
      <c r="G42"/>
      <c r="H42"/>
      <c r="I42"/>
      <c r="J42"/>
      <c r="K42"/>
      <c r="L42"/>
      <c r="M42"/>
      <c r="N42" s="537"/>
      <c r="O42" s="795" t="s">
        <v>307</v>
      </c>
      <c r="P42" s="796">
        <v>4.2</v>
      </c>
      <c r="Q42" s="796">
        <v>6.7</v>
      </c>
      <c r="R42" s="797">
        <f t="shared" ref="R42:R45" si="17">Q42/P42</f>
        <v>1.5952380952380951</v>
      </c>
      <c r="S42" s="802">
        <f>(Q42+P42)/2</f>
        <v>5.45</v>
      </c>
      <c r="T42" s="798">
        <v>5.4</v>
      </c>
      <c r="U42" s="799">
        <f t="shared" si="15"/>
        <v>4.9099099099099099</v>
      </c>
      <c r="V42" s="800">
        <f t="shared" si="16"/>
        <v>6.049500000000001</v>
      </c>
      <c r="W42" s="645"/>
      <c r="X42" s="545" t="s">
        <v>438</v>
      </c>
    </row>
    <row r="43" spans="1:61" ht="15" customHeight="1" x14ac:dyDescent="0.25">
      <c r="A43" s="530"/>
      <c r="B43" s="546"/>
      <c r="C43"/>
      <c r="D43" t="s">
        <v>452</v>
      </c>
      <c r="E43" s="545" t="s">
        <v>453</v>
      </c>
      <c r="F43"/>
      <c r="G43"/>
      <c r="H43"/>
      <c r="I43"/>
      <c r="J43"/>
      <c r="K43"/>
      <c r="L43"/>
      <c r="M43"/>
      <c r="N43" s="537"/>
      <c r="O43" s="795" t="s">
        <v>308</v>
      </c>
      <c r="P43" s="796">
        <v>5.6</v>
      </c>
      <c r="Q43" s="796">
        <v>8.8000000000000007</v>
      </c>
      <c r="R43" s="797">
        <f t="shared" si="17"/>
        <v>1.5714285714285716</v>
      </c>
      <c r="S43" s="802">
        <f t="shared" ref="S43:S45" si="18">(Q43+P43)/2</f>
        <v>7.2</v>
      </c>
      <c r="T43" s="798">
        <v>7.2</v>
      </c>
      <c r="U43" s="799">
        <f t="shared" si="15"/>
        <v>6.486486486486486</v>
      </c>
      <c r="V43" s="800">
        <f t="shared" si="16"/>
        <v>7.9920000000000009</v>
      </c>
      <c r="W43" s="645"/>
    </row>
    <row r="44" spans="1:61" ht="15" customHeight="1" x14ac:dyDescent="0.25">
      <c r="A44" s="530"/>
      <c r="B44" s="546"/>
      <c r="C44"/>
      <c r="D44" t="s">
        <v>454</v>
      </c>
      <c r="E44" t="s">
        <v>455</v>
      </c>
      <c r="F44"/>
      <c r="G44"/>
      <c r="H44"/>
      <c r="I44"/>
      <c r="J44"/>
      <c r="K44"/>
      <c r="L44"/>
      <c r="M44"/>
      <c r="N44" s="537"/>
      <c r="O44" s="795" t="s">
        <v>309</v>
      </c>
      <c r="P44" s="796">
        <v>7.1</v>
      </c>
      <c r="Q44" s="796">
        <v>11.7</v>
      </c>
      <c r="R44" s="797">
        <f t="shared" si="17"/>
        <v>1.647887323943662</v>
      </c>
      <c r="S44" s="802">
        <f t="shared" si="18"/>
        <v>9.3999999999999986</v>
      </c>
      <c r="T44" s="798">
        <v>9.3000000000000007</v>
      </c>
      <c r="U44" s="799">
        <f t="shared" si="15"/>
        <v>8.4684684684684672</v>
      </c>
      <c r="V44" s="800">
        <f t="shared" si="16"/>
        <v>10.433999999999999</v>
      </c>
      <c r="W44" s="645"/>
    </row>
    <row r="45" spans="1:61" ht="15" customHeight="1" x14ac:dyDescent="0.25">
      <c r="A45" s="530"/>
      <c r="B45" s="546"/>
      <c r="C45"/>
      <c r="D45" t="s">
        <v>456</v>
      </c>
      <c r="E45" s="1" t="s">
        <v>457</v>
      </c>
      <c r="F45"/>
      <c r="G45"/>
      <c r="H45"/>
      <c r="I45"/>
      <c r="J45"/>
      <c r="K45"/>
      <c r="L45"/>
      <c r="M45"/>
      <c r="N45" s="537"/>
      <c r="O45" s="801" t="s">
        <v>317</v>
      </c>
      <c r="P45" s="796">
        <v>15</v>
      </c>
      <c r="Q45" s="796">
        <v>25.8</v>
      </c>
      <c r="R45" s="797">
        <f t="shared" si="17"/>
        <v>1.72</v>
      </c>
      <c r="S45" s="802">
        <f t="shared" si="18"/>
        <v>20.399999999999999</v>
      </c>
      <c r="T45" s="798">
        <v>19.600000000000001</v>
      </c>
      <c r="U45" s="799">
        <f>S45/U$38</f>
        <v>18.378378378378375</v>
      </c>
      <c r="V45" s="800">
        <f t="shared" si="16"/>
        <v>22.644000000000002</v>
      </c>
      <c r="W45" s="645"/>
      <c r="X45" s="545" t="s">
        <v>439</v>
      </c>
    </row>
    <row r="46" spans="1:61" ht="15" customHeight="1" x14ac:dyDescent="0.25">
      <c r="A46" s="530"/>
      <c r="C46"/>
      <c r="D46" t="s">
        <v>458</v>
      </c>
      <c r="E46" t="s">
        <v>459</v>
      </c>
      <c r="F46"/>
      <c r="G46"/>
      <c r="H46"/>
      <c r="I46"/>
      <c r="J46"/>
      <c r="K46"/>
      <c r="L46"/>
      <c r="M46"/>
      <c r="O46" s="801" t="s">
        <v>440</v>
      </c>
      <c r="P46" s="796">
        <v>31.8</v>
      </c>
      <c r="Q46" s="796">
        <v>52</v>
      </c>
      <c r="R46" s="797">
        <f t="shared" ref="R46" si="19">Q46/P46</f>
        <v>1.6352201257861634</v>
      </c>
      <c r="S46" s="802">
        <f t="shared" ref="S46" si="20">(Q46+P46)/2</f>
        <v>41.9</v>
      </c>
      <c r="T46" s="798">
        <v>41.8</v>
      </c>
      <c r="U46" s="799">
        <f t="shared" si="15"/>
        <v>37.747747747747745</v>
      </c>
      <c r="V46" s="800">
        <f t="shared" si="16"/>
        <v>46.509</v>
      </c>
      <c r="W46" s="645"/>
    </row>
    <row r="47" spans="1:61" ht="15" customHeight="1" x14ac:dyDescent="0.25">
      <c r="A47" s="530"/>
      <c r="C47"/>
      <c r="D47"/>
      <c r="E47"/>
      <c r="F47"/>
      <c r="G47"/>
      <c r="H47"/>
      <c r="I47"/>
      <c r="J47"/>
      <c r="K47"/>
      <c r="L47"/>
      <c r="M47"/>
      <c r="O47" s="801" t="s">
        <v>441</v>
      </c>
      <c r="P47" s="796">
        <v>51</v>
      </c>
      <c r="Q47" s="796">
        <v>76</v>
      </c>
      <c r="R47" s="797">
        <f t="shared" ref="R47:R51" si="21">Q47/P47</f>
        <v>1.4901960784313726</v>
      </c>
      <c r="S47" s="802">
        <f t="shared" ref="S47:S51" si="22">(Q47+P47)/2</f>
        <v>63.5</v>
      </c>
      <c r="T47" s="798">
        <v>63.5</v>
      </c>
      <c r="U47" s="799">
        <f t="shared" ref="U47:U51" si="23">S47/U$38</f>
        <v>57.207207207207205</v>
      </c>
      <c r="V47" s="800">
        <f t="shared" ref="V47:V51" si="24">S47*U$38</f>
        <v>70.484999999999999</v>
      </c>
    </row>
    <row r="48" spans="1:61" ht="15" customHeight="1" x14ac:dyDescent="0.25">
      <c r="A48" s="530"/>
      <c r="C48"/>
      <c r="F48"/>
      <c r="G48"/>
      <c r="H48"/>
      <c r="I48"/>
      <c r="J48"/>
      <c r="K48"/>
      <c r="L48"/>
      <c r="M48"/>
      <c r="O48" s="801" t="s">
        <v>442</v>
      </c>
      <c r="P48" s="796">
        <v>71.599999999999994</v>
      </c>
      <c r="Q48" s="796">
        <v>105</v>
      </c>
      <c r="R48" s="797">
        <f t="shared" si="21"/>
        <v>1.4664804469273744</v>
      </c>
      <c r="S48" s="802">
        <f t="shared" si="22"/>
        <v>88.3</v>
      </c>
      <c r="T48" s="798">
        <v>85.8</v>
      </c>
      <c r="U48" s="799">
        <f t="shared" si="23"/>
        <v>79.549549549549539</v>
      </c>
      <c r="V48" s="800">
        <f t="shared" si="24"/>
        <v>98.013000000000005</v>
      </c>
    </row>
    <row r="49" spans="1:34" ht="15" customHeight="1" x14ac:dyDescent="0.25">
      <c r="A49" s="530"/>
      <c r="C49" s="537"/>
      <c r="D49" s="535"/>
      <c r="E49" s="537"/>
      <c r="F49" s="535"/>
      <c r="G49" s="560"/>
      <c r="O49" s="801" t="s">
        <v>443</v>
      </c>
      <c r="P49" s="796">
        <v>91.7</v>
      </c>
      <c r="Q49" s="796">
        <v>132.69999999999999</v>
      </c>
      <c r="R49" s="797">
        <f t="shared" si="21"/>
        <v>1.4471101417666301</v>
      </c>
      <c r="S49" s="802">
        <f t="shared" si="22"/>
        <v>112.19999999999999</v>
      </c>
      <c r="T49" s="798">
        <v>109.8</v>
      </c>
      <c r="U49" s="799">
        <f t="shared" si="23"/>
        <v>101.08108108108107</v>
      </c>
      <c r="V49" s="800">
        <f t="shared" si="24"/>
        <v>124.542</v>
      </c>
    </row>
    <row r="50" spans="1:34" ht="15" customHeight="1" x14ac:dyDescent="0.25">
      <c r="A50" s="530"/>
      <c r="B50" s="530"/>
      <c r="C50" s="530"/>
      <c r="E50" s="537"/>
      <c r="F50" s="535"/>
      <c r="G50" s="560"/>
      <c r="O50" s="801" t="s">
        <v>444</v>
      </c>
      <c r="P50" s="796">
        <v>116.1</v>
      </c>
      <c r="Q50" s="796">
        <v>152</v>
      </c>
      <c r="R50" s="797">
        <f t="shared" si="21"/>
        <v>1.3092161929371233</v>
      </c>
      <c r="S50" s="802">
        <f t="shared" si="22"/>
        <v>134.05000000000001</v>
      </c>
      <c r="T50" s="798">
        <v>133</v>
      </c>
      <c r="U50" s="799">
        <f t="shared" si="23"/>
        <v>120.76576576576576</v>
      </c>
      <c r="V50" s="800">
        <f t="shared" si="24"/>
        <v>148.79550000000003</v>
      </c>
      <c r="Y50" s="545">
        <f>39.8*0.5</f>
        <v>19.899999999999999</v>
      </c>
    </row>
    <row r="51" spans="1:34" ht="15" customHeight="1" x14ac:dyDescent="0.25">
      <c r="A51" s="530"/>
      <c r="C51" s="537"/>
      <c r="E51" s="537"/>
      <c r="F51" s="535"/>
      <c r="G51" s="560"/>
      <c r="O51" s="801" t="s">
        <v>445</v>
      </c>
      <c r="P51" s="796">
        <v>141.19999999999999</v>
      </c>
      <c r="Q51" s="796">
        <v>178</v>
      </c>
      <c r="R51" s="797">
        <f t="shared" si="21"/>
        <v>1.2606232294617565</v>
      </c>
      <c r="S51" s="802">
        <f t="shared" si="22"/>
        <v>159.6</v>
      </c>
      <c r="T51" s="798">
        <v>155.4</v>
      </c>
      <c r="U51" s="799">
        <f t="shared" si="23"/>
        <v>143.78378378378378</v>
      </c>
      <c r="V51" s="800">
        <f t="shared" si="24"/>
        <v>177.15600000000001</v>
      </c>
    </row>
    <row r="52" spans="1:34" ht="15" customHeight="1" x14ac:dyDescent="0.25">
      <c r="A52" s="530"/>
      <c r="C52" s="537"/>
      <c r="E52" s="537"/>
      <c r="F52" s="535"/>
      <c r="G52" s="560"/>
      <c r="O52" s="838"/>
      <c r="P52" s="881"/>
      <c r="Q52" s="881"/>
      <c r="R52" s="895"/>
      <c r="S52" s="896"/>
      <c r="T52" s="897"/>
      <c r="U52" s="898"/>
      <c r="V52" s="898"/>
    </row>
    <row r="53" spans="1:34" ht="15" customHeight="1" x14ac:dyDescent="0.25">
      <c r="A53" s="530"/>
      <c r="C53" s="537"/>
      <c r="E53" s="537"/>
      <c r="F53" s="535"/>
      <c r="G53" s="560"/>
      <c r="O53" s="838"/>
      <c r="P53" s="881"/>
      <c r="Q53" s="881"/>
      <c r="R53" s="895"/>
      <c r="S53" s="896"/>
      <c r="T53" s="897"/>
      <c r="U53" s="898"/>
      <c r="V53" s="898"/>
    </row>
    <row r="54" spans="1:34" ht="15" customHeight="1" x14ac:dyDescent="0.25">
      <c r="A54" s="530"/>
      <c r="C54" s="537"/>
      <c r="E54" s="537"/>
      <c r="F54" s="535"/>
      <c r="G54" s="560"/>
      <c r="O54" s="838"/>
      <c r="P54" s="881"/>
      <c r="Q54" s="881"/>
      <c r="R54" s="895"/>
      <c r="S54" s="896"/>
      <c r="T54" s="897"/>
      <c r="U54" s="898"/>
      <c r="V54" s="898"/>
    </row>
    <row r="55" spans="1:34" ht="15" customHeight="1" x14ac:dyDescent="0.25">
      <c r="A55" s="530"/>
      <c r="C55" s="537"/>
      <c r="E55" s="537"/>
      <c r="F55" s="535"/>
      <c r="G55" s="560"/>
      <c r="X55" s="830"/>
      <c r="Y55" s="830"/>
    </row>
    <row r="56" spans="1:34" ht="15" customHeight="1" thickBot="1" x14ac:dyDescent="0.3">
      <c r="A56" s="530"/>
      <c r="C56" s="537"/>
      <c r="E56" s="537"/>
      <c r="F56" s="535"/>
      <c r="G56" s="560"/>
      <c r="X56" s="830"/>
      <c r="Y56" s="830"/>
    </row>
    <row r="57" spans="1:34" ht="15" customHeight="1" x14ac:dyDescent="0.25">
      <c r="A57" s="530"/>
      <c r="B57" s="824"/>
      <c r="C57" s="825"/>
      <c r="D57" s="826"/>
      <c r="E57" s="827"/>
      <c r="F57" s="827"/>
      <c r="G57" s="827"/>
      <c r="H57" s="827"/>
      <c r="I57" s="827"/>
      <c r="J57" s="827"/>
      <c r="K57" s="827"/>
      <c r="L57" s="827"/>
      <c r="M57" s="827"/>
      <c r="N57" s="827"/>
      <c r="O57" s="827"/>
      <c r="P57" s="827"/>
      <c r="Q57" s="827"/>
      <c r="R57" s="827"/>
      <c r="S57" s="827"/>
      <c r="T57" s="827"/>
      <c r="U57" s="827"/>
      <c r="V57" s="827"/>
      <c r="W57" s="828"/>
      <c r="X57" s="830"/>
      <c r="Y57" s="830"/>
    </row>
    <row r="58" spans="1:34" ht="15" customHeight="1" x14ac:dyDescent="0.25">
      <c r="A58" s="530"/>
      <c r="B58" s="829"/>
      <c r="C58" s="830" t="s">
        <v>477</v>
      </c>
      <c r="D58" s="831"/>
      <c r="E58" s="821"/>
      <c r="F58" s="879" t="s">
        <v>460</v>
      </c>
      <c r="G58" s="832" t="s">
        <v>461</v>
      </c>
      <c r="H58" s="831"/>
      <c r="I58" s="830"/>
      <c r="J58" s="830"/>
      <c r="K58" s="830"/>
      <c r="L58" s="830"/>
      <c r="M58" s="830"/>
      <c r="N58" s="830"/>
      <c r="O58" s="830"/>
      <c r="P58" s="830"/>
      <c r="Q58" s="830"/>
      <c r="R58" s="830"/>
      <c r="S58" s="830"/>
      <c r="T58" s="830"/>
      <c r="U58" s="830"/>
      <c r="V58" s="830"/>
      <c r="W58" s="833"/>
      <c r="X58" s="830"/>
      <c r="Y58" s="830"/>
    </row>
    <row r="59" spans="1:34" ht="15" customHeight="1" x14ac:dyDescent="0.25">
      <c r="A59" s="530"/>
      <c r="B59" s="829"/>
      <c r="C59" s="908" t="s">
        <v>478</v>
      </c>
      <c r="D59" s="831"/>
      <c r="E59" s="830"/>
      <c r="F59" s="830" t="s">
        <v>463</v>
      </c>
      <c r="G59" s="830"/>
      <c r="H59" s="831"/>
      <c r="I59" s="830"/>
      <c r="J59" s="830"/>
      <c r="K59" s="830"/>
      <c r="L59" s="830"/>
      <c r="M59" s="830"/>
      <c r="N59" s="830"/>
      <c r="O59" s="821"/>
      <c r="P59" s="823"/>
      <c r="Q59" s="821"/>
      <c r="R59" s="823"/>
      <c r="S59" s="830"/>
      <c r="T59" s="830"/>
      <c r="U59" s="830"/>
      <c r="V59" s="830"/>
      <c r="W59" s="833"/>
      <c r="X59" s="830"/>
      <c r="Y59" s="830"/>
    </row>
    <row r="60" spans="1:34" ht="15" customHeight="1" x14ac:dyDescent="0.25">
      <c r="A60" s="530"/>
      <c r="B60" s="829"/>
      <c r="C60" s="908" t="s">
        <v>479</v>
      </c>
      <c r="D60" s="830"/>
      <c r="E60" s="830"/>
      <c r="F60" s="830"/>
      <c r="G60" s="835"/>
      <c r="H60" s="831"/>
      <c r="I60" s="830"/>
      <c r="J60" s="830"/>
      <c r="K60" s="830"/>
      <c r="L60" s="830"/>
      <c r="M60" s="830"/>
      <c r="N60" s="830"/>
      <c r="O60" s="830"/>
      <c r="P60" s="830"/>
      <c r="Q60" s="834"/>
      <c r="R60" s="823"/>
      <c r="S60" s="830"/>
      <c r="T60" s="830"/>
      <c r="U60" s="830"/>
      <c r="V60" s="830"/>
      <c r="W60" s="833"/>
      <c r="X60" s="830"/>
      <c r="Y60" s="830"/>
    </row>
    <row r="61" spans="1:34" ht="15" customHeight="1" x14ac:dyDescent="0.25">
      <c r="A61" s="530"/>
      <c r="B61" s="829"/>
      <c r="C61" s="830"/>
      <c r="D61" s="830"/>
      <c r="E61" s="830"/>
      <c r="F61" s="830"/>
      <c r="G61" s="830"/>
      <c r="H61" s="830"/>
      <c r="I61" s="920" t="s">
        <v>483</v>
      </c>
      <c r="J61" s="921"/>
      <c r="K61" s="830"/>
      <c r="L61" s="836"/>
      <c r="M61" s="830"/>
      <c r="N61" s="821"/>
      <c r="O61" s="821"/>
      <c r="P61" s="821"/>
      <c r="Q61" s="837"/>
      <c r="R61" s="830"/>
      <c r="S61" s="830"/>
      <c r="T61" s="830"/>
      <c r="U61" s="830"/>
      <c r="V61" s="830"/>
      <c r="W61" s="918"/>
      <c r="X61" s="830"/>
      <c r="Y61" s="830"/>
      <c r="AC61" s="462"/>
      <c r="AD61" s="816" t="s">
        <v>462</v>
      </c>
      <c r="AE61" s="817"/>
      <c r="AF61" s="817"/>
      <c r="AG61" s="817"/>
      <c r="AH61" s="818"/>
    </row>
    <row r="62" spans="1:34" ht="15" customHeight="1" x14ac:dyDescent="0.25">
      <c r="A62" s="530"/>
      <c r="B62" s="829"/>
      <c r="C62" s="830"/>
      <c r="D62" s="830"/>
      <c r="E62" s="830"/>
      <c r="F62" s="830"/>
      <c r="G62" s="835"/>
      <c r="H62" s="831"/>
      <c r="I62" s="830"/>
      <c r="J62" s="830"/>
      <c r="K62" s="830"/>
      <c r="L62" s="836"/>
      <c r="M62" s="830"/>
      <c r="N62" s="821"/>
      <c r="O62" s="821"/>
      <c r="P62" s="821"/>
      <c r="Q62" s="837"/>
      <c r="R62" s="830"/>
      <c r="S62" s="830"/>
      <c r="T62" s="830"/>
      <c r="U62" s="830"/>
      <c r="V62" s="830"/>
      <c r="W62" s="918"/>
      <c r="X62" s="830"/>
      <c r="Y62" s="830"/>
      <c r="AC62" s="462"/>
      <c r="AD62" s="815"/>
      <c r="AE62" s="906"/>
      <c r="AF62" s="906"/>
      <c r="AG62" s="906"/>
      <c r="AH62" s="907"/>
    </row>
    <row r="63" spans="1:34" ht="15" customHeight="1" x14ac:dyDescent="0.25">
      <c r="A63" s="530"/>
      <c r="B63" s="839"/>
      <c r="C63" s="830"/>
      <c r="D63" s="830"/>
      <c r="E63" s="830"/>
      <c r="F63" s="831"/>
      <c r="G63" s="830"/>
      <c r="H63" s="830"/>
      <c r="I63" s="830"/>
      <c r="J63" s="830"/>
      <c r="K63" s="830"/>
      <c r="L63" s="836" t="s">
        <v>480</v>
      </c>
      <c r="M63" s="830"/>
      <c r="N63" s="838" t="s">
        <v>360</v>
      </c>
      <c r="O63" s="838" t="s">
        <v>360</v>
      </c>
      <c r="P63" s="838" t="s">
        <v>360</v>
      </c>
      <c r="Q63" s="834" t="s">
        <v>360</v>
      </c>
      <c r="R63" s="830"/>
      <c r="S63" s="830"/>
      <c r="T63" s="830"/>
      <c r="U63" s="830"/>
      <c r="V63" s="830"/>
      <c r="W63" s="918"/>
      <c r="X63" s="830"/>
      <c r="Y63" s="830"/>
      <c r="AC63" s="460"/>
      <c r="AD63" s="467" t="s">
        <v>288</v>
      </c>
      <c r="AE63" s="468" t="s">
        <v>288</v>
      </c>
      <c r="AF63" s="469">
        <f>1/2</f>
        <v>0.5</v>
      </c>
      <c r="AG63" s="467" t="s">
        <v>128</v>
      </c>
      <c r="AH63" s="468" t="s">
        <v>128</v>
      </c>
    </row>
    <row r="64" spans="1:34" ht="15" customHeight="1" x14ac:dyDescent="0.25">
      <c r="A64" s="530"/>
      <c r="B64" s="839"/>
      <c r="C64" s="561" t="s">
        <v>15</v>
      </c>
      <c r="D64" s="552"/>
      <c r="E64" s="552"/>
      <c r="F64" s="887" t="s">
        <v>460</v>
      </c>
      <c r="G64" s="840"/>
      <c r="H64" s="841"/>
      <c r="I64" s="882" t="s">
        <v>469</v>
      </c>
      <c r="J64" s="840"/>
      <c r="K64" s="842" t="s">
        <v>111</v>
      </c>
      <c r="L64" s="840" t="s">
        <v>191</v>
      </c>
      <c r="M64" s="830"/>
      <c r="N64" s="821" t="s">
        <v>267</v>
      </c>
      <c r="O64" s="821" t="s">
        <v>267</v>
      </c>
      <c r="P64" s="821" t="s">
        <v>267</v>
      </c>
      <c r="Q64" s="837" t="s">
        <v>267</v>
      </c>
      <c r="R64" s="830"/>
      <c r="S64" s="830"/>
      <c r="T64" s="830"/>
      <c r="U64" s="830"/>
      <c r="V64" s="830"/>
      <c r="W64" s="918"/>
      <c r="X64" s="830"/>
      <c r="Y64" s="830"/>
      <c r="AC64" s="462" t="s">
        <v>289</v>
      </c>
      <c r="AD64" s="462" t="s">
        <v>291</v>
      </c>
      <c r="AE64" s="470" t="s">
        <v>292</v>
      </c>
      <c r="AF64" s="471" t="s">
        <v>293</v>
      </c>
      <c r="AG64" s="462" t="s">
        <v>291</v>
      </c>
      <c r="AH64" s="470" t="s">
        <v>292</v>
      </c>
    </row>
    <row r="65" spans="1:34" ht="15" customHeight="1" x14ac:dyDescent="0.25">
      <c r="A65" s="530"/>
      <c r="B65" s="839"/>
      <c r="C65" s="565" t="s">
        <v>61</v>
      </c>
      <c r="D65" s="843" t="s">
        <v>19</v>
      </c>
      <c r="E65" s="821">
        <v>0.9</v>
      </c>
      <c r="F65" s="888" t="s">
        <v>297</v>
      </c>
      <c r="G65" s="844" t="s">
        <v>2</v>
      </c>
      <c r="H65" s="883" t="s">
        <v>470</v>
      </c>
      <c r="I65" s="844" t="s">
        <v>295</v>
      </c>
      <c r="J65" s="845" t="s">
        <v>133</v>
      </c>
      <c r="K65" s="845" t="s">
        <v>127</v>
      </c>
      <c r="L65" s="845" t="s">
        <v>128</v>
      </c>
      <c r="M65" s="830"/>
      <c r="N65" s="846" t="s">
        <v>82</v>
      </c>
      <c r="O65" s="846" t="s">
        <v>26</v>
      </c>
      <c r="P65" s="847" t="s">
        <v>288</v>
      </c>
      <c r="Q65" s="848" t="s">
        <v>358</v>
      </c>
      <c r="R65" s="830"/>
      <c r="S65" s="830"/>
      <c r="T65" s="830"/>
      <c r="U65" s="830"/>
      <c r="V65" s="830"/>
      <c r="W65" s="918"/>
      <c r="X65" s="830"/>
      <c r="Y65" s="830"/>
      <c r="AC65" s="462">
        <v>1</v>
      </c>
      <c r="AD65" s="472">
        <v>2.1</v>
      </c>
      <c r="AE65" s="473">
        <v>-1.99</v>
      </c>
      <c r="AF65" s="474">
        <v>-1.05</v>
      </c>
      <c r="AG65" s="472">
        <v>0.68569999999999998</v>
      </c>
      <c r="AH65" s="473">
        <v>0.65</v>
      </c>
    </row>
    <row r="66" spans="1:34" ht="15" customHeight="1" x14ac:dyDescent="0.25">
      <c r="A66" s="530"/>
      <c r="B66" s="839"/>
      <c r="C66" s="565" t="s">
        <v>62</v>
      </c>
      <c r="D66" s="843" t="s">
        <v>20</v>
      </c>
      <c r="E66" s="821">
        <v>1.02</v>
      </c>
      <c r="F66" s="925">
        <v>2.2000000000000002</v>
      </c>
      <c r="G66" s="849">
        <v>1</v>
      </c>
      <c r="H66" s="850">
        <f>U40</f>
        <v>2.2522522522522519</v>
      </c>
      <c r="I66" s="849">
        <f>F66</f>
        <v>2.2000000000000002</v>
      </c>
      <c r="J66" s="851">
        <f>I66*2</f>
        <v>4.4000000000000004</v>
      </c>
      <c r="K66" s="852">
        <f>(J66/G66)</f>
        <v>4.4000000000000004</v>
      </c>
      <c r="L66" s="853">
        <f>SQRT(12*32.2*K66^2/(4*$E$68*($E$66*56)*$E$65^2))</f>
        <v>0.68959668962666554</v>
      </c>
      <c r="M66" s="830"/>
      <c r="N66" s="830">
        <v>0.7</v>
      </c>
      <c r="O66" s="854">
        <f>($N66*$E$65*SQRT(4*$E$68*$E$67/32.2)/12)</f>
        <v>4.4662729903821807</v>
      </c>
      <c r="P66" s="855">
        <f>(O66*G66)/2</f>
        <v>2.2331364951910904</v>
      </c>
      <c r="Q66" s="856">
        <f>P66-I66</f>
        <v>3.3136495191090187E-2</v>
      </c>
      <c r="R66" s="830"/>
      <c r="S66" s="830"/>
      <c r="T66" s="830"/>
      <c r="U66" s="830"/>
      <c r="V66" s="830"/>
      <c r="W66" s="918"/>
      <c r="X66" s="830"/>
      <c r="Y66" s="830"/>
      <c r="AC66" s="462">
        <v>2</v>
      </c>
      <c r="AD66" s="472">
        <v>3.1</v>
      </c>
      <c r="AE66" s="473">
        <v>-3.98</v>
      </c>
      <c r="AF66" s="474">
        <v>-0.78</v>
      </c>
      <c r="AG66" s="472">
        <v>0.50609999999999999</v>
      </c>
      <c r="AH66" s="473">
        <v>0.65</v>
      </c>
    </row>
    <row r="67" spans="1:34" ht="15" customHeight="1" x14ac:dyDescent="0.25">
      <c r="A67" s="530"/>
      <c r="B67" s="839"/>
      <c r="C67" s="565" t="s">
        <v>356</v>
      </c>
      <c r="D67" s="830"/>
      <c r="E67" s="855">
        <f>(E66*2.20462*25.4*12)</f>
        <v>685.40753952</v>
      </c>
      <c r="F67" s="892">
        <v>3.4</v>
      </c>
      <c r="G67" s="821">
        <v>2</v>
      </c>
      <c r="H67" s="850">
        <f t="shared" ref="H67:H77" si="25">U41</f>
        <v>3.4234234234234231</v>
      </c>
      <c r="I67" s="821">
        <f t="shared" ref="I67:I77" si="26">F67</f>
        <v>3.4</v>
      </c>
      <c r="J67" s="855">
        <f t="shared" ref="J67:J77" si="27">I67*2</f>
        <v>6.8</v>
      </c>
      <c r="K67" s="854">
        <f t="shared" ref="K67:K77" si="28">(J67/G67)</f>
        <v>3.4</v>
      </c>
      <c r="L67" s="857">
        <f>SQRT(12*32.2*K67^2/(4*$E$68*($E$66*56)*$E$65^2))</f>
        <v>0.53287016925696873</v>
      </c>
      <c r="M67" s="830"/>
      <c r="N67" s="830">
        <v>0.7</v>
      </c>
      <c r="O67" s="854">
        <f t="shared" ref="O67:O71" si="29">($N67*$E$65*SQRT(4*$E$68*$E$67/32.2)/12)</f>
        <v>4.4662729903821807</v>
      </c>
      <c r="P67" s="855">
        <f t="shared" ref="P67:P71" si="30">(O67*G67)/2</f>
        <v>4.4662729903821807</v>
      </c>
      <c r="Q67" s="856">
        <f t="shared" ref="Q67:Q71" si="31">P67-I67</f>
        <v>1.0662729903821808</v>
      </c>
      <c r="R67" s="830"/>
      <c r="S67" s="830"/>
      <c r="T67" s="830"/>
      <c r="U67" s="830"/>
      <c r="V67" s="830"/>
      <c r="W67" s="918"/>
      <c r="X67" s="830"/>
      <c r="Y67" s="830"/>
      <c r="AC67" s="462">
        <v>3</v>
      </c>
      <c r="AD67" s="475">
        <v>4.5999999999999996</v>
      </c>
      <c r="AE67" s="478">
        <v>-5.97</v>
      </c>
      <c r="AF67" s="477">
        <v>-0.77</v>
      </c>
      <c r="AG67" s="475">
        <v>0.50070000000000003</v>
      </c>
      <c r="AH67" s="478">
        <v>0.65</v>
      </c>
    </row>
    <row r="68" spans="1:34" ht="15" customHeight="1" x14ac:dyDescent="0.25">
      <c r="A68" s="530"/>
      <c r="B68" s="839"/>
      <c r="C68" s="571" t="s">
        <v>59</v>
      </c>
      <c r="D68" s="572" t="s">
        <v>28</v>
      </c>
      <c r="E68" s="651">
        <v>85</v>
      </c>
      <c r="F68" s="891">
        <v>4.7</v>
      </c>
      <c r="G68" s="820">
        <v>3</v>
      </c>
      <c r="H68" s="850">
        <f t="shared" si="25"/>
        <v>4.9099099099099099</v>
      </c>
      <c r="I68" s="820">
        <f t="shared" si="26"/>
        <v>4.7</v>
      </c>
      <c r="J68" s="858">
        <f t="shared" si="27"/>
        <v>9.4</v>
      </c>
      <c r="K68" s="859">
        <f t="shared" si="28"/>
        <v>3.1333333333333333</v>
      </c>
      <c r="L68" s="860">
        <f>SQRT(12*32.2*K68^2/(4*$E$68*($E$66*56)*$E$65^2))</f>
        <v>0.49107643049171634</v>
      </c>
      <c r="M68" s="830"/>
      <c r="N68" s="830">
        <v>0.7</v>
      </c>
      <c r="O68" s="854">
        <f t="shared" si="29"/>
        <v>4.4662729903821807</v>
      </c>
      <c r="P68" s="855">
        <f t="shared" si="30"/>
        <v>6.6994094855732715</v>
      </c>
      <c r="Q68" s="856">
        <f t="shared" si="31"/>
        <v>1.9994094855732714</v>
      </c>
      <c r="R68" s="830"/>
      <c r="S68" s="830"/>
      <c r="T68" s="830"/>
      <c r="U68" s="830"/>
      <c r="V68" s="830"/>
      <c r="W68" s="918"/>
      <c r="X68" s="830"/>
      <c r="Y68" s="830"/>
      <c r="AC68" s="462">
        <v>4</v>
      </c>
      <c r="AD68" s="472">
        <v>6.3</v>
      </c>
      <c r="AE68" s="473">
        <v>-7.96</v>
      </c>
      <c r="AF68" s="474">
        <v>-0.79</v>
      </c>
      <c r="AG68" s="472">
        <v>0.51429999999999998</v>
      </c>
      <c r="AH68" s="473">
        <v>0.65</v>
      </c>
    </row>
    <row r="69" spans="1:34" ht="15" customHeight="1" x14ac:dyDescent="0.25">
      <c r="A69" s="530"/>
      <c r="B69" s="829"/>
      <c r="C69" s="830"/>
      <c r="D69" s="830"/>
      <c r="E69" s="830"/>
      <c r="F69" s="892">
        <f t="shared" ref="F69:F70" si="32">D75</f>
        <v>6.3</v>
      </c>
      <c r="G69" s="821">
        <v>4</v>
      </c>
      <c r="H69" s="850">
        <f t="shared" si="25"/>
        <v>6.486486486486486</v>
      </c>
      <c r="I69" s="821">
        <f t="shared" si="26"/>
        <v>6.3</v>
      </c>
      <c r="J69" s="855">
        <f t="shared" si="27"/>
        <v>12.6</v>
      </c>
      <c r="K69" s="854">
        <f t="shared" si="28"/>
        <v>3.15</v>
      </c>
      <c r="L69" s="857">
        <f>SQRT(12*32.2*K69^2/(4*$E$68*($E$66*56)*$E$65^2))</f>
        <v>0.49368853916454458</v>
      </c>
      <c r="M69" s="830"/>
      <c r="N69" s="830">
        <v>0.7</v>
      </c>
      <c r="O69" s="854">
        <f t="shared" si="29"/>
        <v>4.4662729903821807</v>
      </c>
      <c r="P69" s="855">
        <f t="shared" si="30"/>
        <v>8.9325459807643615</v>
      </c>
      <c r="Q69" s="856">
        <f t="shared" si="31"/>
        <v>2.6325459807643616</v>
      </c>
      <c r="R69" s="830"/>
      <c r="S69" s="830"/>
      <c r="T69" s="830"/>
      <c r="U69" s="830"/>
      <c r="V69" s="830"/>
      <c r="W69" s="918"/>
      <c r="X69" s="830"/>
      <c r="Y69" s="830"/>
      <c r="AC69" s="462">
        <v>5</v>
      </c>
      <c r="AD69" s="472">
        <v>8.1999999999999993</v>
      </c>
      <c r="AE69" s="473">
        <v>-9.9499999999999993</v>
      </c>
      <c r="AF69" s="474">
        <v>-0.82</v>
      </c>
      <c r="AG69" s="472">
        <v>0.53549999999999998</v>
      </c>
      <c r="AH69" s="473">
        <v>0.65</v>
      </c>
    </row>
    <row r="70" spans="1:34" ht="15" customHeight="1" x14ac:dyDescent="0.25">
      <c r="A70" s="530"/>
      <c r="B70" s="861"/>
      <c r="C70" s="878" t="s">
        <v>460</v>
      </c>
      <c r="D70" s="862"/>
      <c r="E70" s="830"/>
      <c r="F70" s="892">
        <f t="shared" si="32"/>
        <v>8.1999999999999993</v>
      </c>
      <c r="G70" s="821">
        <v>5</v>
      </c>
      <c r="H70" s="850">
        <f t="shared" si="25"/>
        <v>8.4684684684684672</v>
      </c>
      <c r="I70" s="821">
        <f t="shared" si="26"/>
        <v>8.1999999999999993</v>
      </c>
      <c r="J70" s="855">
        <f t="shared" si="27"/>
        <v>16.399999999999999</v>
      </c>
      <c r="K70" s="854">
        <f t="shared" si="28"/>
        <v>3.28</v>
      </c>
      <c r="L70" s="857">
        <f>SQRT(12*32.2*K70^2/(4*$E$68*($E$66*56)*$E$65^2))</f>
        <v>0.5140629868126052</v>
      </c>
      <c r="M70" s="830"/>
      <c r="N70" s="830">
        <v>0.7</v>
      </c>
      <c r="O70" s="854">
        <f t="shared" si="29"/>
        <v>4.4662729903821807</v>
      </c>
      <c r="P70" s="855">
        <f t="shared" si="30"/>
        <v>11.165682475955451</v>
      </c>
      <c r="Q70" s="856">
        <f t="shared" si="31"/>
        <v>2.9656824759554521</v>
      </c>
      <c r="R70" s="830"/>
      <c r="S70" s="830"/>
      <c r="T70" s="830"/>
      <c r="U70" s="830"/>
      <c r="V70" s="830"/>
      <c r="W70" s="918"/>
      <c r="X70" s="830"/>
      <c r="Y70" s="830"/>
      <c r="AC70" s="462">
        <v>10</v>
      </c>
      <c r="AD70" s="475">
        <v>18.600000000000001</v>
      </c>
      <c r="AE70" s="478">
        <v>-19.91</v>
      </c>
      <c r="AF70" s="477">
        <v>-0.93</v>
      </c>
      <c r="AG70" s="475">
        <v>0.60729999999999995</v>
      </c>
      <c r="AH70" s="478">
        <v>0.65</v>
      </c>
    </row>
    <row r="71" spans="1:34" ht="15" customHeight="1" x14ac:dyDescent="0.25">
      <c r="A71" s="530"/>
      <c r="B71" s="863"/>
      <c r="C71" s="864" t="s">
        <v>427</v>
      </c>
      <c r="D71" s="865" t="s">
        <v>346</v>
      </c>
      <c r="E71" s="830"/>
      <c r="F71" s="891">
        <v>18.2</v>
      </c>
      <c r="G71" s="820">
        <v>10</v>
      </c>
      <c r="H71" s="850">
        <f t="shared" si="25"/>
        <v>18.378378378378375</v>
      </c>
      <c r="I71" s="820">
        <f t="shared" si="26"/>
        <v>18.2</v>
      </c>
      <c r="J71" s="858">
        <f t="shared" si="27"/>
        <v>36.4</v>
      </c>
      <c r="K71" s="859">
        <f t="shared" si="28"/>
        <v>3.6399999999999997</v>
      </c>
      <c r="L71" s="905">
        <f>SQRT(12*32.2*K71^2/(4*$E$68*($E$66*56)*$E$65^2))</f>
        <v>0.570484534145696</v>
      </c>
      <c r="M71" s="855">
        <f>((((I$77-I$71)/6)*(G71-G$71)/10)+I$71)*-1</f>
        <v>-18.2</v>
      </c>
      <c r="N71" s="830">
        <v>0.7</v>
      </c>
      <c r="O71" s="854">
        <f>($N71*$E$65*SQRT(4*$E$68*$E$67/32.2)/12)</f>
        <v>4.4662729903821807</v>
      </c>
      <c r="P71" s="855">
        <f>(O71*G71)/2</f>
        <v>22.331364951910903</v>
      </c>
      <c r="Q71" s="856">
        <f t="shared" si="31"/>
        <v>4.1313649519109035</v>
      </c>
      <c r="R71" s="830"/>
      <c r="S71" s="830"/>
      <c r="T71" s="830"/>
      <c r="U71" s="830"/>
      <c r="V71" s="830"/>
      <c r="W71" s="918"/>
      <c r="X71" s="830"/>
      <c r="Y71" s="830"/>
      <c r="AC71" s="462">
        <v>20</v>
      </c>
      <c r="AD71" s="472">
        <v>38.700000000000003</v>
      </c>
      <c r="AE71" s="473">
        <v>-39.81</v>
      </c>
      <c r="AF71" s="474">
        <v>-0.97</v>
      </c>
      <c r="AG71" s="472">
        <v>0.63180000000000003</v>
      </c>
      <c r="AH71" s="473">
        <v>0.65</v>
      </c>
    </row>
    <row r="72" spans="1:34" ht="15" customHeight="1" x14ac:dyDescent="0.25">
      <c r="A72" s="530"/>
      <c r="B72" s="839"/>
      <c r="C72" s="866">
        <v>2.1</v>
      </c>
      <c r="D72" s="823">
        <f>C72</f>
        <v>2.1</v>
      </c>
      <c r="E72" s="830"/>
      <c r="F72" s="892">
        <v>39.6</v>
      </c>
      <c r="G72" s="821">
        <v>20</v>
      </c>
      <c r="H72" s="850">
        <f t="shared" si="25"/>
        <v>37.747747747747745</v>
      </c>
      <c r="I72" s="821">
        <f t="shared" si="26"/>
        <v>39.6</v>
      </c>
      <c r="J72" s="855">
        <f t="shared" si="27"/>
        <v>79.2</v>
      </c>
      <c r="K72" s="854">
        <f t="shared" si="28"/>
        <v>3.96</v>
      </c>
      <c r="L72" s="857">
        <f>SQRT(12*32.2*K72^2/(4*$E$68*($E$66*56)*$E$65^2))</f>
        <v>0.62063702066399895</v>
      </c>
      <c r="M72" s="855">
        <f t="shared" ref="M72:M77" si="33">((((I$77-I$71)/6)*(G72-G$71)/10)+I$71)*-1</f>
        <v>-40.450000000000003</v>
      </c>
      <c r="N72" s="830">
        <v>0.7</v>
      </c>
      <c r="O72" s="854">
        <f>($N72*$E$65*SQRT(4*$E$68*$E$67/32.2)/12)</f>
        <v>4.4662729903821807</v>
      </c>
      <c r="P72" s="855">
        <f>(O72*G72)/2</f>
        <v>44.662729903821806</v>
      </c>
      <c r="Q72" s="856">
        <f>P72-I72</f>
        <v>5.0627299038218041</v>
      </c>
      <c r="R72" s="830"/>
      <c r="S72" s="830"/>
      <c r="T72" s="830"/>
      <c r="U72" s="830"/>
      <c r="V72" s="830"/>
      <c r="W72" s="918"/>
      <c r="X72" s="830"/>
      <c r="Y72" s="830"/>
      <c r="AC72" s="462">
        <v>30</v>
      </c>
      <c r="AD72" s="475">
        <v>59.6</v>
      </c>
      <c r="AE72" s="476">
        <v>-59.72</v>
      </c>
      <c r="AF72" s="477">
        <v>-1</v>
      </c>
      <c r="AG72" s="475">
        <v>0.64870000000000005</v>
      </c>
      <c r="AH72" s="478">
        <v>0.65</v>
      </c>
    </row>
    <row r="73" spans="1:34" ht="15" customHeight="1" x14ac:dyDescent="0.25">
      <c r="A73" s="530"/>
      <c r="B73" s="839"/>
      <c r="C73" s="866">
        <v>3.1</v>
      </c>
      <c r="D73" s="823">
        <f t="shared" ref="D73:D83" si="34">C73</f>
        <v>3.1</v>
      </c>
      <c r="E73" s="830"/>
      <c r="F73" s="891">
        <v>61.2</v>
      </c>
      <c r="G73" s="820">
        <v>30</v>
      </c>
      <c r="H73" s="850">
        <f t="shared" si="25"/>
        <v>57.207207207207205</v>
      </c>
      <c r="I73" s="820">
        <f t="shared" si="26"/>
        <v>61.2</v>
      </c>
      <c r="J73" s="858">
        <f>I73*2</f>
        <v>122.4</v>
      </c>
      <c r="K73" s="859">
        <f>(J73/G73)</f>
        <v>4.08</v>
      </c>
      <c r="L73" s="860">
        <f>SQRT(12*32.2*K73^2/(4*$E$68*($E$66*56)*$E$65^2))</f>
        <v>0.63944420310836259</v>
      </c>
      <c r="M73" s="855">
        <f>((((I$77-I$71)/6)*(G73-G$71)/10)+I$71)*-1</f>
        <v>-62.7</v>
      </c>
      <c r="N73" s="830">
        <v>0.7</v>
      </c>
      <c r="O73" s="854">
        <f>($N73*$E$65*SQRT(4*$E$68*$E$67/32.2)/12)</f>
        <v>4.4662729903821807</v>
      </c>
      <c r="P73" s="855">
        <f>(O73*G73)/2</f>
        <v>66.994094855732712</v>
      </c>
      <c r="Q73" s="868">
        <f>P73-I73</f>
        <v>5.794094855732709</v>
      </c>
      <c r="R73" s="830"/>
      <c r="S73" s="830"/>
      <c r="T73" s="830"/>
      <c r="U73" s="830"/>
      <c r="V73" s="830"/>
      <c r="W73" s="918"/>
      <c r="X73" s="830"/>
      <c r="Y73" s="830"/>
      <c r="AC73" s="462">
        <v>40</v>
      </c>
      <c r="AD73" s="472">
        <v>82.2</v>
      </c>
      <c r="AE73" s="473">
        <v>-79.63</v>
      </c>
      <c r="AF73" s="474">
        <v>-1.03</v>
      </c>
      <c r="AG73" s="472">
        <v>0.67100000000000004</v>
      </c>
      <c r="AH73" s="473">
        <v>0.65</v>
      </c>
    </row>
    <row r="74" spans="1:34" ht="15" customHeight="1" x14ac:dyDescent="0.25">
      <c r="A74" s="530"/>
      <c r="B74" s="839"/>
      <c r="C74" s="869">
        <v>4.5999999999999996</v>
      </c>
      <c r="D74" s="823">
        <f t="shared" si="34"/>
        <v>4.5999999999999996</v>
      </c>
      <c r="E74" s="830"/>
      <c r="F74" s="892">
        <v>83.7</v>
      </c>
      <c r="G74" s="821">
        <v>40</v>
      </c>
      <c r="H74" s="850">
        <f t="shared" si="25"/>
        <v>79.549549549549539</v>
      </c>
      <c r="I74" s="821">
        <f t="shared" si="26"/>
        <v>83.7</v>
      </c>
      <c r="J74" s="855">
        <f t="shared" si="27"/>
        <v>167.4</v>
      </c>
      <c r="K74" s="854">
        <f t="shared" si="28"/>
        <v>4.1850000000000005</v>
      </c>
      <c r="L74" s="857">
        <f>SQRT(12*32.2*K74^2/(4*$E$68*($E$66*56)*$E$65^2))</f>
        <v>0.65590048774718079</v>
      </c>
      <c r="M74" s="855">
        <f t="shared" si="33"/>
        <v>-84.95</v>
      </c>
      <c r="N74" s="830">
        <v>0.7</v>
      </c>
      <c r="O74" s="854">
        <f>($N74*$E$65*SQRT(4*$E$68*$E$67/32.2)/12)</f>
        <v>4.4662729903821807</v>
      </c>
      <c r="P74" s="855">
        <f>(O74*G74)/2</f>
        <v>89.325459807643611</v>
      </c>
      <c r="Q74" s="856">
        <f>P74-I74</f>
        <v>5.6254598076436082</v>
      </c>
      <c r="R74" s="830"/>
      <c r="S74" s="830"/>
      <c r="T74" s="830"/>
      <c r="U74" s="830"/>
      <c r="V74" s="830"/>
      <c r="W74" s="918"/>
      <c r="X74" s="830"/>
      <c r="Y74" s="830"/>
      <c r="AC74" s="462">
        <v>50</v>
      </c>
      <c r="AD74" s="472">
        <v>105.9</v>
      </c>
      <c r="AE74" s="473">
        <v>-99.53</v>
      </c>
      <c r="AF74" s="474">
        <v>-1.06</v>
      </c>
      <c r="AG74" s="472">
        <v>0.69159999999999999</v>
      </c>
      <c r="AH74" s="473">
        <v>0.65</v>
      </c>
    </row>
    <row r="75" spans="1:34" ht="15" customHeight="1" x14ac:dyDescent="0.25">
      <c r="A75" s="530"/>
      <c r="B75" s="839"/>
      <c r="C75" s="866">
        <v>6.3</v>
      </c>
      <c r="D75" s="823">
        <f t="shared" si="34"/>
        <v>6.3</v>
      </c>
      <c r="E75" s="830"/>
      <c r="F75" s="892">
        <v>106</v>
      </c>
      <c r="G75" s="821">
        <v>50</v>
      </c>
      <c r="H75" s="850">
        <f t="shared" si="25"/>
        <v>101.08108108108107</v>
      </c>
      <c r="I75" s="821">
        <f t="shared" si="26"/>
        <v>106</v>
      </c>
      <c r="J75" s="855">
        <f t="shared" si="27"/>
        <v>212</v>
      </c>
      <c r="K75" s="854">
        <f t="shared" si="28"/>
        <v>4.24</v>
      </c>
      <c r="L75" s="857">
        <f>SQRT(12*32.2*K75^2/(4*$E$68*($E$66*56)*$E$65^2))</f>
        <v>0.66452044636751406</v>
      </c>
      <c r="M75" s="855">
        <f t="shared" si="33"/>
        <v>-107.2</v>
      </c>
      <c r="N75" s="830">
        <v>0.7</v>
      </c>
      <c r="O75" s="854">
        <f>($N75*$E$65*SQRT(4*$E$68*$E$67/32.2)/12)</f>
        <v>4.4662729903821807</v>
      </c>
      <c r="P75" s="855">
        <f>(O75*G75)/2</f>
        <v>111.65682475955452</v>
      </c>
      <c r="Q75" s="856">
        <f>P75-I75</f>
        <v>5.6568247595545245</v>
      </c>
      <c r="R75" s="830"/>
      <c r="S75" s="830"/>
      <c r="T75" s="830"/>
      <c r="U75" s="830"/>
      <c r="V75" s="830"/>
      <c r="W75" s="918"/>
      <c r="X75" s="830"/>
      <c r="Y75" s="830"/>
      <c r="AC75" s="462">
        <v>60</v>
      </c>
      <c r="AD75" s="472">
        <v>128.69999999999999</v>
      </c>
      <c r="AE75" s="473">
        <v>-119.44</v>
      </c>
      <c r="AF75" s="474">
        <v>-1.08</v>
      </c>
      <c r="AG75" s="472">
        <v>0.70040000000000002</v>
      </c>
      <c r="AH75" s="473">
        <v>0.65</v>
      </c>
    </row>
    <row r="76" spans="1:34" ht="15" customHeight="1" x14ac:dyDescent="0.25">
      <c r="A76" s="530"/>
      <c r="B76" s="839"/>
      <c r="C76" s="866">
        <v>8.1999999999999993</v>
      </c>
      <c r="D76" s="823">
        <f t="shared" si="34"/>
        <v>8.1999999999999993</v>
      </c>
      <c r="E76" s="830"/>
      <c r="F76" s="892">
        <v>128.6</v>
      </c>
      <c r="G76" s="821">
        <v>60</v>
      </c>
      <c r="H76" s="850">
        <f t="shared" si="25"/>
        <v>120.76576576576576</v>
      </c>
      <c r="I76" s="821">
        <f t="shared" si="26"/>
        <v>128.6</v>
      </c>
      <c r="J76" s="855">
        <f t="shared" si="27"/>
        <v>257.2</v>
      </c>
      <c r="K76" s="854">
        <f t="shared" si="28"/>
        <v>4.2866666666666662</v>
      </c>
      <c r="L76" s="857">
        <f>SQRT(12*32.2*K76^2/(4*$E$68*($E$66*56)*$E$65^2))</f>
        <v>0.67183435065143315</v>
      </c>
      <c r="M76" s="855">
        <f t="shared" si="33"/>
        <v>-129.44999999999999</v>
      </c>
      <c r="N76" s="830">
        <v>0.7</v>
      </c>
      <c r="O76" s="854">
        <f>($N76*$E$65*SQRT(4*$E$68*$E$67/32.2)/12)</f>
        <v>4.4662729903821807</v>
      </c>
      <c r="P76" s="855">
        <f>(O76*G76)/2</f>
        <v>133.98818971146542</v>
      </c>
      <c r="Q76" s="856">
        <f>P76-I76</f>
        <v>5.3881897114654294</v>
      </c>
      <c r="R76" s="830"/>
      <c r="S76" s="830"/>
      <c r="T76" s="830"/>
      <c r="U76" s="830"/>
      <c r="V76" s="830"/>
      <c r="W76" s="918"/>
      <c r="X76" s="830"/>
      <c r="Y76" s="830"/>
      <c r="AC76" s="462">
        <v>70</v>
      </c>
      <c r="AD76" s="475">
        <v>151.69999999999999</v>
      </c>
      <c r="AE76" s="478">
        <v>-139.35</v>
      </c>
      <c r="AF76" s="477">
        <v>-1.0900000000000001</v>
      </c>
      <c r="AG76" s="475">
        <v>0.70760000000000001</v>
      </c>
      <c r="AH76" s="478">
        <v>0.65</v>
      </c>
    </row>
    <row r="77" spans="1:34" ht="15" customHeight="1" x14ac:dyDescent="0.25">
      <c r="A77" s="530"/>
      <c r="B77" s="839"/>
      <c r="C77" s="869">
        <v>18.600000000000001</v>
      </c>
      <c r="D77" s="823">
        <f t="shared" si="34"/>
        <v>18.600000000000001</v>
      </c>
      <c r="E77" s="830"/>
      <c r="F77" s="926">
        <v>151.69999999999999</v>
      </c>
      <c r="G77" s="820">
        <v>70</v>
      </c>
      <c r="H77" s="850">
        <f t="shared" si="25"/>
        <v>143.78378378378378</v>
      </c>
      <c r="I77" s="820">
        <f t="shared" si="26"/>
        <v>151.69999999999999</v>
      </c>
      <c r="J77" s="858">
        <f t="shared" si="27"/>
        <v>303.39999999999998</v>
      </c>
      <c r="K77" s="859">
        <f t="shared" si="28"/>
        <v>4.3342857142857136</v>
      </c>
      <c r="L77" s="860">
        <f>SQRT(12*32.2*K77^2/(4*$E$68*($E$66*56)*$E$65^2))</f>
        <v>0.67929751828808538</v>
      </c>
      <c r="M77" s="855">
        <f t="shared" si="33"/>
        <v>-151.69999999999999</v>
      </c>
      <c r="N77" s="830">
        <v>0.7</v>
      </c>
      <c r="O77" s="854">
        <f>($N77*$E$65*SQRT(4*$E$68*$E$67/32.2)/12)</f>
        <v>4.4662729903821807</v>
      </c>
      <c r="P77" s="855">
        <f>(O77*G77)/2</f>
        <v>156.31955466337632</v>
      </c>
      <c r="Q77" s="856">
        <f>P77-I77</f>
        <v>4.6195546633763342</v>
      </c>
      <c r="R77" s="830"/>
      <c r="S77" s="830"/>
      <c r="T77" s="830"/>
      <c r="U77" s="830"/>
      <c r="V77" s="830"/>
      <c r="W77" s="918"/>
      <c r="X77" s="830"/>
      <c r="Y77" s="830"/>
      <c r="AC77" s="810"/>
      <c r="AD77" s="819"/>
      <c r="AE77" s="819"/>
      <c r="AF77" s="819"/>
      <c r="AG77" s="819"/>
      <c r="AH77" s="811"/>
    </row>
    <row r="78" spans="1:34" ht="15" customHeight="1" x14ac:dyDescent="0.25">
      <c r="A78" s="530"/>
      <c r="B78" s="839"/>
      <c r="C78" s="866">
        <v>38.700000000000003</v>
      </c>
      <c r="D78" s="823">
        <f t="shared" si="34"/>
        <v>38.700000000000003</v>
      </c>
      <c r="E78" s="830"/>
      <c r="F78" s="830"/>
      <c r="G78" s="830"/>
      <c r="H78" s="830"/>
      <c r="I78" s="821"/>
      <c r="J78" s="823"/>
      <c r="K78" s="823"/>
      <c r="L78" s="870"/>
      <c r="M78" s="830"/>
      <c r="N78" s="830"/>
      <c r="O78" s="830"/>
      <c r="P78" s="830"/>
      <c r="Q78" s="830"/>
      <c r="R78" s="821"/>
      <c r="S78" s="830"/>
      <c r="T78" s="830"/>
      <c r="U78" s="830"/>
      <c r="V78" s="830"/>
      <c r="W78" s="918"/>
      <c r="X78" s="830"/>
      <c r="Y78" s="830"/>
      <c r="AC78" s="810" t="s">
        <v>330</v>
      </c>
      <c r="AD78" s="811"/>
      <c r="AE78" s="525"/>
      <c r="AF78" s="525"/>
      <c r="AG78" s="525">
        <v>0.91700000000000004</v>
      </c>
      <c r="AH78" s="525">
        <v>1</v>
      </c>
    </row>
    <row r="79" spans="1:34" ht="15" customHeight="1" x14ac:dyDescent="0.25">
      <c r="A79" s="530"/>
      <c r="B79" s="839"/>
      <c r="C79" s="866">
        <v>59.6</v>
      </c>
      <c r="D79" s="823">
        <f t="shared" si="34"/>
        <v>59.6</v>
      </c>
      <c r="E79" s="830"/>
      <c r="G79" s="925">
        <v>2.2000000000000002</v>
      </c>
      <c r="H79" s="823"/>
      <c r="I79" s="821"/>
      <c r="J79" s="823"/>
      <c r="K79" s="871" t="s">
        <v>446</v>
      </c>
      <c r="L79" s="927">
        <f>L71/L77</f>
        <v>0.83981542518127894</v>
      </c>
      <c r="M79" s="830"/>
      <c r="N79" s="830"/>
      <c r="O79" s="830"/>
      <c r="P79" s="830"/>
      <c r="Q79" s="830"/>
      <c r="R79" s="830"/>
      <c r="S79" s="830"/>
      <c r="T79" s="830"/>
      <c r="U79" s="830"/>
      <c r="V79" s="830"/>
      <c r="W79" s="918"/>
      <c r="X79" s="830"/>
      <c r="Y79" s="830"/>
    </row>
    <row r="80" spans="1:34" ht="15" customHeight="1" x14ac:dyDescent="0.25">
      <c r="A80" s="530"/>
      <c r="B80" s="839"/>
      <c r="C80" s="866">
        <v>82.2</v>
      </c>
      <c r="D80" s="823">
        <f t="shared" si="34"/>
        <v>82.2</v>
      </c>
      <c r="E80" s="830"/>
      <c r="G80" s="892">
        <v>3.4</v>
      </c>
      <c r="H80" s="830"/>
      <c r="I80" s="830"/>
      <c r="J80" s="830"/>
      <c r="K80" s="871" t="s">
        <v>447</v>
      </c>
      <c r="L80" s="927">
        <f>L73/L77</f>
        <v>0.94133157547791702</v>
      </c>
      <c r="M80" s="830"/>
      <c r="N80" s="830"/>
      <c r="O80" s="830"/>
      <c r="P80" s="830"/>
      <c r="Q80" s="830"/>
      <c r="R80" s="830"/>
      <c r="S80" s="830"/>
      <c r="T80" s="830"/>
      <c r="U80" s="830"/>
      <c r="V80" s="830"/>
      <c r="W80" s="918"/>
      <c r="X80" s="830"/>
      <c r="Y80" s="830"/>
    </row>
    <row r="81" spans="1:25" ht="15" customHeight="1" x14ac:dyDescent="0.25">
      <c r="A81" s="530"/>
      <c r="B81" s="839"/>
      <c r="C81" s="866">
        <v>105.9</v>
      </c>
      <c r="D81" s="823">
        <f t="shared" si="34"/>
        <v>105.9</v>
      </c>
      <c r="E81" s="830"/>
      <c r="G81" s="891">
        <v>4.7</v>
      </c>
      <c r="H81" s="830"/>
      <c r="I81" s="830"/>
      <c r="J81" s="830"/>
      <c r="K81" s="872"/>
      <c r="L81" s="855">
        <f>(I73-((((I77-I71)/6)*2)+I71))</f>
        <v>-1.5</v>
      </c>
      <c r="M81" s="830"/>
      <c r="N81" s="830"/>
      <c r="O81" s="830"/>
      <c r="P81" s="830"/>
      <c r="Q81" s="830"/>
      <c r="R81" s="830"/>
      <c r="S81" s="830"/>
      <c r="T81" s="830"/>
      <c r="U81" s="830"/>
      <c r="V81" s="830"/>
      <c r="W81" s="918"/>
      <c r="X81" s="830"/>
      <c r="Y81" s="830"/>
    </row>
    <row r="82" spans="1:25" ht="15" customHeight="1" x14ac:dyDescent="0.25">
      <c r="B82" s="839"/>
      <c r="C82" s="866">
        <v>128.69999999999999</v>
      </c>
      <c r="D82" s="823">
        <f t="shared" si="34"/>
        <v>128.69999999999999</v>
      </c>
      <c r="E82" s="830"/>
      <c r="G82" s="892">
        <f t="shared" ref="G82:G83" si="35">E88</f>
        <v>0</v>
      </c>
      <c r="H82" s="830"/>
      <c r="I82" s="830"/>
      <c r="J82" s="830"/>
      <c r="K82" s="830"/>
      <c r="L82" s="830"/>
      <c r="M82" s="830">
        <f>-63.6-67</f>
        <v>-130.6</v>
      </c>
      <c r="N82" s="830"/>
      <c r="O82" s="830"/>
      <c r="P82" s="830"/>
      <c r="Q82" s="830"/>
      <c r="R82" s="830"/>
      <c r="S82" s="830"/>
      <c r="T82" s="830"/>
      <c r="U82" s="830"/>
      <c r="V82" s="830"/>
      <c r="W82" s="918"/>
      <c r="X82" s="830"/>
      <c r="Y82" s="830"/>
    </row>
    <row r="83" spans="1:25" ht="15" customHeight="1" x14ac:dyDescent="0.25">
      <c r="B83" s="839"/>
      <c r="C83" s="869">
        <v>151.69999999999999</v>
      </c>
      <c r="D83" s="823">
        <f t="shared" si="34"/>
        <v>151.69999999999999</v>
      </c>
      <c r="E83" s="830"/>
      <c r="G83" s="892">
        <f t="shared" si="35"/>
        <v>0</v>
      </c>
      <c r="H83" s="830"/>
      <c r="I83" s="830"/>
      <c r="J83" s="830"/>
      <c r="K83" s="830"/>
      <c r="L83" s="830"/>
      <c r="M83" s="830"/>
      <c r="N83" s="830"/>
      <c r="O83" s="830"/>
      <c r="P83" s="830"/>
      <c r="Q83" s="830"/>
      <c r="R83" s="830"/>
      <c r="S83" s="830"/>
      <c r="T83" s="830"/>
      <c r="U83" s="830"/>
      <c r="V83" s="830"/>
      <c r="W83" s="833"/>
      <c r="X83" s="830"/>
      <c r="Y83" s="830"/>
    </row>
    <row r="84" spans="1:25" ht="15" customHeight="1" x14ac:dyDescent="0.25">
      <c r="B84" s="839"/>
      <c r="C84" s="835"/>
      <c r="D84" s="835"/>
      <c r="E84" s="835"/>
      <c r="F84" s="891">
        <v>18.2</v>
      </c>
      <c r="G84" s="891">
        <v>18.2</v>
      </c>
      <c r="H84" s="830"/>
      <c r="I84" s="830"/>
      <c r="J84" s="830"/>
      <c r="K84" s="830"/>
      <c r="L84" s="830"/>
      <c r="M84" s="830">
        <f>-67--63.3</f>
        <v>-3.7000000000000028</v>
      </c>
      <c r="N84" s="830"/>
      <c r="O84" s="830"/>
      <c r="P84" s="830"/>
      <c r="Q84" s="830"/>
      <c r="R84" s="830"/>
      <c r="S84" s="830"/>
      <c r="T84" s="830"/>
      <c r="U84" s="830"/>
      <c r="V84" s="830"/>
      <c r="W84" s="833"/>
      <c r="X84" s="830"/>
      <c r="Y84" s="830"/>
    </row>
    <row r="85" spans="1:25" ht="15" customHeight="1" x14ac:dyDescent="0.25">
      <c r="B85" s="839"/>
      <c r="C85" s="835"/>
      <c r="D85" s="835"/>
      <c r="E85" s="835"/>
      <c r="F85" s="892">
        <v>38.799999999999997</v>
      </c>
      <c r="G85" s="892">
        <v>39.6</v>
      </c>
      <c r="H85" s="830"/>
      <c r="I85" s="830"/>
      <c r="J85" s="830"/>
      <c r="K85" s="830"/>
      <c r="L85" s="830"/>
      <c r="M85" s="830"/>
      <c r="N85" s="830"/>
      <c r="O85" s="830">
        <f>4.66*30</f>
        <v>139.80000000000001</v>
      </c>
      <c r="P85" s="830"/>
      <c r="Q85" s="830"/>
      <c r="R85" s="830"/>
      <c r="S85" s="830"/>
      <c r="T85" s="830"/>
      <c r="U85" s="830"/>
      <c r="V85" s="830"/>
      <c r="W85" s="833"/>
      <c r="X85" s="830"/>
      <c r="Y85" s="830"/>
    </row>
    <row r="86" spans="1:25" ht="15" customHeight="1" x14ac:dyDescent="0.25">
      <c r="B86" s="839"/>
      <c r="C86" s="835"/>
      <c r="D86" s="835"/>
      <c r="E86" s="835"/>
      <c r="F86" s="891">
        <v>60.2</v>
      </c>
      <c r="G86" s="891">
        <v>61.2</v>
      </c>
      <c r="H86" s="830"/>
      <c r="I86" s="830"/>
      <c r="J86" s="830"/>
      <c r="K86" s="830"/>
      <c r="L86" s="830"/>
      <c r="M86" s="830">
        <f>-63--67</f>
        <v>4</v>
      </c>
      <c r="N86" s="830"/>
      <c r="O86" s="830"/>
      <c r="P86" s="830"/>
      <c r="Q86" s="830"/>
      <c r="R86" s="830"/>
      <c r="S86" s="830"/>
      <c r="T86" s="830"/>
      <c r="U86" s="830"/>
      <c r="V86" s="830"/>
      <c r="W86" s="833"/>
      <c r="X86" s="830"/>
      <c r="Y86" s="830"/>
    </row>
    <row r="87" spans="1:25" ht="15" customHeight="1" x14ac:dyDescent="0.25">
      <c r="B87" s="839"/>
      <c r="C87" s="835"/>
      <c r="D87" s="835"/>
      <c r="E87" s="835"/>
      <c r="F87" s="892">
        <v>82.2</v>
      </c>
      <c r="G87" s="892">
        <v>83.7</v>
      </c>
      <c r="H87" s="830"/>
      <c r="I87" s="830"/>
      <c r="J87" s="830"/>
      <c r="K87" s="830"/>
      <c r="L87" s="830"/>
      <c r="M87" s="830"/>
      <c r="N87" s="830"/>
      <c r="O87" s="830"/>
      <c r="P87" s="830"/>
      <c r="Q87" s="830"/>
      <c r="R87" s="830"/>
      <c r="S87" s="830"/>
      <c r="T87" s="830"/>
      <c r="U87" s="830"/>
      <c r="V87" s="830"/>
      <c r="W87" s="833"/>
      <c r="X87" s="830"/>
      <c r="Y87" s="830"/>
    </row>
    <row r="88" spans="1:25" ht="15" customHeight="1" x14ac:dyDescent="0.25">
      <c r="B88" s="839"/>
      <c r="C88" s="835"/>
      <c r="D88" s="835"/>
      <c r="E88" s="835"/>
      <c r="F88" s="892">
        <v>104.8</v>
      </c>
      <c r="G88" s="892">
        <v>106</v>
      </c>
      <c r="H88" s="830"/>
      <c r="I88" s="830"/>
      <c r="J88" s="830"/>
      <c r="K88" s="830"/>
      <c r="L88" s="830"/>
      <c r="M88" s="830"/>
      <c r="N88" s="830"/>
      <c r="O88" s="830"/>
      <c r="P88" s="830"/>
      <c r="Q88" s="830"/>
      <c r="R88" s="830"/>
      <c r="S88" s="830"/>
      <c r="T88" s="830"/>
      <c r="U88" s="830"/>
      <c r="V88" s="830"/>
      <c r="W88" s="833"/>
      <c r="X88" s="830"/>
      <c r="Y88" s="830"/>
    </row>
    <row r="89" spans="1:25" ht="15" customHeight="1" x14ac:dyDescent="0.25">
      <c r="B89" s="839"/>
      <c r="C89" s="835"/>
      <c r="D89" s="835"/>
      <c r="E89" s="835"/>
      <c r="F89" s="892">
        <v>128</v>
      </c>
      <c r="G89" s="892">
        <v>128.6</v>
      </c>
      <c r="H89" s="830"/>
      <c r="I89" s="830"/>
      <c r="J89" s="830"/>
      <c r="K89" s="830"/>
      <c r="L89" s="830"/>
      <c r="M89" s="830"/>
      <c r="N89" s="830"/>
      <c r="O89" s="830"/>
      <c r="P89" s="830"/>
      <c r="Q89" s="830"/>
      <c r="R89" s="830"/>
      <c r="S89" s="830"/>
      <c r="T89" s="830"/>
      <c r="U89" s="830"/>
      <c r="V89" s="830"/>
      <c r="W89" s="833"/>
      <c r="X89" s="830"/>
      <c r="Y89" s="830"/>
    </row>
    <row r="90" spans="1:25" ht="15" customHeight="1" thickBot="1" x14ac:dyDescent="0.3">
      <c r="B90" s="839"/>
      <c r="C90" s="835"/>
      <c r="D90" s="835"/>
      <c r="E90" s="835"/>
      <c r="F90" s="926">
        <v>151.69999999999999</v>
      </c>
      <c r="G90" s="926">
        <v>151.69999999999999</v>
      </c>
      <c r="H90" s="830"/>
      <c r="I90" s="830"/>
      <c r="J90" s="830"/>
      <c r="K90" s="830"/>
      <c r="L90" s="830"/>
      <c r="M90" s="830"/>
      <c r="N90" s="830"/>
      <c r="O90" s="830"/>
      <c r="P90" s="830"/>
      <c r="Q90" s="830"/>
      <c r="R90" s="830"/>
      <c r="S90" s="830"/>
      <c r="T90" s="830"/>
      <c r="U90" s="830"/>
      <c r="V90" s="830"/>
      <c r="W90" s="876"/>
      <c r="X90" s="830"/>
      <c r="Y90" s="830"/>
    </row>
    <row r="91" spans="1:25" ht="15" customHeight="1" thickBot="1" x14ac:dyDescent="0.3">
      <c r="B91" s="873"/>
      <c r="C91" s="874"/>
      <c r="D91" s="874"/>
      <c r="E91" s="874"/>
      <c r="F91" s="875"/>
      <c r="G91" s="875"/>
      <c r="H91" s="875"/>
      <c r="I91" s="875"/>
      <c r="J91" s="875"/>
      <c r="K91" s="875"/>
      <c r="L91" s="875"/>
      <c r="M91" s="875"/>
      <c r="N91" s="875"/>
      <c r="O91" s="875"/>
      <c r="P91" s="875"/>
      <c r="Q91" s="875"/>
      <c r="R91" s="875"/>
      <c r="S91" s="875"/>
      <c r="T91" s="875"/>
      <c r="U91" s="875"/>
      <c r="V91" s="875"/>
      <c r="W91" s="876"/>
      <c r="X91" s="830"/>
      <c r="Y91" s="830"/>
    </row>
    <row r="92" spans="1:25" ht="15" customHeight="1" x14ac:dyDescent="0.25">
      <c r="B92" s="835"/>
      <c r="C92" s="835"/>
      <c r="D92" s="835"/>
      <c r="E92" s="835"/>
      <c r="F92" s="830"/>
      <c r="G92" s="830"/>
      <c r="H92" s="830"/>
      <c r="I92" s="830"/>
      <c r="J92" s="830"/>
      <c r="K92" s="830"/>
      <c r="L92" s="830"/>
      <c r="M92" s="830"/>
      <c r="N92" s="830"/>
      <c r="O92" s="830"/>
      <c r="P92" s="830"/>
      <c r="Q92" s="830"/>
      <c r="R92" s="830"/>
      <c r="S92" s="830"/>
      <c r="T92" s="830"/>
      <c r="U92" s="830"/>
      <c r="V92" s="830"/>
      <c r="W92" s="830"/>
      <c r="X92" s="830"/>
      <c r="Y92" s="830"/>
    </row>
    <row r="93" spans="1:25" ht="15" customHeight="1" x14ac:dyDescent="0.25">
      <c r="B93" s="579"/>
      <c r="X93" s="830"/>
      <c r="Y93" s="830"/>
    </row>
    <row r="94" spans="1:25" ht="15" customHeight="1" x14ac:dyDescent="0.25">
      <c r="C94" s="575" t="s">
        <v>139</v>
      </c>
      <c r="D94" s="576"/>
      <c r="E94" s="576"/>
      <c r="F94" s="577"/>
      <c r="J94" s="530" t="s">
        <v>112</v>
      </c>
      <c r="L94" s="530" t="s">
        <v>83</v>
      </c>
      <c r="O94" s="545" t="s">
        <v>270</v>
      </c>
      <c r="P94" s="530"/>
      <c r="X94" s="830"/>
      <c r="Y94" s="830"/>
    </row>
    <row r="95" spans="1:25" ht="15" customHeight="1" x14ac:dyDescent="0.25">
      <c r="C95" s="580"/>
      <c r="J95" s="530" t="s">
        <v>113</v>
      </c>
      <c r="L95" s="530" t="s">
        <v>84</v>
      </c>
      <c r="P95" s="530"/>
      <c r="X95" s="830"/>
      <c r="Y95" s="830"/>
    </row>
    <row r="96" spans="1:25" ht="15" customHeight="1" x14ac:dyDescent="0.25">
      <c r="C96" s="561" t="s">
        <v>15</v>
      </c>
      <c r="D96" s="552"/>
      <c r="E96" s="562"/>
      <c r="G96" s="581"/>
      <c r="H96" s="841" t="s">
        <v>475</v>
      </c>
      <c r="J96" s="583" t="s">
        <v>76</v>
      </c>
      <c r="K96" s="584"/>
      <c r="L96" s="583" t="s">
        <v>81</v>
      </c>
      <c r="M96" s="585"/>
      <c r="N96" s="584"/>
      <c r="O96" s="586" t="s">
        <v>347</v>
      </c>
      <c r="P96" s="587"/>
      <c r="X96" s="830"/>
      <c r="Y96" s="830"/>
    </row>
    <row r="97" spans="3:25" ht="15" customHeight="1" x14ac:dyDescent="0.25">
      <c r="C97" s="565" t="s">
        <v>61</v>
      </c>
      <c r="D97" s="566" t="s">
        <v>19</v>
      </c>
      <c r="E97" s="528">
        <v>0.9</v>
      </c>
      <c r="G97" s="588" t="s">
        <v>35</v>
      </c>
      <c r="H97" s="589" t="s">
        <v>58</v>
      </c>
      <c r="J97" s="590" t="s">
        <v>80</v>
      </c>
      <c r="K97" s="591"/>
      <c r="L97" s="592" t="s">
        <v>82</v>
      </c>
      <c r="M97" s="593"/>
      <c r="N97" s="594" t="s">
        <v>136</v>
      </c>
      <c r="O97" s="595" t="s">
        <v>348</v>
      </c>
      <c r="P97" s="596" t="s">
        <v>142</v>
      </c>
      <c r="X97" s="830"/>
      <c r="Y97" s="830"/>
    </row>
    <row r="98" spans="3:25" ht="15" customHeight="1" x14ac:dyDescent="0.25">
      <c r="C98" s="565" t="s">
        <v>62</v>
      </c>
      <c r="D98" s="566" t="s">
        <v>20</v>
      </c>
      <c r="E98" s="528">
        <v>0.96</v>
      </c>
      <c r="G98" s="531"/>
      <c r="H98" s="597"/>
      <c r="J98" s="598" t="s">
        <v>24</v>
      </c>
      <c r="K98" s="599" t="s">
        <v>26</v>
      </c>
      <c r="L98" s="598" t="s">
        <v>30</v>
      </c>
      <c r="M98" s="600" t="s">
        <v>32</v>
      </c>
      <c r="N98" s="601" t="s">
        <v>32</v>
      </c>
      <c r="O98" s="595"/>
      <c r="P98" s="602"/>
    </row>
    <row r="99" spans="3:25" ht="15" customHeight="1" x14ac:dyDescent="0.25">
      <c r="C99" s="565" t="s">
        <v>356</v>
      </c>
      <c r="E99" s="665">
        <f>(E98*2.20462*25.4*12)</f>
        <v>645.0894489599998</v>
      </c>
      <c r="G99" s="532"/>
      <c r="H99" s="603"/>
      <c r="J99" s="604" t="s">
        <v>25</v>
      </c>
      <c r="K99" s="605" t="s">
        <v>27</v>
      </c>
      <c r="L99" s="604" t="s">
        <v>31</v>
      </c>
      <c r="M99" s="606" t="s">
        <v>33</v>
      </c>
      <c r="N99" s="605" t="s">
        <v>33</v>
      </c>
      <c r="O99" s="595"/>
      <c r="P99" s="596"/>
    </row>
    <row r="100" spans="3:25" ht="15" customHeight="1" x14ac:dyDescent="0.25">
      <c r="C100" s="571" t="s">
        <v>59</v>
      </c>
      <c r="D100" s="572" t="s">
        <v>28</v>
      </c>
      <c r="E100" s="573">
        <v>85</v>
      </c>
      <c r="G100" s="607">
        <v>1</v>
      </c>
      <c r="H100" s="608">
        <f>L66</f>
        <v>0.68959668962666554</v>
      </c>
      <c r="J100" s="609">
        <f>E98*2.20462*25.4*12</f>
        <v>645.0894489599998</v>
      </c>
      <c r="K100" s="610">
        <f t="shared" ref="K100:K111" si="36">($H100*$E$97*SQRT(4*$E$100*$J$100/32.2)/12)</f>
        <v>4.2685259244534386</v>
      </c>
      <c r="L100" s="607">
        <v>1</v>
      </c>
      <c r="M100" s="611">
        <f t="shared" ref="M100" si="37">L100*K100</f>
        <v>4.2685259244534386</v>
      </c>
      <c r="N100" s="612">
        <f>M100/2</f>
        <v>2.1342629622267193</v>
      </c>
      <c r="O100" s="613">
        <f>I66</f>
        <v>2.2000000000000002</v>
      </c>
      <c r="P100" s="602">
        <f>O100/N100</f>
        <v>1.030800814584111</v>
      </c>
    </row>
    <row r="101" spans="3:25" ht="15" customHeight="1" x14ac:dyDescent="0.25">
      <c r="C101" s="546"/>
      <c r="G101" s="595">
        <v>2</v>
      </c>
      <c r="H101" s="614">
        <f>L67</f>
        <v>0.53287016925696873</v>
      </c>
      <c r="J101" s="595"/>
      <c r="K101" s="615">
        <f t="shared" si="36"/>
        <v>3.2984063961685659</v>
      </c>
      <c r="L101" s="595">
        <v>2</v>
      </c>
      <c r="M101" s="602">
        <f t="shared" ref="M101:M111" si="38">L101*K101</f>
        <v>6.5968127923371318</v>
      </c>
      <c r="N101" s="613">
        <f t="shared" ref="N101:N111" si="39">M101/2</f>
        <v>3.2984063961685659</v>
      </c>
      <c r="O101" s="613">
        <f>I67</f>
        <v>3.4</v>
      </c>
      <c r="P101" s="602">
        <f t="shared" ref="P101:P111" si="40">O101/N101</f>
        <v>1.030800814584111</v>
      </c>
    </row>
    <row r="102" spans="3:25" ht="15" customHeight="1" x14ac:dyDescent="0.25">
      <c r="G102" s="616">
        <v>3</v>
      </c>
      <c r="H102" s="617">
        <f>L68</f>
        <v>0.49107643049171634</v>
      </c>
      <c r="J102" s="595"/>
      <c r="K102" s="618">
        <f t="shared" si="36"/>
        <v>3.0397078552925998</v>
      </c>
      <c r="L102" s="616">
        <v>3</v>
      </c>
      <c r="M102" s="619">
        <f t="shared" si="38"/>
        <v>9.1191235658777998</v>
      </c>
      <c r="N102" s="620">
        <f t="shared" si="39"/>
        <v>4.5595617829388999</v>
      </c>
      <c r="O102" s="613">
        <f>I68</f>
        <v>4.7</v>
      </c>
      <c r="P102" s="602">
        <f t="shared" si="40"/>
        <v>1.0308008145841112</v>
      </c>
    </row>
    <row r="103" spans="3:25" ht="15" customHeight="1" x14ac:dyDescent="0.25">
      <c r="G103" s="595">
        <v>4</v>
      </c>
      <c r="H103" s="614">
        <f>L69</f>
        <v>0.49368853916454458</v>
      </c>
      <c r="J103" s="595"/>
      <c r="K103" s="615">
        <f t="shared" si="36"/>
        <v>3.0558765140973478</v>
      </c>
      <c r="L103" s="595">
        <v>4</v>
      </c>
      <c r="M103" s="602">
        <f t="shared" si="38"/>
        <v>12.223506056389391</v>
      </c>
      <c r="N103" s="613">
        <f t="shared" si="39"/>
        <v>6.1117530281946957</v>
      </c>
      <c r="O103" s="613">
        <f>I69</f>
        <v>6.3</v>
      </c>
      <c r="P103" s="602">
        <f t="shared" si="40"/>
        <v>1.030800814584111</v>
      </c>
    </row>
    <row r="104" spans="3:25" ht="15" customHeight="1" x14ac:dyDescent="0.25">
      <c r="G104" s="595">
        <v>5</v>
      </c>
      <c r="H104" s="614">
        <f>L70</f>
        <v>0.5140629868126052</v>
      </c>
      <c r="J104" s="595"/>
      <c r="K104" s="615">
        <f t="shared" si="36"/>
        <v>3.1819920527743815</v>
      </c>
      <c r="L104" s="595">
        <v>5</v>
      </c>
      <c r="M104" s="602">
        <f t="shared" si="38"/>
        <v>15.909960263871907</v>
      </c>
      <c r="N104" s="613">
        <f t="shared" si="39"/>
        <v>7.9549801319359537</v>
      </c>
      <c r="O104" s="613">
        <f>I70</f>
        <v>8.1999999999999993</v>
      </c>
      <c r="P104" s="602">
        <f t="shared" si="40"/>
        <v>1.030800814584111</v>
      </c>
    </row>
    <row r="105" spans="3:25" ht="15" customHeight="1" x14ac:dyDescent="0.25">
      <c r="G105" s="616">
        <v>10</v>
      </c>
      <c r="H105" s="617">
        <f>L71</f>
        <v>0.570484534145696</v>
      </c>
      <c r="J105" s="595"/>
      <c r="K105" s="618">
        <f t="shared" si="36"/>
        <v>3.5312350829569361</v>
      </c>
      <c r="L105" s="616">
        <v>10</v>
      </c>
      <c r="M105" s="619">
        <f t="shared" si="38"/>
        <v>35.312350829569361</v>
      </c>
      <c r="N105" s="620">
        <f t="shared" si="39"/>
        <v>17.656175414784681</v>
      </c>
      <c r="O105" s="613">
        <f>I71</f>
        <v>18.2</v>
      </c>
      <c r="P105" s="602">
        <f t="shared" si="40"/>
        <v>1.0308008145841108</v>
      </c>
      <c r="X105" s="830"/>
      <c r="Y105" s="830"/>
    </row>
    <row r="106" spans="3:25" ht="15" customHeight="1" x14ac:dyDescent="0.25">
      <c r="G106" s="595">
        <v>20</v>
      </c>
      <c r="H106" s="614">
        <f>L72</f>
        <v>0.62063702066399895</v>
      </c>
      <c r="J106" s="595"/>
      <c r="K106" s="615">
        <f t="shared" si="36"/>
        <v>3.8416733320080945</v>
      </c>
      <c r="L106" s="595">
        <v>20</v>
      </c>
      <c r="M106" s="602">
        <f t="shared" si="38"/>
        <v>76.833466640161888</v>
      </c>
      <c r="N106" s="613">
        <f t="shared" si="39"/>
        <v>38.416733320080944</v>
      </c>
      <c r="O106" s="613">
        <f>I72</f>
        <v>39.6</v>
      </c>
      <c r="P106" s="602">
        <f t="shared" si="40"/>
        <v>1.0308008145841112</v>
      </c>
      <c r="X106" s="830"/>
      <c r="Y106" s="830"/>
    </row>
    <row r="107" spans="3:25" ht="15" customHeight="1" x14ac:dyDescent="0.25">
      <c r="G107" s="595">
        <v>30</v>
      </c>
      <c r="H107" s="614">
        <f>L73</f>
        <v>0.63944420310836259</v>
      </c>
      <c r="J107" s="595"/>
      <c r="K107" s="615">
        <f t="shared" si="36"/>
        <v>3.9580876754022793</v>
      </c>
      <c r="L107" s="595">
        <v>30</v>
      </c>
      <c r="M107" s="602">
        <f t="shared" si="38"/>
        <v>118.74263026206837</v>
      </c>
      <c r="N107" s="613">
        <f t="shared" si="39"/>
        <v>59.371315131034187</v>
      </c>
      <c r="O107" s="613">
        <f>I73</f>
        <v>61.2</v>
      </c>
      <c r="P107" s="602">
        <f t="shared" si="40"/>
        <v>1.0308008145841112</v>
      </c>
      <c r="X107" s="830"/>
      <c r="Y107" s="830"/>
    </row>
    <row r="108" spans="3:25" ht="15" customHeight="1" x14ac:dyDescent="0.25">
      <c r="G108" s="595">
        <v>40</v>
      </c>
      <c r="H108" s="614">
        <f>L74</f>
        <v>0.65590048774718079</v>
      </c>
      <c r="J108" s="595"/>
      <c r="K108" s="615">
        <f t="shared" si="36"/>
        <v>4.0599502258721918</v>
      </c>
      <c r="L108" s="595">
        <v>40</v>
      </c>
      <c r="M108" s="602">
        <f t="shared" si="38"/>
        <v>162.39800903488768</v>
      </c>
      <c r="N108" s="613">
        <f t="shared" si="39"/>
        <v>81.199004517443839</v>
      </c>
      <c r="O108" s="613">
        <f>I74</f>
        <v>83.7</v>
      </c>
      <c r="P108" s="602">
        <f t="shared" si="40"/>
        <v>1.0308008145841108</v>
      </c>
      <c r="X108" s="830"/>
      <c r="Y108" s="830"/>
    </row>
    <row r="109" spans="3:25" ht="15" customHeight="1" x14ac:dyDescent="0.25">
      <c r="G109" s="595">
        <v>50</v>
      </c>
      <c r="H109" s="614">
        <f>L75</f>
        <v>0.66452044636751406</v>
      </c>
      <c r="J109" s="595"/>
      <c r="K109" s="615">
        <f t="shared" si="36"/>
        <v>4.1133067999278596</v>
      </c>
      <c r="L109" s="595">
        <v>50</v>
      </c>
      <c r="M109" s="602">
        <f t="shared" si="38"/>
        <v>205.66533999639299</v>
      </c>
      <c r="N109" s="613">
        <f t="shared" si="39"/>
        <v>102.83266999819649</v>
      </c>
      <c r="O109" s="613">
        <f>I75</f>
        <v>106</v>
      </c>
      <c r="P109" s="602">
        <f t="shared" si="40"/>
        <v>1.0308008145841108</v>
      </c>
      <c r="X109" s="830"/>
      <c r="Y109" s="830"/>
    </row>
    <row r="110" spans="3:25" ht="15" customHeight="1" x14ac:dyDescent="0.25">
      <c r="G110" s="595">
        <v>60</v>
      </c>
      <c r="H110" s="614">
        <f>L76</f>
        <v>0.67183435065143315</v>
      </c>
      <c r="J110" s="595"/>
      <c r="K110" s="615">
        <f t="shared" si="36"/>
        <v>4.1585790445811526</v>
      </c>
      <c r="L110" s="595">
        <v>60</v>
      </c>
      <c r="M110" s="602">
        <f t="shared" si="38"/>
        <v>249.51474267486915</v>
      </c>
      <c r="N110" s="613">
        <f t="shared" si="39"/>
        <v>124.75737133743458</v>
      </c>
      <c r="O110" s="613">
        <f>I76</f>
        <v>128.6</v>
      </c>
      <c r="P110" s="602">
        <f t="shared" si="40"/>
        <v>1.030800814584111</v>
      </c>
      <c r="X110" s="830"/>
      <c r="Y110" s="830"/>
    </row>
    <row r="111" spans="3:25" ht="15" customHeight="1" x14ac:dyDescent="0.25">
      <c r="G111" s="621">
        <v>70</v>
      </c>
      <c r="H111" s="622">
        <f>L77</f>
        <v>0.67929751828808538</v>
      </c>
      <c r="J111" s="623"/>
      <c r="K111" s="624">
        <f t="shared" si="36"/>
        <v>4.2047752125947175</v>
      </c>
      <c r="L111" s="621">
        <v>70</v>
      </c>
      <c r="M111" s="625">
        <f t="shared" si="38"/>
        <v>294.33426488163025</v>
      </c>
      <c r="N111" s="626">
        <f t="shared" si="39"/>
        <v>147.16713244081512</v>
      </c>
      <c r="O111" s="627">
        <f>I77</f>
        <v>151.69999999999999</v>
      </c>
      <c r="P111" s="628">
        <f t="shared" si="40"/>
        <v>1.030800814584111</v>
      </c>
      <c r="X111" s="830"/>
      <c r="Y111" s="830"/>
    </row>
    <row r="112" spans="3:25" ht="15" customHeight="1" x14ac:dyDescent="0.25">
      <c r="X112" s="830"/>
      <c r="Y112" s="830"/>
    </row>
    <row r="113" spans="2:62" ht="15" customHeight="1" x14ac:dyDescent="0.25">
      <c r="X113" s="830"/>
      <c r="Y113" s="830"/>
    </row>
    <row r="114" spans="2:62" ht="15" customHeight="1" thickBot="1" x14ac:dyDescent="0.3">
      <c r="X114" s="830"/>
      <c r="Y114" s="830"/>
    </row>
    <row r="115" spans="2:62" ht="15" customHeight="1" x14ac:dyDescent="0.25">
      <c r="B115" s="824"/>
      <c r="C115" s="825"/>
      <c r="D115" s="826"/>
      <c r="E115" s="827"/>
      <c r="F115" s="827"/>
      <c r="G115" s="827"/>
      <c r="H115" s="827"/>
      <c r="I115" s="827"/>
      <c r="J115" s="827"/>
      <c r="K115" s="827"/>
      <c r="L115" s="827"/>
      <c r="M115" s="827"/>
      <c r="N115" s="827"/>
      <c r="O115" s="827"/>
      <c r="P115" s="827"/>
      <c r="Q115" s="827"/>
      <c r="R115" s="827"/>
      <c r="S115" s="827"/>
      <c r="T115" s="827"/>
      <c r="U115" s="827"/>
      <c r="V115" s="827"/>
      <c r="W115" s="828"/>
      <c r="X115" s="830"/>
      <c r="Y115" s="830"/>
    </row>
    <row r="116" spans="2:62" ht="15" customHeight="1" x14ac:dyDescent="0.25">
      <c r="B116" s="829"/>
      <c r="C116" s="830" t="s">
        <v>477</v>
      </c>
      <c r="D116" s="831"/>
      <c r="E116" s="830"/>
      <c r="F116" s="830"/>
      <c r="G116" s="830"/>
      <c r="H116" s="830"/>
      <c r="I116" s="830"/>
      <c r="J116" s="830"/>
      <c r="K116" s="830"/>
      <c r="L116" s="830"/>
      <c r="M116" s="830"/>
      <c r="N116" s="830"/>
      <c r="O116" s="830"/>
      <c r="P116" s="830"/>
      <c r="Q116" s="830"/>
      <c r="R116" s="830"/>
      <c r="S116" s="830"/>
      <c r="T116" s="830"/>
      <c r="U116" s="830"/>
      <c r="V116" s="830"/>
      <c r="W116" s="833"/>
      <c r="X116" s="830"/>
      <c r="Y116" s="830"/>
    </row>
    <row r="117" spans="2:62" ht="15" customHeight="1" x14ac:dyDescent="0.25">
      <c r="B117" s="829"/>
      <c r="C117" s="908" t="s">
        <v>478</v>
      </c>
      <c r="D117" s="831"/>
      <c r="E117" s="830"/>
      <c r="F117" s="830"/>
      <c r="G117" s="830"/>
      <c r="H117" s="830"/>
      <c r="I117" s="830"/>
      <c r="J117" s="830"/>
      <c r="K117" s="830"/>
      <c r="L117" s="830"/>
      <c r="M117" s="830"/>
      <c r="N117" s="830"/>
      <c r="O117" s="830"/>
      <c r="P117" s="830"/>
      <c r="Q117" s="830"/>
      <c r="R117" s="830"/>
      <c r="S117" s="830"/>
      <c r="T117" s="830"/>
      <c r="U117" s="830"/>
      <c r="V117" s="830"/>
      <c r="W117" s="833"/>
      <c r="X117" s="830"/>
      <c r="Y117" s="830"/>
    </row>
    <row r="118" spans="2:62" ht="15" customHeight="1" x14ac:dyDescent="0.25">
      <c r="B118" s="829"/>
      <c r="C118" s="908" t="s">
        <v>479</v>
      </c>
      <c r="D118" s="830"/>
      <c r="E118" s="830"/>
      <c r="F118" s="879" t="s">
        <v>487</v>
      </c>
      <c r="G118" s="832" t="s">
        <v>461</v>
      </c>
      <c r="H118" s="831"/>
      <c r="I118" s="830"/>
      <c r="J118" s="830"/>
      <c r="K118" s="830"/>
      <c r="L118" s="830"/>
      <c r="M118" s="830"/>
      <c r="N118" s="830"/>
      <c r="O118" s="821"/>
      <c r="P118" s="823"/>
      <c r="Q118" s="830"/>
      <c r="R118" s="823"/>
      <c r="S118" s="830"/>
      <c r="T118" s="830"/>
      <c r="U118" s="830"/>
      <c r="V118" s="830"/>
      <c r="W118" s="833"/>
      <c r="X118" s="830"/>
      <c r="Y118" s="830"/>
    </row>
    <row r="119" spans="2:62" ht="15" customHeight="1" x14ac:dyDescent="0.25">
      <c r="B119" s="829"/>
      <c r="C119" s="830"/>
      <c r="D119" s="830"/>
      <c r="E119" s="830"/>
      <c r="F119" s="830" t="s">
        <v>463</v>
      </c>
      <c r="G119" s="830"/>
      <c r="H119" s="831"/>
      <c r="I119" s="830"/>
      <c r="J119" s="830"/>
      <c r="K119" s="830"/>
      <c r="L119" s="830"/>
      <c r="M119" s="830"/>
      <c r="N119" s="830"/>
      <c r="O119" s="830"/>
      <c r="P119" s="830"/>
      <c r="Q119" s="834"/>
      <c r="R119" s="823"/>
      <c r="S119" s="830"/>
      <c r="T119" s="830"/>
      <c r="U119" s="830"/>
      <c r="V119" s="830"/>
      <c r="W119" s="833"/>
      <c r="X119" s="830"/>
      <c r="Y119" s="830"/>
    </row>
    <row r="120" spans="2:62" ht="15" customHeight="1" thickBot="1" x14ac:dyDescent="0.3">
      <c r="B120" s="829"/>
      <c r="C120" s="561" t="s">
        <v>15</v>
      </c>
      <c r="D120" s="552"/>
      <c r="E120" s="562"/>
      <c r="F120" s="830"/>
      <c r="G120" s="830"/>
      <c r="H120" s="831"/>
      <c r="I120" s="830"/>
      <c r="J120" s="830"/>
      <c r="K120" s="830"/>
      <c r="L120" s="830"/>
      <c r="M120" s="830"/>
      <c r="N120" s="830"/>
      <c r="O120" s="830"/>
      <c r="P120" s="830"/>
      <c r="Q120" s="834"/>
      <c r="R120" s="823"/>
      <c r="S120" s="830"/>
      <c r="T120" s="830"/>
      <c r="U120" s="830"/>
      <c r="V120" s="830"/>
      <c r="W120" s="833"/>
      <c r="X120" s="830"/>
      <c r="Y120" s="830"/>
    </row>
    <row r="121" spans="2:62" ht="15" customHeight="1" x14ac:dyDescent="0.25">
      <c r="B121" s="829"/>
      <c r="C121" s="565" t="s">
        <v>61</v>
      </c>
      <c r="D121" s="843" t="s">
        <v>19</v>
      </c>
      <c r="E121" s="528">
        <v>0.9</v>
      </c>
      <c r="F121" s="830"/>
      <c r="G121" s="830"/>
      <c r="H121" s="831"/>
      <c r="I121" s="922" t="s">
        <v>485</v>
      </c>
      <c r="J121" s="921"/>
      <c r="K121" s="830"/>
      <c r="L121" s="917"/>
      <c r="M121" s="830"/>
      <c r="N121" s="830"/>
      <c r="O121" s="830"/>
      <c r="P121" s="830"/>
      <c r="Q121" s="834"/>
      <c r="R121" s="823"/>
      <c r="S121" s="830"/>
      <c r="T121" s="830"/>
      <c r="U121" s="830"/>
      <c r="V121" s="830"/>
      <c r="W121" s="833"/>
      <c r="X121" s="830"/>
      <c r="Y121" s="830"/>
    </row>
    <row r="122" spans="2:62" ht="15" customHeight="1" x14ac:dyDescent="0.25">
      <c r="B122" s="829"/>
      <c r="C122" s="565" t="s">
        <v>62</v>
      </c>
      <c r="D122" s="843" t="s">
        <v>20</v>
      </c>
      <c r="E122" s="877">
        <v>0.96</v>
      </c>
      <c r="F122" s="830" t="s">
        <v>468</v>
      </c>
      <c r="G122" s="835"/>
      <c r="H122" s="831"/>
      <c r="I122" s="830"/>
      <c r="J122" s="830"/>
      <c r="K122" s="830"/>
      <c r="L122" s="909"/>
      <c r="M122" s="830"/>
      <c r="N122" s="821" t="s">
        <v>359</v>
      </c>
      <c r="O122" s="821" t="s">
        <v>359</v>
      </c>
      <c r="P122" s="821" t="s">
        <v>359</v>
      </c>
      <c r="Q122" s="837" t="s">
        <v>359</v>
      </c>
      <c r="R122" s="830"/>
      <c r="S122" s="830"/>
      <c r="T122" s="830"/>
      <c r="U122" s="830"/>
      <c r="V122" s="830"/>
      <c r="W122" s="918"/>
      <c r="X122" s="830"/>
      <c r="Y122" s="830"/>
      <c r="AD122" s="545">
        <v>3593</v>
      </c>
      <c r="AK122" s="545">
        <v>3618</v>
      </c>
      <c r="AR122" s="878" t="s">
        <v>473</v>
      </c>
      <c r="AY122" s="878" t="s">
        <v>482</v>
      </c>
    </row>
    <row r="123" spans="2:62" ht="15" customHeight="1" x14ac:dyDescent="0.25">
      <c r="B123" s="839"/>
      <c r="C123" s="565" t="s">
        <v>356</v>
      </c>
      <c r="D123" s="830"/>
      <c r="E123" s="665">
        <f>(E122*2.20462*25.4*12)</f>
        <v>645.0894489599998</v>
      </c>
      <c r="F123" s="899">
        <v>1</v>
      </c>
      <c r="G123" s="830"/>
      <c r="H123" s="830"/>
      <c r="I123" s="830"/>
      <c r="J123" s="830"/>
      <c r="K123" s="830"/>
      <c r="L123" s="923" t="s">
        <v>486</v>
      </c>
      <c r="M123" s="830"/>
      <c r="N123" s="838" t="s">
        <v>360</v>
      </c>
      <c r="O123" s="838" t="s">
        <v>360</v>
      </c>
      <c r="P123" s="838" t="s">
        <v>360</v>
      </c>
      <c r="Q123" s="834" t="s">
        <v>360</v>
      </c>
      <c r="R123" s="830"/>
      <c r="S123" s="830"/>
      <c r="T123" s="830"/>
      <c r="U123" s="830"/>
      <c r="V123" s="830"/>
      <c r="W123" s="918"/>
      <c r="X123" s="830"/>
      <c r="Y123" s="830"/>
      <c r="AC123" s="462"/>
      <c r="AD123" s="816" t="s">
        <v>462</v>
      </c>
      <c r="AE123" s="817"/>
      <c r="AF123" s="817"/>
      <c r="AG123" s="817"/>
      <c r="AH123" s="818"/>
      <c r="AJ123" s="462"/>
      <c r="AK123" s="816" t="s">
        <v>462</v>
      </c>
      <c r="AL123" s="817"/>
      <c r="AM123" s="817"/>
      <c r="AN123" s="817"/>
      <c r="AO123" s="818"/>
      <c r="AQ123" s="462"/>
      <c r="AR123" s="816" t="s">
        <v>462</v>
      </c>
      <c r="AS123" s="817"/>
      <c r="AT123" s="817"/>
      <c r="AU123" s="817"/>
      <c r="AV123" s="818"/>
      <c r="AX123" s="462"/>
      <c r="AY123" s="816" t="s">
        <v>462</v>
      </c>
      <c r="AZ123" s="817"/>
      <c r="BA123" s="817"/>
      <c r="BB123" s="817"/>
      <c r="BC123" s="818"/>
      <c r="BE123" s="462"/>
      <c r="BF123" s="816" t="s">
        <v>462</v>
      </c>
      <c r="BG123" s="817"/>
      <c r="BH123" s="817"/>
      <c r="BI123" s="817"/>
      <c r="BJ123" s="818"/>
    </row>
    <row r="124" spans="2:62" ht="15" customHeight="1" x14ac:dyDescent="0.25">
      <c r="B124" s="839"/>
      <c r="C124" s="571" t="s">
        <v>59</v>
      </c>
      <c r="D124" s="572" t="s">
        <v>28</v>
      </c>
      <c r="E124" s="573">
        <v>85</v>
      </c>
      <c r="F124" s="902" t="s">
        <v>487</v>
      </c>
      <c r="G124" s="840"/>
      <c r="H124" s="841" t="s">
        <v>475</v>
      </c>
      <c r="I124" s="882" t="s">
        <v>469</v>
      </c>
      <c r="J124" s="840"/>
      <c r="K124" s="842" t="s">
        <v>111</v>
      </c>
      <c r="L124" s="910" t="s">
        <v>191</v>
      </c>
      <c r="M124" s="830"/>
      <c r="N124" s="821" t="s">
        <v>267</v>
      </c>
      <c r="O124" s="821" t="s">
        <v>267</v>
      </c>
      <c r="P124" s="821" t="s">
        <v>267</v>
      </c>
      <c r="Q124" s="837" t="s">
        <v>267</v>
      </c>
      <c r="R124" s="830"/>
      <c r="S124" s="830"/>
      <c r="T124" s="830"/>
      <c r="U124" s="830"/>
      <c r="V124" s="830"/>
      <c r="W124" s="918"/>
      <c r="X124" s="830"/>
      <c r="Y124" s="830"/>
      <c r="AC124" s="460"/>
      <c r="AD124" s="467" t="s">
        <v>288</v>
      </c>
      <c r="AE124" s="468" t="s">
        <v>288</v>
      </c>
      <c r="AF124" s="469">
        <f>1/2</f>
        <v>0.5</v>
      </c>
      <c r="AG124" s="467" t="s">
        <v>128</v>
      </c>
      <c r="AH124" s="468" t="s">
        <v>128</v>
      </c>
      <c r="AJ124" s="460"/>
      <c r="AK124" s="467" t="s">
        <v>288</v>
      </c>
      <c r="AL124" s="468" t="s">
        <v>288</v>
      </c>
      <c r="AM124" s="469">
        <f>1/2</f>
        <v>0.5</v>
      </c>
      <c r="AN124" s="467" t="s">
        <v>128</v>
      </c>
      <c r="AO124" s="468" t="s">
        <v>128</v>
      </c>
      <c r="AQ124" s="460"/>
      <c r="AR124" s="467" t="s">
        <v>288</v>
      </c>
      <c r="AS124" s="468" t="s">
        <v>288</v>
      </c>
      <c r="AT124" s="469">
        <f>1/2</f>
        <v>0.5</v>
      </c>
      <c r="AU124" s="467" t="s">
        <v>128</v>
      </c>
      <c r="AV124" s="468" t="s">
        <v>128</v>
      </c>
      <c r="AX124" s="460"/>
      <c r="AY124" s="467" t="s">
        <v>288</v>
      </c>
      <c r="AZ124" s="468" t="s">
        <v>288</v>
      </c>
      <c r="BA124" s="469">
        <f>1/2</f>
        <v>0.5</v>
      </c>
      <c r="BB124" s="467" t="s">
        <v>128</v>
      </c>
      <c r="BC124" s="468" t="s">
        <v>128</v>
      </c>
      <c r="BE124" s="460"/>
      <c r="BF124" s="467" t="s">
        <v>288</v>
      </c>
      <c r="BG124" s="468" t="s">
        <v>288</v>
      </c>
      <c r="BH124" s="469">
        <f>1/2</f>
        <v>0.5</v>
      </c>
      <c r="BI124" s="467" t="s">
        <v>128</v>
      </c>
      <c r="BJ124" s="468" t="s">
        <v>128</v>
      </c>
    </row>
    <row r="125" spans="2:62" ht="15" customHeight="1" x14ac:dyDescent="0.25">
      <c r="B125" s="839"/>
      <c r="C125" s="830"/>
      <c r="D125" s="830"/>
      <c r="E125" s="901" t="s">
        <v>434</v>
      </c>
      <c r="F125" s="900" t="s">
        <v>297</v>
      </c>
      <c r="G125" s="844" t="s">
        <v>2</v>
      </c>
      <c r="H125" s="883" t="s">
        <v>471</v>
      </c>
      <c r="I125" s="844" t="s">
        <v>295</v>
      </c>
      <c r="J125" s="845" t="s">
        <v>133</v>
      </c>
      <c r="K125" s="845" t="s">
        <v>127</v>
      </c>
      <c r="L125" s="911" t="s">
        <v>128</v>
      </c>
      <c r="M125" s="830"/>
      <c r="N125" s="846" t="s">
        <v>82</v>
      </c>
      <c r="O125" s="846" t="s">
        <v>26</v>
      </c>
      <c r="P125" s="847" t="s">
        <v>288</v>
      </c>
      <c r="Q125" s="848" t="s">
        <v>358</v>
      </c>
      <c r="R125" s="830"/>
      <c r="S125" s="830"/>
      <c r="T125" s="830"/>
      <c r="U125" s="830"/>
      <c r="V125" s="830"/>
      <c r="W125" s="918"/>
      <c r="X125" s="830"/>
      <c r="Y125" s="830"/>
      <c r="AC125" s="462" t="s">
        <v>289</v>
      </c>
      <c r="AD125" s="462" t="s">
        <v>291</v>
      </c>
      <c r="AE125" s="470" t="s">
        <v>292</v>
      </c>
      <c r="AF125" s="471" t="s">
        <v>293</v>
      </c>
      <c r="AG125" s="462" t="s">
        <v>291</v>
      </c>
      <c r="AH125" s="470" t="s">
        <v>292</v>
      </c>
      <c r="AJ125" s="462" t="s">
        <v>289</v>
      </c>
      <c r="AK125" s="462" t="s">
        <v>291</v>
      </c>
      <c r="AL125" s="470" t="s">
        <v>292</v>
      </c>
      <c r="AM125" s="471" t="s">
        <v>293</v>
      </c>
      <c r="AN125" s="462" t="s">
        <v>291</v>
      </c>
      <c r="AO125" s="470" t="s">
        <v>292</v>
      </c>
      <c r="AQ125" s="462" t="s">
        <v>289</v>
      </c>
      <c r="AR125" s="462" t="s">
        <v>291</v>
      </c>
      <c r="AS125" s="470" t="s">
        <v>292</v>
      </c>
      <c r="AT125" s="471" t="s">
        <v>293</v>
      </c>
      <c r="AU125" s="462" t="s">
        <v>291</v>
      </c>
      <c r="AV125" s="470" t="s">
        <v>292</v>
      </c>
      <c r="AX125" s="462" t="s">
        <v>289</v>
      </c>
      <c r="AY125" s="462" t="s">
        <v>291</v>
      </c>
      <c r="AZ125" s="470" t="s">
        <v>292</v>
      </c>
      <c r="BA125" s="471" t="s">
        <v>293</v>
      </c>
      <c r="BB125" s="462" t="s">
        <v>291</v>
      </c>
      <c r="BC125" s="470" t="s">
        <v>292</v>
      </c>
      <c r="BE125" s="462" t="s">
        <v>289</v>
      </c>
      <c r="BF125" s="462" t="s">
        <v>291</v>
      </c>
      <c r="BG125" s="470" t="s">
        <v>292</v>
      </c>
      <c r="BH125" s="471" t="s">
        <v>293</v>
      </c>
      <c r="BI125" s="462" t="s">
        <v>291</v>
      </c>
      <c r="BJ125" s="470" t="s">
        <v>292</v>
      </c>
    </row>
    <row r="126" spans="2:62" ht="15" customHeight="1" x14ac:dyDescent="0.25">
      <c r="B126" s="839"/>
      <c r="C126" s="830"/>
      <c r="D126" s="830"/>
      <c r="E126" s="894">
        <f>T40</f>
        <v>2.5</v>
      </c>
      <c r="F126" s="904">
        <v>2.4</v>
      </c>
      <c r="G126" s="849">
        <v>1</v>
      </c>
      <c r="H126" s="885">
        <f>S40</f>
        <v>2.5</v>
      </c>
      <c r="I126" s="884">
        <f>F126</f>
        <v>2.4</v>
      </c>
      <c r="J126" s="851">
        <f>I126*2</f>
        <v>4.8</v>
      </c>
      <c r="K126" s="852">
        <f>(J126/G126)</f>
        <v>4.8</v>
      </c>
      <c r="L126" s="912">
        <f>SQRT(12*32.2*K126^2/(4*$E$124*($E$122*56)*$E$121^2))</f>
        <v>0.77543999738373293</v>
      </c>
      <c r="M126" s="830"/>
      <c r="N126" s="830">
        <v>0.7</v>
      </c>
      <c r="O126" s="854">
        <f>($N126*$E$121*SQRT(4*$E$124*$E$123/32.2)/12)</f>
        <v>4.3329212452209367</v>
      </c>
      <c r="P126" s="855">
        <f>(O126*G126)/2</f>
        <v>2.1664606226104683</v>
      </c>
      <c r="Q126" s="856">
        <f>P126-I126</f>
        <v>-0.23353937738953157</v>
      </c>
      <c r="R126" s="830"/>
      <c r="S126" s="830"/>
      <c r="T126" s="830"/>
      <c r="U126" s="830"/>
      <c r="V126" s="830"/>
      <c r="W126" s="918"/>
      <c r="X126" s="830"/>
      <c r="Y126" s="830"/>
      <c r="AC126" s="462">
        <v>1</v>
      </c>
      <c r="AD126" s="472">
        <v>2.8</v>
      </c>
      <c r="AE126" s="473">
        <v>2.1</v>
      </c>
      <c r="AF126" s="474">
        <v>1.33</v>
      </c>
      <c r="AG126" s="472">
        <v>0.9</v>
      </c>
      <c r="AH126" s="473">
        <v>0.68</v>
      </c>
      <c r="AJ126" s="462">
        <v>1</v>
      </c>
      <c r="AK126" s="472">
        <v>2.7</v>
      </c>
      <c r="AL126" s="473">
        <v>2.1</v>
      </c>
      <c r="AM126" s="474">
        <v>1.3</v>
      </c>
      <c r="AN126" s="472">
        <v>0.87</v>
      </c>
      <c r="AO126" s="473">
        <v>0.66</v>
      </c>
      <c r="AQ126" s="462">
        <v>1</v>
      </c>
      <c r="AR126" s="472">
        <v>3.5</v>
      </c>
      <c r="AS126" s="473">
        <v>2.1</v>
      </c>
      <c r="AT126" s="474">
        <v>1.7</v>
      </c>
      <c r="AU126" s="472">
        <v>1.1499999999999999</v>
      </c>
      <c r="AV126" s="473">
        <v>0.68</v>
      </c>
      <c r="AX126" s="462">
        <v>1</v>
      </c>
      <c r="AY126" s="472">
        <v>2.6</v>
      </c>
      <c r="AZ126" s="473">
        <v>2.1</v>
      </c>
      <c r="BA126" s="474">
        <v>1.23</v>
      </c>
      <c r="BB126" s="472">
        <v>0.83</v>
      </c>
      <c r="BC126" s="473">
        <v>0.68</v>
      </c>
      <c r="BE126" s="462">
        <v>1</v>
      </c>
      <c r="BF126" s="472">
        <v>3.1</v>
      </c>
      <c r="BG126" s="473">
        <v>2.2000000000000002</v>
      </c>
      <c r="BH126" s="474">
        <v>1.43</v>
      </c>
      <c r="BI126" s="472">
        <v>1.02</v>
      </c>
      <c r="BJ126" s="473">
        <v>0.71</v>
      </c>
    </row>
    <row r="127" spans="2:62" ht="15" customHeight="1" x14ac:dyDescent="0.25">
      <c r="B127" s="839"/>
      <c r="C127" s="830"/>
      <c r="D127" s="830"/>
      <c r="E127" s="889">
        <f>T41</f>
        <v>3.8</v>
      </c>
      <c r="F127" s="881">
        <v>3.85</v>
      </c>
      <c r="G127" s="821">
        <v>2</v>
      </c>
      <c r="H127" s="885">
        <f>S41</f>
        <v>3.8</v>
      </c>
      <c r="I127" s="823">
        <f t="shared" ref="I127:I137" si="41">F127</f>
        <v>3.85</v>
      </c>
      <c r="J127" s="855">
        <f t="shared" ref="J127:J132" si="42">I127*2</f>
        <v>7.7</v>
      </c>
      <c r="K127" s="854">
        <f t="shared" ref="K127:K132" si="43">(J127/G127)</f>
        <v>3.85</v>
      </c>
      <c r="L127" s="913">
        <f>SQRT(12*32.2*K127^2/(4*$E$124*($E$122*56)*$E$121^2))</f>
        <v>0.62196749790153583</v>
      </c>
      <c r="M127" s="830"/>
      <c r="N127" s="830">
        <v>0.7</v>
      </c>
      <c r="O127" s="854">
        <f>($N127*$E$121*SQRT(4*$E$124*$E$123/32.2)/12)</f>
        <v>4.3329212452209367</v>
      </c>
      <c r="P127" s="855">
        <f t="shared" ref="P127:P131" si="44">(O127*G127)/2</f>
        <v>4.3329212452209367</v>
      </c>
      <c r="Q127" s="856">
        <f t="shared" ref="Q127:Q131" si="45">P127-I127</f>
        <v>0.4829212452209366</v>
      </c>
      <c r="R127" s="830"/>
      <c r="S127" s="830"/>
      <c r="T127" s="830"/>
      <c r="U127" s="830"/>
      <c r="V127" s="830"/>
      <c r="W127" s="918"/>
      <c r="X127" s="830"/>
      <c r="Y127" s="830"/>
      <c r="AC127" s="462">
        <v>2</v>
      </c>
      <c r="AD127" s="472">
        <v>4.0999999999999996</v>
      </c>
      <c r="AE127" s="473">
        <v>3.1</v>
      </c>
      <c r="AF127" s="474">
        <v>1.32</v>
      </c>
      <c r="AG127" s="472">
        <v>0.66</v>
      </c>
      <c r="AH127" s="473">
        <v>0.5</v>
      </c>
      <c r="AJ127" s="462">
        <v>2</v>
      </c>
      <c r="AK127" s="472">
        <v>3.8</v>
      </c>
      <c r="AL127" s="473">
        <v>3.1</v>
      </c>
      <c r="AM127" s="474">
        <v>1.24</v>
      </c>
      <c r="AN127" s="472">
        <v>0.61</v>
      </c>
      <c r="AO127" s="473">
        <v>0.49</v>
      </c>
      <c r="AQ127" s="462">
        <v>2</v>
      </c>
      <c r="AR127" s="472">
        <v>4.5999999999999996</v>
      </c>
      <c r="AS127" s="473">
        <v>3</v>
      </c>
      <c r="AT127" s="474">
        <v>1.51</v>
      </c>
      <c r="AU127" s="472">
        <v>0.76</v>
      </c>
      <c r="AV127" s="473">
        <v>0.5</v>
      </c>
      <c r="AX127" s="462">
        <v>2</v>
      </c>
      <c r="AY127" s="472">
        <v>4</v>
      </c>
      <c r="AZ127" s="473">
        <v>3.1</v>
      </c>
      <c r="BA127" s="474">
        <v>1.28</v>
      </c>
      <c r="BB127" s="472">
        <v>0.64</v>
      </c>
      <c r="BC127" s="473">
        <v>0.5</v>
      </c>
      <c r="BE127" s="462">
        <v>2</v>
      </c>
      <c r="BF127" s="472">
        <v>4.2</v>
      </c>
      <c r="BG127" s="473">
        <v>3.2</v>
      </c>
      <c r="BH127" s="474">
        <v>1.31</v>
      </c>
      <c r="BI127" s="472">
        <v>0.69</v>
      </c>
      <c r="BJ127" s="473">
        <v>0.53</v>
      </c>
    </row>
    <row r="128" spans="2:62" ht="15" customHeight="1" x14ac:dyDescent="0.25">
      <c r="B128" s="839"/>
      <c r="C128" s="830"/>
      <c r="D128" s="830"/>
      <c r="E128" s="890">
        <f>T42</f>
        <v>5.4</v>
      </c>
      <c r="F128" s="880">
        <v>5.4</v>
      </c>
      <c r="G128" s="820">
        <v>3</v>
      </c>
      <c r="H128" s="885">
        <f>S42</f>
        <v>5.45</v>
      </c>
      <c r="I128" s="822">
        <f t="shared" si="41"/>
        <v>5.4</v>
      </c>
      <c r="J128" s="858">
        <f t="shared" si="42"/>
        <v>10.8</v>
      </c>
      <c r="K128" s="859">
        <f t="shared" si="43"/>
        <v>3.6</v>
      </c>
      <c r="L128" s="914">
        <f>SQRT(12*32.2*K128^2/(4*$E$124*($E$122*56)*$E$121^2))</f>
        <v>0.58157999803779969</v>
      </c>
      <c r="M128" s="830"/>
      <c r="N128" s="830">
        <v>0.7</v>
      </c>
      <c r="O128" s="854">
        <f>($N128*$E$121*SQRT(4*$E$124*$E$123/32.2)/12)</f>
        <v>4.3329212452209367</v>
      </c>
      <c r="P128" s="855">
        <f t="shared" si="44"/>
        <v>6.4993818678314046</v>
      </c>
      <c r="Q128" s="856">
        <f t="shared" si="45"/>
        <v>1.0993818678314042</v>
      </c>
      <c r="R128" s="830"/>
      <c r="S128" s="830"/>
      <c r="T128" s="830"/>
      <c r="U128" s="830"/>
      <c r="V128" s="830"/>
      <c r="W128" s="918"/>
      <c r="X128" s="830"/>
      <c r="Y128" s="830"/>
      <c r="AC128" s="462">
        <v>3</v>
      </c>
      <c r="AD128" s="475">
        <v>5.8</v>
      </c>
      <c r="AE128" s="478">
        <v>4.5999999999999996</v>
      </c>
      <c r="AF128" s="477">
        <v>1.26</v>
      </c>
      <c r="AG128" s="475">
        <v>0.62</v>
      </c>
      <c r="AH128" s="478">
        <v>0.5</v>
      </c>
      <c r="AJ128" s="462">
        <v>3</v>
      </c>
      <c r="AK128" s="475">
        <v>5.4</v>
      </c>
      <c r="AL128" s="478">
        <v>4.5</v>
      </c>
      <c r="AM128" s="477">
        <v>1.19</v>
      </c>
      <c r="AN128" s="475">
        <v>0.57999999999999996</v>
      </c>
      <c r="AO128" s="478">
        <v>0.49</v>
      </c>
      <c r="AQ128" s="462">
        <v>3</v>
      </c>
      <c r="AR128" s="475">
        <v>6</v>
      </c>
      <c r="AS128" s="478">
        <v>4.5</v>
      </c>
      <c r="AT128" s="477">
        <v>1.33</v>
      </c>
      <c r="AU128" s="475">
        <v>0.66</v>
      </c>
      <c r="AV128" s="478">
        <v>0.5</v>
      </c>
      <c r="AX128" s="462">
        <v>3</v>
      </c>
      <c r="AY128" s="475">
        <v>5.7</v>
      </c>
      <c r="AZ128" s="478">
        <v>4.5999999999999996</v>
      </c>
      <c r="BA128" s="477">
        <v>1.23</v>
      </c>
      <c r="BB128" s="475">
        <v>0.61</v>
      </c>
      <c r="BC128" s="478">
        <v>0.5</v>
      </c>
      <c r="BE128" s="462">
        <v>3</v>
      </c>
      <c r="BF128" s="475">
        <v>5.6</v>
      </c>
      <c r="BG128" s="478">
        <v>4.8</v>
      </c>
      <c r="BH128" s="477">
        <v>1.18</v>
      </c>
      <c r="BI128" s="475">
        <v>0.61</v>
      </c>
      <c r="BJ128" s="478">
        <v>0.52</v>
      </c>
    </row>
    <row r="129" spans="2:62" ht="15" customHeight="1" x14ac:dyDescent="0.25">
      <c r="B129" s="829"/>
      <c r="C129" s="830"/>
      <c r="D129" s="830"/>
      <c r="E129" s="889">
        <f>T43</f>
        <v>7.2</v>
      </c>
      <c r="F129" s="881">
        <v>7.15</v>
      </c>
      <c r="G129" s="821">
        <v>4</v>
      </c>
      <c r="H129" s="885">
        <f>S43</f>
        <v>7.2</v>
      </c>
      <c r="I129" s="823">
        <f t="shared" si="41"/>
        <v>7.15</v>
      </c>
      <c r="J129" s="855">
        <f t="shared" si="42"/>
        <v>14.3</v>
      </c>
      <c r="K129" s="854">
        <f t="shared" si="43"/>
        <v>3.5750000000000002</v>
      </c>
      <c r="L129" s="913">
        <f>SQRT(12*32.2*K129^2/(4*$E$124*($E$122*56)*$E$121^2))</f>
        <v>0.57754124805142615</v>
      </c>
      <c r="M129" s="830"/>
      <c r="N129" s="830">
        <v>0.7</v>
      </c>
      <c r="O129" s="854">
        <f>($N129*$E$121*SQRT(4*$E$124*$E$123/32.2)/12)</f>
        <v>4.3329212452209367</v>
      </c>
      <c r="P129" s="855">
        <f t="shared" si="44"/>
        <v>8.6658424904418734</v>
      </c>
      <c r="Q129" s="856">
        <f t="shared" si="45"/>
        <v>1.515842490441873</v>
      </c>
      <c r="R129" s="830"/>
      <c r="S129" s="830"/>
      <c r="T129" s="830"/>
      <c r="U129" s="830"/>
      <c r="V129" s="830"/>
      <c r="W129" s="918"/>
      <c r="X129" s="830"/>
      <c r="Y129" s="830"/>
      <c r="AC129" s="462">
        <v>4</v>
      </c>
      <c r="AD129" s="472">
        <v>7.7</v>
      </c>
      <c r="AE129" s="473">
        <v>6.3</v>
      </c>
      <c r="AF129" s="474">
        <v>1.22</v>
      </c>
      <c r="AG129" s="472">
        <v>0.62</v>
      </c>
      <c r="AH129" s="473">
        <v>0.51</v>
      </c>
      <c r="AJ129" s="462">
        <v>4</v>
      </c>
      <c r="AK129" s="472">
        <v>6.9</v>
      </c>
      <c r="AL129" s="473">
        <v>6.2</v>
      </c>
      <c r="AM129" s="474">
        <v>1.1100000000000001</v>
      </c>
      <c r="AN129" s="472">
        <v>0.55000000000000004</v>
      </c>
      <c r="AO129" s="473">
        <v>0.5</v>
      </c>
      <c r="AQ129" s="462">
        <v>4</v>
      </c>
      <c r="AR129" s="472">
        <v>7.4</v>
      </c>
      <c r="AS129" s="473">
        <v>6.2</v>
      </c>
      <c r="AT129" s="474">
        <v>1.2</v>
      </c>
      <c r="AU129" s="472">
        <v>0.61</v>
      </c>
      <c r="AV129" s="473">
        <v>0.51</v>
      </c>
      <c r="AX129" s="462">
        <v>4</v>
      </c>
      <c r="AY129" s="472">
        <v>7.2</v>
      </c>
      <c r="AZ129" s="473">
        <v>6.3</v>
      </c>
      <c r="BA129" s="474">
        <v>1.1399999999999999</v>
      </c>
      <c r="BB129" s="472">
        <v>0.57999999999999996</v>
      </c>
      <c r="BC129" s="473">
        <v>0.51</v>
      </c>
      <c r="BE129" s="462">
        <v>4</v>
      </c>
      <c r="BF129" s="472">
        <v>7.3</v>
      </c>
      <c r="BG129" s="473">
        <v>6.5</v>
      </c>
      <c r="BH129" s="474">
        <v>1.1200000000000001</v>
      </c>
      <c r="BI129" s="472">
        <v>0.6</v>
      </c>
      <c r="BJ129" s="473">
        <v>0.53</v>
      </c>
    </row>
    <row r="130" spans="2:62" ht="15" customHeight="1" thickBot="1" x14ac:dyDescent="0.3">
      <c r="B130" s="861"/>
      <c r="C130" s="878" t="s">
        <v>487</v>
      </c>
      <c r="D130" s="862"/>
      <c r="E130" s="889">
        <f>T44</f>
        <v>9.3000000000000007</v>
      </c>
      <c r="F130" s="881">
        <v>9.25</v>
      </c>
      <c r="G130" s="821">
        <v>5</v>
      </c>
      <c r="H130" s="885">
        <f>S44</f>
        <v>9.3999999999999986</v>
      </c>
      <c r="I130" s="823">
        <f t="shared" si="41"/>
        <v>9.25</v>
      </c>
      <c r="J130" s="855">
        <f t="shared" si="42"/>
        <v>18.5</v>
      </c>
      <c r="K130" s="854">
        <f t="shared" si="43"/>
        <v>3.7</v>
      </c>
      <c r="L130" s="913">
        <f>SQRT(12*32.2*K130^2/(4*$E$124*($E$122*56)*$E$121^2))</f>
        <v>0.5977349979832941</v>
      </c>
      <c r="M130" s="830"/>
      <c r="N130" s="830">
        <v>0.7</v>
      </c>
      <c r="O130" s="854">
        <f>($N130*$E$121*SQRT(4*$E$124*$E$123/32.2)/12)</f>
        <v>4.3329212452209367</v>
      </c>
      <c r="P130" s="855">
        <f t="shared" si="44"/>
        <v>10.832303113052342</v>
      </c>
      <c r="Q130" s="856">
        <f t="shared" si="45"/>
        <v>1.5823031130523422</v>
      </c>
      <c r="R130" s="830"/>
      <c r="S130" s="830"/>
      <c r="T130" s="830"/>
      <c r="U130" s="830"/>
      <c r="V130" s="830"/>
      <c r="W130" s="918"/>
      <c r="X130" s="830"/>
      <c r="Y130" s="830"/>
      <c r="AC130" s="462">
        <v>5</v>
      </c>
      <c r="AD130" s="472">
        <v>10.3</v>
      </c>
      <c r="AE130" s="473">
        <v>8.1999999999999993</v>
      </c>
      <c r="AF130" s="474">
        <v>1.26</v>
      </c>
      <c r="AG130" s="472">
        <v>0.67</v>
      </c>
      <c r="AH130" s="473">
        <v>0.53</v>
      </c>
      <c r="AJ130" s="462">
        <v>5</v>
      </c>
      <c r="AK130" s="472">
        <v>9</v>
      </c>
      <c r="AL130" s="473">
        <v>8.1</v>
      </c>
      <c r="AM130" s="474">
        <v>1.1100000000000001</v>
      </c>
      <c r="AN130" s="472">
        <v>0.57999999999999996</v>
      </c>
      <c r="AO130" s="473">
        <v>0.52</v>
      </c>
      <c r="AQ130" s="462">
        <v>5</v>
      </c>
      <c r="AR130" s="472">
        <v>9.5</v>
      </c>
      <c r="AS130" s="473">
        <v>8.1</v>
      </c>
      <c r="AT130" s="474">
        <v>1.18</v>
      </c>
      <c r="AU130" s="472">
        <v>0.63</v>
      </c>
      <c r="AV130" s="473">
        <v>0.53</v>
      </c>
      <c r="AX130" s="462">
        <v>5</v>
      </c>
      <c r="AY130" s="472">
        <v>9</v>
      </c>
      <c r="AZ130" s="473">
        <v>8.3000000000000007</v>
      </c>
      <c r="BA130" s="474">
        <v>1.0900000000000001</v>
      </c>
      <c r="BB130" s="472">
        <v>0.57999999999999996</v>
      </c>
      <c r="BC130" s="473">
        <v>0.53</v>
      </c>
      <c r="BE130" s="462">
        <v>5</v>
      </c>
      <c r="BF130" s="472">
        <v>9.4</v>
      </c>
      <c r="BG130" s="473">
        <v>8.5</v>
      </c>
      <c r="BH130" s="474">
        <v>1.1100000000000001</v>
      </c>
      <c r="BI130" s="472">
        <v>0.62</v>
      </c>
      <c r="BJ130" s="473">
        <v>0.56000000000000005</v>
      </c>
    </row>
    <row r="131" spans="2:62" ht="15" customHeight="1" thickBot="1" x14ac:dyDescent="0.3">
      <c r="B131" s="863"/>
      <c r="C131" s="864" t="s">
        <v>427</v>
      </c>
      <c r="D131" s="865" t="s">
        <v>346</v>
      </c>
      <c r="E131" s="890">
        <f>T45</f>
        <v>19.600000000000001</v>
      </c>
      <c r="F131" s="880">
        <v>19.899999999999999</v>
      </c>
      <c r="G131" s="820">
        <v>10</v>
      </c>
      <c r="H131" s="885">
        <f>S45</f>
        <v>20.399999999999999</v>
      </c>
      <c r="I131" s="919">
        <f>F131</f>
        <v>19.899999999999999</v>
      </c>
      <c r="J131" s="858">
        <f t="shared" si="42"/>
        <v>39.799999999999997</v>
      </c>
      <c r="K131" s="859">
        <f t="shared" si="43"/>
        <v>3.9799999999999995</v>
      </c>
      <c r="L131" s="924">
        <f>SQRT(12*32.2*K131^2/(4*$E$124*($E$122*56)*$E$121^2))</f>
        <v>0.64296899783067851</v>
      </c>
      <c r="M131" s="855">
        <f>((((I$137-I$131)/6)*(G131-G$131)/10)+I$131)*-1</f>
        <v>-19.899999999999999</v>
      </c>
      <c r="N131" s="830">
        <v>0.7</v>
      </c>
      <c r="O131" s="854">
        <f>($N131*$E$121*SQRT(4*$E$124*$E$123/32.2)/12)</f>
        <v>4.3329212452209367</v>
      </c>
      <c r="P131" s="855">
        <f t="shared" si="44"/>
        <v>21.664606226104684</v>
      </c>
      <c r="Q131" s="856">
        <f t="shared" si="45"/>
        <v>1.7646062261046858</v>
      </c>
      <c r="R131" s="830"/>
      <c r="S131" s="830"/>
      <c r="T131" s="830"/>
      <c r="U131" s="830"/>
      <c r="V131" s="830"/>
      <c r="W131" s="918"/>
      <c r="X131" s="830"/>
      <c r="Y131" s="830"/>
      <c r="AC131" s="462">
        <v>10</v>
      </c>
      <c r="AD131" s="475">
        <v>22.1</v>
      </c>
      <c r="AE131" s="478">
        <v>18.2</v>
      </c>
      <c r="AF131" s="477">
        <v>1.21</v>
      </c>
      <c r="AG131" s="475">
        <v>0.71</v>
      </c>
      <c r="AH131" s="478">
        <v>0.59</v>
      </c>
      <c r="AJ131" s="462">
        <v>10</v>
      </c>
      <c r="AK131" s="475">
        <v>20.8</v>
      </c>
      <c r="AL131" s="478">
        <v>17.899999999999999</v>
      </c>
      <c r="AM131" s="477">
        <v>1.1599999999999999</v>
      </c>
      <c r="AN131" s="475">
        <v>0.67</v>
      </c>
      <c r="AO131" s="478">
        <v>0.57999999999999996</v>
      </c>
      <c r="AQ131" s="462">
        <v>10</v>
      </c>
      <c r="AR131" s="475">
        <v>20.8</v>
      </c>
      <c r="AS131" s="478">
        <v>17.899999999999999</v>
      </c>
      <c r="AT131" s="477">
        <v>1.1599999999999999</v>
      </c>
      <c r="AU131" s="475">
        <v>0.68</v>
      </c>
      <c r="AV131" s="478">
        <v>0.59</v>
      </c>
      <c r="AX131" s="462">
        <v>10</v>
      </c>
      <c r="AY131" s="475">
        <v>19.600000000000001</v>
      </c>
      <c r="AZ131" s="478">
        <v>18.3</v>
      </c>
      <c r="BA131" s="477">
        <v>1.07</v>
      </c>
      <c r="BB131" s="475">
        <v>0.63</v>
      </c>
      <c r="BC131" s="478">
        <v>0.59</v>
      </c>
      <c r="BE131" s="462">
        <v>10</v>
      </c>
      <c r="BF131" s="475">
        <v>20.5</v>
      </c>
      <c r="BG131" s="478">
        <v>18.8</v>
      </c>
      <c r="BH131" s="477">
        <v>1.0900000000000001</v>
      </c>
      <c r="BI131" s="475">
        <v>0.67</v>
      </c>
      <c r="BJ131" s="478">
        <v>0.62</v>
      </c>
    </row>
    <row r="132" spans="2:62" ht="15" customHeight="1" x14ac:dyDescent="0.25">
      <c r="B132" s="839"/>
      <c r="C132" s="866">
        <v>2.6</v>
      </c>
      <c r="D132" s="823">
        <f>C132</f>
        <v>2.6</v>
      </c>
      <c r="E132" s="889">
        <f>T46</f>
        <v>41.8</v>
      </c>
      <c r="F132" s="821">
        <v>41.6</v>
      </c>
      <c r="G132" s="821">
        <v>20</v>
      </c>
      <c r="H132" s="885">
        <f>S46</f>
        <v>41.9</v>
      </c>
      <c r="I132" s="823">
        <f t="shared" si="41"/>
        <v>41.6</v>
      </c>
      <c r="J132" s="855">
        <f t="shared" si="42"/>
        <v>83.2</v>
      </c>
      <c r="K132" s="854">
        <f t="shared" si="43"/>
        <v>4.16</v>
      </c>
      <c r="L132" s="913">
        <f>SQRT(12*32.2*K132^2/(4*$E$124*($E$122*56)*$E$121^2))</f>
        <v>0.67204799773256862</v>
      </c>
      <c r="M132" s="855">
        <f t="shared" ref="M132:M137" si="46">((((I$137-I$131)/6)*(G132-G$131)/10)+I$131)*-1</f>
        <v>-42</v>
      </c>
      <c r="N132" s="830">
        <v>0.7</v>
      </c>
      <c r="O132" s="854">
        <f>($N132*$E$121*SQRT(4*$E$124*$E$123/32.2)/12)</f>
        <v>4.3329212452209367</v>
      </c>
      <c r="P132" s="855">
        <f>(O132*G132)/2</f>
        <v>43.329212452209369</v>
      </c>
      <c r="Q132" s="856">
        <f>P132-I132</f>
        <v>1.7292124522093673</v>
      </c>
      <c r="R132" s="830"/>
      <c r="S132" s="830"/>
      <c r="T132" s="830"/>
      <c r="U132" s="830"/>
      <c r="V132" s="830"/>
      <c r="W132" s="918"/>
      <c r="X132" s="830"/>
      <c r="Y132" s="830"/>
      <c r="AC132" s="462">
        <v>20</v>
      </c>
      <c r="AD132" s="472">
        <v>44</v>
      </c>
      <c r="AE132" s="473">
        <v>38.799999999999997</v>
      </c>
      <c r="AF132" s="474">
        <v>1.1299999999999999</v>
      </c>
      <c r="AG132" s="472">
        <v>0.71</v>
      </c>
      <c r="AH132" s="473">
        <v>0.63</v>
      </c>
      <c r="AJ132" s="462">
        <v>20</v>
      </c>
      <c r="AK132" s="472">
        <v>42.8</v>
      </c>
      <c r="AL132" s="473">
        <v>38.299999999999997</v>
      </c>
      <c r="AM132" s="474">
        <v>1.1200000000000001</v>
      </c>
      <c r="AN132" s="472">
        <v>0.69</v>
      </c>
      <c r="AO132" s="473">
        <v>0.61</v>
      </c>
      <c r="AQ132" s="462">
        <v>20</v>
      </c>
      <c r="AR132" s="472">
        <v>42.7</v>
      </c>
      <c r="AS132" s="473">
        <v>38.1</v>
      </c>
      <c r="AT132" s="474">
        <v>1.1200000000000001</v>
      </c>
      <c r="AU132" s="472">
        <v>0.7</v>
      </c>
      <c r="AV132" s="473">
        <v>0.63</v>
      </c>
      <c r="AX132" s="462">
        <v>20</v>
      </c>
      <c r="AY132" s="472">
        <v>40.9</v>
      </c>
      <c r="AZ132" s="473">
        <v>39</v>
      </c>
      <c r="BA132" s="474">
        <v>1.05</v>
      </c>
      <c r="BB132" s="472">
        <v>0.66</v>
      </c>
      <c r="BC132" s="473">
        <v>0.63</v>
      </c>
      <c r="BE132" s="462">
        <v>20</v>
      </c>
      <c r="BF132" s="472">
        <v>43.3</v>
      </c>
      <c r="BG132" s="473">
        <v>40.1</v>
      </c>
      <c r="BH132" s="474">
        <v>1.08</v>
      </c>
      <c r="BI132" s="472">
        <v>0.71</v>
      </c>
      <c r="BJ132" s="473">
        <v>0.66</v>
      </c>
    </row>
    <row r="133" spans="2:62" ht="15" customHeight="1" x14ac:dyDescent="0.25">
      <c r="B133" s="839"/>
      <c r="C133" s="866">
        <v>4</v>
      </c>
      <c r="D133" s="823">
        <f t="shared" ref="D133:D143" si="47">C133</f>
        <v>4</v>
      </c>
      <c r="E133" s="890">
        <f>T47</f>
        <v>63.5</v>
      </c>
      <c r="F133" s="820">
        <v>63.3</v>
      </c>
      <c r="G133" s="820">
        <v>30</v>
      </c>
      <c r="H133" s="885">
        <f>S47</f>
        <v>63.5</v>
      </c>
      <c r="I133" s="822">
        <f t="shared" si="41"/>
        <v>63.3</v>
      </c>
      <c r="J133" s="858">
        <f>I133*2</f>
        <v>126.6</v>
      </c>
      <c r="K133" s="859">
        <f>(J133/G133)</f>
        <v>4.22</v>
      </c>
      <c r="L133" s="914">
        <f>SQRT(12*32.2*K133^2/(4*$E$124*($E$122*56)*$E$121^2))</f>
        <v>0.68174099769986518</v>
      </c>
      <c r="M133" s="855">
        <f t="shared" si="46"/>
        <v>-64.099999999999994</v>
      </c>
      <c r="N133" s="830">
        <v>0.7</v>
      </c>
      <c r="O133" s="854">
        <f>($N133*$E$121*SQRT(4*$E$124*$E$123/32.2)/12)</f>
        <v>4.3329212452209367</v>
      </c>
      <c r="P133" s="855">
        <f>(O133*G133)/2</f>
        <v>64.993818678314057</v>
      </c>
      <c r="Q133" s="868">
        <f>P133-I133</f>
        <v>1.6938186783140594</v>
      </c>
      <c r="R133" s="830"/>
      <c r="S133" s="830"/>
      <c r="T133" s="830"/>
      <c r="U133" s="830"/>
      <c r="V133" s="830"/>
      <c r="W133" s="918"/>
      <c r="X133" s="830"/>
      <c r="Y133" s="830"/>
      <c r="AC133" s="462">
        <v>30</v>
      </c>
      <c r="AD133" s="475">
        <v>65.5</v>
      </c>
      <c r="AE133" s="476">
        <v>60.2</v>
      </c>
      <c r="AF133" s="477">
        <v>1.0900000000000001</v>
      </c>
      <c r="AG133" s="475">
        <v>0.71</v>
      </c>
      <c r="AH133" s="478">
        <v>0.65</v>
      </c>
      <c r="AJ133" s="462">
        <v>30</v>
      </c>
      <c r="AK133" s="475">
        <v>63.3</v>
      </c>
      <c r="AL133" s="476">
        <v>59.4</v>
      </c>
      <c r="AM133" s="477">
        <v>1.07</v>
      </c>
      <c r="AN133" s="475">
        <v>0.68</v>
      </c>
      <c r="AO133" s="478">
        <v>0.64</v>
      </c>
      <c r="AQ133" s="462">
        <v>30</v>
      </c>
      <c r="AR133" s="475">
        <v>64.5</v>
      </c>
      <c r="AS133" s="476">
        <v>59.1</v>
      </c>
      <c r="AT133" s="477">
        <v>1.0900000000000001</v>
      </c>
      <c r="AU133" s="475">
        <v>0.71</v>
      </c>
      <c r="AV133" s="478">
        <v>0.65</v>
      </c>
      <c r="AX133" s="462">
        <v>30</v>
      </c>
      <c r="AY133" s="475">
        <v>61.9</v>
      </c>
      <c r="AZ133" s="476">
        <v>60.6</v>
      </c>
      <c r="BA133" s="477">
        <v>1.02</v>
      </c>
      <c r="BB133" s="475">
        <v>0.66</v>
      </c>
      <c r="BC133" s="478">
        <v>0.65</v>
      </c>
      <c r="BE133" s="462">
        <v>30</v>
      </c>
      <c r="BF133" s="475">
        <v>65.599999999999994</v>
      </c>
      <c r="BG133" s="476">
        <v>62.2</v>
      </c>
      <c r="BH133" s="477">
        <v>1.05</v>
      </c>
      <c r="BI133" s="475">
        <v>0.72</v>
      </c>
      <c r="BJ133" s="478">
        <v>0.68</v>
      </c>
    </row>
    <row r="134" spans="2:62" ht="15" customHeight="1" x14ac:dyDescent="0.25">
      <c r="B134" s="839"/>
      <c r="C134" s="869">
        <v>5.7</v>
      </c>
      <c r="D134" s="886">
        <f t="shared" si="47"/>
        <v>5.7</v>
      </c>
      <c r="E134" s="889">
        <f>T48</f>
        <v>85.8</v>
      </c>
      <c r="F134" s="821">
        <v>85</v>
      </c>
      <c r="G134" s="821">
        <v>40</v>
      </c>
      <c r="H134" s="885">
        <f>S48</f>
        <v>88.3</v>
      </c>
      <c r="I134" s="823">
        <f t="shared" si="41"/>
        <v>85</v>
      </c>
      <c r="J134" s="855">
        <f t="shared" ref="J134:J137" si="48">I134*2</f>
        <v>170</v>
      </c>
      <c r="K134" s="854">
        <f t="shared" ref="K134:K137" si="49">(J134/G134)</f>
        <v>4.25</v>
      </c>
      <c r="L134" s="913">
        <f>SQRT(12*32.2*K134^2/(4*$E$124*($E$122*56)*$E$121^2))</f>
        <v>0.68658749768351357</v>
      </c>
      <c r="M134" s="855">
        <f t="shared" si="46"/>
        <v>-86.199999999999989</v>
      </c>
      <c r="N134" s="830">
        <v>0.7</v>
      </c>
      <c r="O134" s="854">
        <f>($N134*$E$121*SQRT(4*$E$124*$E$123/32.2)/12)</f>
        <v>4.3329212452209367</v>
      </c>
      <c r="P134" s="855">
        <f>(O134*G134)/2</f>
        <v>86.658424904418737</v>
      </c>
      <c r="Q134" s="856">
        <f>P134-I134</f>
        <v>1.6584249044187374</v>
      </c>
      <c r="R134" s="830"/>
      <c r="S134" s="830"/>
      <c r="T134" s="830"/>
      <c r="U134" s="830"/>
      <c r="V134" s="830"/>
      <c r="W134" s="918"/>
      <c r="X134" s="830"/>
      <c r="Y134" s="830"/>
      <c r="AC134" s="462">
        <v>40</v>
      </c>
      <c r="AD134" s="472">
        <v>87</v>
      </c>
      <c r="AE134" s="473">
        <v>82.2</v>
      </c>
      <c r="AF134" s="474">
        <v>1.06</v>
      </c>
      <c r="AG134" s="472">
        <v>0.7</v>
      </c>
      <c r="AH134" s="473">
        <v>0.66</v>
      </c>
      <c r="AJ134" s="462">
        <v>40</v>
      </c>
      <c r="AK134" s="472">
        <v>85.2</v>
      </c>
      <c r="AL134" s="473">
        <v>81.099999999999994</v>
      </c>
      <c r="AM134" s="474">
        <v>1.05</v>
      </c>
      <c r="AN134" s="472">
        <v>0.68</v>
      </c>
      <c r="AO134" s="473">
        <v>0.65</v>
      </c>
      <c r="AQ134" s="462">
        <v>40</v>
      </c>
      <c r="AR134" s="472">
        <v>85.5</v>
      </c>
      <c r="AS134" s="473">
        <v>80.7</v>
      </c>
      <c r="AT134" s="474">
        <v>1.06</v>
      </c>
      <c r="AU134" s="472">
        <v>0.7</v>
      </c>
      <c r="AV134" s="473">
        <v>0.66</v>
      </c>
      <c r="AX134" s="462">
        <v>40</v>
      </c>
      <c r="AY134" s="472">
        <v>82.4</v>
      </c>
      <c r="AZ134" s="473">
        <v>82.7</v>
      </c>
      <c r="BA134" s="474">
        <v>1</v>
      </c>
      <c r="BB134" s="472">
        <v>0.66</v>
      </c>
      <c r="BC134" s="473">
        <v>0.66</v>
      </c>
      <c r="BE134" s="462">
        <v>40</v>
      </c>
      <c r="BF134" s="472">
        <v>88.6</v>
      </c>
      <c r="BG134" s="473">
        <v>85</v>
      </c>
      <c r="BH134" s="474">
        <v>1.04</v>
      </c>
      <c r="BI134" s="472">
        <v>0.73</v>
      </c>
      <c r="BJ134" s="473">
        <v>0.7</v>
      </c>
    </row>
    <row r="135" spans="2:62" ht="15" customHeight="1" x14ac:dyDescent="0.25">
      <c r="B135" s="839"/>
      <c r="C135" s="866">
        <v>7.2</v>
      </c>
      <c r="D135" s="823">
        <f t="shared" si="47"/>
        <v>7.2</v>
      </c>
      <c r="E135" s="889">
        <f>T49</f>
        <v>109.8</v>
      </c>
      <c r="F135" s="821">
        <v>107</v>
      </c>
      <c r="G135" s="821">
        <v>50</v>
      </c>
      <c r="H135" s="885">
        <f>S49</f>
        <v>112.19999999999999</v>
      </c>
      <c r="I135" s="823">
        <f t="shared" si="41"/>
        <v>107</v>
      </c>
      <c r="J135" s="855">
        <f t="shared" si="48"/>
        <v>214</v>
      </c>
      <c r="K135" s="854">
        <f t="shared" si="49"/>
        <v>4.28</v>
      </c>
      <c r="L135" s="913">
        <f>SQRT(12*32.2*K135^2/(4*$E$124*($E$122*56)*$E$121^2))</f>
        <v>0.69143399766716196</v>
      </c>
      <c r="M135" s="855">
        <f t="shared" si="46"/>
        <v>-108.29999999999998</v>
      </c>
      <c r="N135" s="830">
        <v>0.7</v>
      </c>
      <c r="O135" s="854">
        <f>($N135*$E$121*SQRT(4*$E$124*$E$123/32.2)/12)</f>
        <v>4.3329212452209367</v>
      </c>
      <c r="P135" s="855">
        <f>(O135*G135)/2</f>
        <v>108.32303113052342</v>
      </c>
      <c r="Q135" s="856">
        <f>P135-I135</f>
        <v>1.3230311305234181</v>
      </c>
      <c r="R135" s="830"/>
      <c r="S135" s="830"/>
      <c r="T135" s="830"/>
      <c r="U135" s="830"/>
      <c r="V135" s="830"/>
      <c r="W135" s="918"/>
      <c r="X135" s="830"/>
      <c r="Y135" s="830"/>
      <c r="AC135" s="462">
        <v>50</v>
      </c>
      <c r="AD135" s="472">
        <v>109.4</v>
      </c>
      <c r="AE135" s="473">
        <v>104.8</v>
      </c>
      <c r="AF135" s="474">
        <v>1.04</v>
      </c>
      <c r="AG135" s="472">
        <v>0.71</v>
      </c>
      <c r="AH135" s="473">
        <v>0.68</v>
      </c>
      <c r="AJ135" s="462">
        <v>50</v>
      </c>
      <c r="AK135" s="472">
        <v>108.8</v>
      </c>
      <c r="AL135" s="473">
        <v>103.3</v>
      </c>
      <c r="AM135" s="474">
        <v>1.05</v>
      </c>
      <c r="AN135" s="472">
        <v>0.7</v>
      </c>
      <c r="AO135" s="473">
        <v>0.66</v>
      </c>
      <c r="AQ135" s="462">
        <v>50</v>
      </c>
      <c r="AR135" s="472">
        <v>107</v>
      </c>
      <c r="AS135" s="473">
        <v>102.9</v>
      </c>
      <c r="AT135" s="474">
        <v>1.04</v>
      </c>
      <c r="AU135" s="472">
        <v>0.7</v>
      </c>
      <c r="AV135" s="473">
        <v>0.68</v>
      </c>
      <c r="AX135" s="462">
        <v>50</v>
      </c>
      <c r="AY135" s="472">
        <v>104</v>
      </c>
      <c r="AZ135" s="473">
        <v>105.4</v>
      </c>
      <c r="BA135" s="474">
        <v>0.99</v>
      </c>
      <c r="BB135" s="472">
        <v>0.67</v>
      </c>
      <c r="BC135" s="473">
        <v>0.68</v>
      </c>
      <c r="BE135" s="462">
        <v>50</v>
      </c>
      <c r="BF135" s="472">
        <v>111.6</v>
      </c>
      <c r="BG135" s="473">
        <v>108.3</v>
      </c>
      <c r="BH135" s="474">
        <v>1.03</v>
      </c>
      <c r="BI135" s="472">
        <v>0.73</v>
      </c>
      <c r="BJ135" s="473">
        <v>0.71</v>
      </c>
    </row>
    <row r="136" spans="2:62" ht="15" customHeight="1" thickBot="1" x14ac:dyDescent="0.3">
      <c r="B136" s="839"/>
      <c r="C136" s="866">
        <v>9</v>
      </c>
      <c r="D136" s="823">
        <f t="shared" si="47"/>
        <v>9</v>
      </c>
      <c r="E136" s="889">
        <f>T50</f>
        <v>133</v>
      </c>
      <c r="F136" s="821">
        <v>129.19999999999999</v>
      </c>
      <c r="G136" s="821">
        <v>60</v>
      </c>
      <c r="H136" s="885">
        <f>S50</f>
        <v>134.05000000000001</v>
      </c>
      <c r="I136" s="823">
        <f t="shared" si="41"/>
        <v>129.19999999999999</v>
      </c>
      <c r="J136" s="855">
        <f t="shared" si="48"/>
        <v>258.39999999999998</v>
      </c>
      <c r="K136" s="854">
        <f t="shared" si="49"/>
        <v>4.3066666666666666</v>
      </c>
      <c r="L136" s="913">
        <f>SQRT(12*32.2*K136^2/(4*$E$124*($E$122*56)*$E$121^2))</f>
        <v>0.69574199765262712</v>
      </c>
      <c r="M136" s="855">
        <f t="shared" si="46"/>
        <v>-130.4</v>
      </c>
      <c r="N136" s="830">
        <v>0.7</v>
      </c>
      <c r="O136" s="854">
        <f>($N136*$E$121*SQRT(4*$E$124*$E$123/32.2)/12)</f>
        <v>4.3329212452209367</v>
      </c>
      <c r="P136" s="855">
        <f>(O136*G136)/2</f>
        <v>129.98763735662811</v>
      </c>
      <c r="Q136" s="856">
        <f>P136-I136</f>
        <v>0.78763735662812451</v>
      </c>
      <c r="R136" s="830"/>
      <c r="S136" s="830"/>
      <c r="T136" s="830"/>
      <c r="U136" s="830"/>
      <c r="V136" s="830"/>
      <c r="W136" s="918"/>
      <c r="X136" s="830"/>
      <c r="Y136" s="830"/>
      <c r="AC136" s="462">
        <v>60</v>
      </c>
      <c r="AD136" s="472">
        <v>132</v>
      </c>
      <c r="AE136" s="473">
        <v>128</v>
      </c>
      <c r="AF136" s="474">
        <v>1.03</v>
      </c>
      <c r="AG136" s="472">
        <v>0.71</v>
      </c>
      <c r="AH136" s="473">
        <v>0.69</v>
      </c>
      <c r="AJ136" s="462">
        <v>60</v>
      </c>
      <c r="AK136" s="472">
        <v>132</v>
      </c>
      <c r="AL136" s="473">
        <v>126.2</v>
      </c>
      <c r="AM136" s="474">
        <v>1.05</v>
      </c>
      <c r="AN136" s="472">
        <v>0.71</v>
      </c>
      <c r="AO136" s="473">
        <v>0.68</v>
      </c>
      <c r="AQ136" s="462">
        <v>60</v>
      </c>
      <c r="AR136" s="472">
        <v>129</v>
      </c>
      <c r="AS136" s="473">
        <v>125.7</v>
      </c>
      <c r="AT136" s="474">
        <v>1.03</v>
      </c>
      <c r="AU136" s="472">
        <v>0.71</v>
      </c>
      <c r="AV136" s="473">
        <v>0.69</v>
      </c>
      <c r="AX136" s="462">
        <v>60</v>
      </c>
      <c r="AY136" s="472">
        <v>126.6</v>
      </c>
      <c r="AZ136" s="473">
        <v>128.80000000000001</v>
      </c>
      <c r="BA136" s="474">
        <v>0.98</v>
      </c>
      <c r="BB136" s="472">
        <v>0.68</v>
      </c>
      <c r="BC136" s="473">
        <v>0.69</v>
      </c>
      <c r="BE136" s="462">
        <v>60</v>
      </c>
      <c r="BF136" s="472">
        <v>133.80000000000001</v>
      </c>
      <c r="BG136" s="473">
        <v>132.30000000000001</v>
      </c>
      <c r="BH136" s="474">
        <v>1.01</v>
      </c>
      <c r="BI136" s="472">
        <v>0.73</v>
      </c>
      <c r="BJ136" s="473">
        <v>0.72</v>
      </c>
    </row>
    <row r="137" spans="2:62" ht="15" customHeight="1" thickBot="1" x14ac:dyDescent="0.3">
      <c r="B137" s="839"/>
      <c r="C137" s="869">
        <v>19.600000000000001</v>
      </c>
      <c r="D137" s="886">
        <f t="shared" si="47"/>
        <v>19.600000000000001</v>
      </c>
      <c r="E137" s="893">
        <f>T51</f>
        <v>155.4</v>
      </c>
      <c r="F137" s="820">
        <v>152.5</v>
      </c>
      <c r="G137" s="820">
        <v>70</v>
      </c>
      <c r="H137" s="885">
        <f>S51</f>
        <v>159.6</v>
      </c>
      <c r="I137" s="822">
        <f t="shared" si="41"/>
        <v>152.5</v>
      </c>
      <c r="J137" s="858">
        <f t="shared" si="48"/>
        <v>305</v>
      </c>
      <c r="K137" s="859">
        <f t="shared" si="49"/>
        <v>4.3571428571428568</v>
      </c>
      <c r="L137" s="924">
        <f>SQRT(12*32.2*K137^2/(4*$E$124*($E$122*56)*$E$121^2))</f>
        <v>0.70389642619654325</v>
      </c>
      <c r="M137" s="855">
        <f t="shared" si="46"/>
        <v>-152.49999999999997</v>
      </c>
      <c r="N137" s="830">
        <v>0.7</v>
      </c>
      <c r="O137" s="854">
        <f>($N137*$E$121*SQRT(4*$E$124*$E$123/32.2)/12)</f>
        <v>4.3329212452209367</v>
      </c>
      <c r="P137" s="855">
        <f>(O137*G137)/2</f>
        <v>151.65224358273278</v>
      </c>
      <c r="Q137" s="856">
        <f>P137-I137</f>
        <v>-0.84775641726722029</v>
      </c>
      <c r="R137" s="830"/>
      <c r="S137" s="830"/>
      <c r="T137" s="830"/>
      <c r="U137" s="830"/>
      <c r="V137" s="830"/>
      <c r="W137" s="918"/>
      <c r="X137" s="830"/>
      <c r="Y137" s="830"/>
      <c r="AC137" s="462">
        <v>70</v>
      </c>
      <c r="AD137" s="475">
        <v>153.5</v>
      </c>
      <c r="AE137" s="478">
        <v>151.69999999999999</v>
      </c>
      <c r="AF137" s="477">
        <v>1.01</v>
      </c>
      <c r="AG137" s="475">
        <v>0.71</v>
      </c>
      <c r="AH137" s="478">
        <v>0.7</v>
      </c>
      <c r="AJ137" s="462">
        <v>70</v>
      </c>
      <c r="AK137" s="475">
        <v>156</v>
      </c>
      <c r="AL137" s="478">
        <v>149.6</v>
      </c>
      <c r="AM137" s="477">
        <v>1.04</v>
      </c>
      <c r="AN137" s="475">
        <v>0.72</v>
      </c>
      <c r="AO137" s="478">
        <v>0.69</v>
      </c>
      <c r="AQ137" s="462">
        <v>70</v>
      </c>
      <c r="AR137" s="475">
        <v>152.5</v>
      </c>
      <c r="AS137" s="478">
        <v>149</v>
      </c>
      <c r="AT137" s="477">
        <v>1.02</v>
      </c>
      <c r="AU137" s="475">
        <v>0.72</v>
      </c>
      <c r="AV137" s="478">
        <v>0.7</v>
      </c>
      <c r="AX137" s="462">
        <v>70</v>
      </c>
      <c r="AY137" s="475">
        <v>148.80000000000001</v>
      </c>
      <c r="AZ137" s="478">
        <v>152.6</v>
      </c>
      <c r="BA137" s="477">
        <v>0.97</v>
      </c>
      <c r="BB137" s="475">
        <v>0.68</v>
      </c>
      <c r="BC137" s="478">
        <v>0.7</v>
      </c>
      <c r="BE137" s="462">
        <v>70</v>
      </c>
      <c r="BF137" s="475">
        <v>155.5</v>
      </c>
      <c r="BG137" s="478">
        <v>156.80000000000001</v>
      </c>
      <c r="BH137" s="477">
        <v>0.99</v>
      </c>
      <c r="BI137" s="475">
        <v>0.73</v>
      </c>
      <c r="BJ137" s="478">
        <v>0.74</v>
      </c>
    </row>
    <row r="138" spans="2:62" ht="15" customHeight="1" x14ac:dyDescent="0.25">
      <c r="B138" s="839"/>
      <c r="C138" s="866">
        <v>40.9</v>
      </c>
      <c r="D138" s="823">
        <f t="shared" si="47"/>
        <v>40.9</v>
      </c>
      <c r="E138" s="830"/>
      <c r="F138" s="830"/>
      <c r="G138" s="830"/>
      <c r="H138" s="830"/>
      <c r="I138" s="821"/>
      <c r="J138" s="823"/>
      <c r="K138" s="823"/>
      <c r="L138" s="870"/>
      <c r="M138" s="830"/>
      <c r="N138" s="830"/>
      <c r="O138" s="830"/>
      <c r="P138" s="830"/>
      <c r="Q138" s="830"/>
      <c r="R138" s="821"/>
      <c r="S138" s="830"/>
      <c r="T138" s="830"/>
      <c r="U138" s="830"/>
      <c r="V138" s="830"/>
      <c r="W138" s="918"/>
      <c r="X138" s="830"/>
      <c r="Y138" s="830"/>
      <c r="AC138" s="810" t="s">
        <v>465</v>
      </c>
      <c r="AD138" s="811"/>
      <c r="AE138" s="525"/>
      <c r="AF138" s="525"/>
      <c r="AG138" s="525">
        <v>1.01</v>
      </c>
      <c r="AH138" s="525">
        <v>1.01</v>
      </c>
      <c r="AJ138" s="810" t="s">
        <v>465</v>
      </c>
      <c r="AK138" s="811"/>
      <c r="AL138" s="525"/>
      <c r="AM138" s="525"/>
      <c r="AN138" s="525">
        <v>0.93</v>
      </c>
      <c r="AO138" s="525">
        <v>0.93</v>
      </c>
      <c r="AQ138" s="810" t="s">
        <v>465</v>
      </c>
      <c r="AR138" s="811"/>
      <c r="AS138" s="525"/>
      <c r="AT138" s="525"/>
      <c r="AU138" s="525">
        <v>0.95</v>
      </c>
      <c r="AV138" s="525">
        <v>0.95</v>
      </c>
      <c r="AX138" s="810" t="s">
        <v>465</v>
      </c>
      <c r="AY138" s="811"/>
      <c r="AZ138" s="525"/>
      <c r="BA138" s="525"/>
      <c r="BB138" s="525">
        <v>0.92</v>
      </c>
      <c r="BC138" s="525">
        <v>0.92</v>
      </c>
      <c r="BE138" s="810" t="s">
        <v>465</v>
      </c>
      <c r="BF138" s="811"/>
      <c r="BG138" s="525"/>
      <c r="BH138" s="525"/>
      <c r="BI138" s="525">
        <v>0.92</v>
      </c>
      <c r="BJ138" s="525">
        <v>0.92</v>
      </c>
    </row>
    <row r="139" spans="2:62" ht="15" customHeight="1" x14ac:dyDescent="0.25">
      <c r="B139" s="839"/>
      <c r="C139" s="866">
        <v>61.9</v>
      </c>
      <c r="D139" s="886">
        <f t="shared" si="47"/>
        <v>61.9</v>
      </c>
      <c r="E139" s="830"/>
      <c r="F139" s="830"/>
      <c r="G139" s="821"/>
      <c r="H139" s="823"/>
      <c r="I139" s="823">
        <f>I131+1.7</f>
        <v>21.599999999999998</v>
      </c>
      <c r="J139" s="823"/>
      <c r="K139" s="871" t="s">
        <v>446</v>
      </c>
      <c r="L139" s="927">
        <f>L131/L137</f>
        <v>0.91344262295081968</v>
      </c>
      <c r="M139" s="830"/>
      <c r="N139" s="830"/>
      <c r="O139" s="830"/>
      <c r="P139" s="830"/>
      <c r="Q139" s="830"/>
      <c r="R139" s="830"/>
      <c r="S139" s="830"/>
      <c r="T139" s="830"/>
      <c r="U139" s="830"/>
      <c r="V139" s="830"/>
      <c r="W139" s="918"/>
      <c r="X139" s="830"/>
      <c r="Y139" s="830"/>
      <c r="AC139" s="810" t="s">
        <v>466</v>
      </c>
      <c r="AD139" s="811"/>
      <c r="AE139" s="525"/>
      <c r="AF139" s="525"/>
      <c r="AG139" s="525">
        <v>1</v>
      </c>
      <c r="AH139" s="525">
        <v>1</v>
      </c>
      <c r="AJ139" s="810" t="s">
        <v>466</v>
      </c>
      <c r="AK139" s="811"/>
      <c r="AL139" s="525"/>
      <c r="AM139" s="525"/>
      <c r="AN139" s="525">
        <v>0.95</v>
      </c>
      <c r="AO139" s="525">
        <v>0.95</v>
      </c>
      <c r="AQ139" s="810" t="s">
        <v>466</v>
      </c>
      <c r="AR139" s="811"/>
      <c r="AS139" s="525"/>
      <c r="AT139" s="525"/>
      <c r="AU139" s="525">
        <v>0.99</v>
      </c>
      <c r="AV139" s="525">
        <v>0.99</v>
      </c>
      <c r="AX139" s="810" t="s">
        <v>466</v>
      </c>
      <c r="AY139" s="811"/>
      <c r="AZ139" s="525"/>
      <c r="BA139" s="525"/>
      <c r="BB139" s="525">
        <v>0.97</v>
      </c>
      <c r="BC139" s="525">
        <v>0.97</v>
      </c>
      <c r="BE139" s="810" t="s">
        <v>466</v>
      </c>
      <c r="BF139" s="811"/>
      <c r="BG139" s="525"/>
      <c r="BH139" s="525"/>
      <c r="BI139" s="525">
        <v>0.98</v>
      </c>
      <c r="BJ139" s="525">
        <v>0.98</v>
      </c>
    </row>
    <row r="140" spans="2:62" ht="15" customHeight="1" x14ac:dyDescent="0.25">
      <c r="B140" s="839"/>
      <c r="C140" s="866">
        <v>82.4</v>
      </c>
      <c r="D140" s="823">
        <f t="shared" si="47"/>
        <v>82.4</v>
      </c>
      <c r="E140" s="830"/>
      <c r="F140" s="830"/>
      <c r="G140" s="830"/>
      <c r="H140" s="830"/>
      <c r="I140" s="823">
        <f t="shared" ref="I140:I141" si="50">I132+1.7</f>
        <v>43.300000000000004</v>
      </c>
      <c r="J140" s="830"/>
      <c r="K140" s="871" t="s">
        <v>447</v>
      </c>
      <c r="L140" s="927">
        <f>L133/L137</f>
        <v>0.96852459016393444</v>
      </c>
      <c r="M140" s="830"/>
      <c r="N140" s="830"/>
      <c r="O140" s="830"/>
      <c r="P140" s="830"/>
      <c r="Q140" s="830"/>
      <c r="R140" s="830"/>
      <c r="S140" s="830"/>
      <c r="T140" s="830"/>
      <c r="U140" s="830"/>
      <c r="V140" s="830"/>
      <c r="W140" s="918"/>
      <c r="X140" s="830"/>
      <c r="Y140" s="830"/>
      <c r="AC140" s="810" t="s">
        <v>467</v>
      </c>
      <c r="AD140" s="811"/>
      <c r="AE140" s="525"/>
      <c r="AF140" s="525"/>
      <c r="AG140" s="525">
        <v>-0.4</v>
      </c>
      <c r="AH140" s="525">
        <v>-2.5</v>
      </c>
      <c r="AJ140" s="810" t="s">
        <v>467</v>
      </c>
      <c r="AK140" s="811"/>
      <c r="AL140" s="525"/>
      <c r="AM140" s="525"/>
      <c r="AN140" s="525">
        <v>-2.6</v>
      </c>
      <c r="AO140" s="525">
        <v>-2.5</v>
      </c>
      <c r="AQ140" s="810" t="s">
        <v>467</v>
      </c>
      <c r="AR140" s="811"/>
      <c r="AS140" s="525"/>
      <c r="AT140" s="525"/>
      <c r="AU140" s="525">
        <v>-0.2</v>
      </c>
      <c r="AV140" s="525">
        <v>-2.5</v>
      </c>
      <c r="AX140" s="810" t="s">
        <v>467</v>
      </c>
      <c r="AY140" s="811"/>
      <c r="AZ140" s="525"/>
      <c r="BA140" s="525"/>
      <c r="BB140" s="525">
        <v>-0.8</v>
      </c>
      <c r="BC140" s="525">
        <v>-2.5</v>
      </c>
      <c r="BE140" s="810" t="s">
        <v>467</v>
      </c>
      <c r="BF140" s="811"/>
      <c r="BG140" s="525"/>
      <c r="BH140" s="525"/>
      <c r="BI140" s="525">
        <v>0.1</v>
      </c>
      <c r="BJ140" s="525">
        <v>-2.6</v>
      </c>
    </row>
    <row r="141" spans="2:62" ht="15" customHeight="1" x14ac:dyDescent="0.25">
      <c r="B141" s="839"/>
      <c r="C141" s="866">
        <v>104</v>
      </c>
      <c r="D141" s="823">
        <f t="shared" si="47"/>
        <v>104</v>
      </c>
      <c r="E141" s="830"/>
      <c r="F141" s="830"/>
      <c r="G141" s="830"/>
      <c r="H141" s="830"/>
      <c r="I141" s="823">
        <f t="shared" si="50"/>
        <v>65</v>
      </c>
      <c r="J141" s="830"/>
      <c r="K141" s="872"/>
      <c r="L141" s="855">
        <f>(I133-((((I137-I131)/6)*2)+I131))</f>
        <v>-0.79999999999999716</v>
      </c>
      <c r="M141" s="830"/>
      <c r="N141" s="830"/>
      <c r="O141" s="830"/>
      <c r="P141" s="830"/>
      <c r="Q141" s="830"/>
      <c r="R141" s="830"/>
      <c r="S141" s="830"/>
      <c r="T141" s="830"/>
      <c r="U141" s="830"/>
      <c r="V141" s="830"/>
      <c r="W141" s="918"/>
      <c r="X141" s="830"/>
      <c r="Y141" s="830"/>
    </row>
    <row r="142" spans="2:62" ht="15" customHeight="1" x14ac:dyDescent="0.25">
      <c r="B142" s="839"/>
      <c r="C142" s="866">
        <v>126.6</v>
      </c>
      <c r="D142" s="823">
        <f t="shared" si="47"/>
        <v>126.6</v>
      </c>
      <c r="E142" s="830"/>
      <c r="F142" s="830"/>
      <c r="G142" s="830"/>
      <c r="H142" s="830"/>
      <c r="I142" s="830"/>
      <c r="J142" s="830"/>
      <c r="K142" s="830"/>
      <c r="L142" s="830"/>
      <c r="M142" s="830"/>
      <c r="N142" s="830"/>
      <c r="O142" s="830"/>
      <c r="P142" s="830"/>
      <c r="Q142" s="830"/>
      <c r="R142" s="830"/>
      <c r="S142" s="830"/>
      <c r="T142" s="830"/>
      <c r="U142" s="830"/>
      <c r="V142" s="830"/>
      <c r="W142" s="918"/>
      <c r="X142" s="830"/>
      <c r="Y142" s="830"/>
    </row>
    <row r="143" spans="2:62" ht="15" customHeight="1" x14ac:dyDescent="0.25">
      <c r="B143" s="839"/>
      <c r="C143" s="869">
        <v>148.80000000000001</v>
      </c>
      <c r="D143" s="886">
        <f t="shared" si="47"/>
        <v>148.80000000000001</v>
      </c>
      <c r="E143" s="830"/>
      <c r="F143" s="830"/>
      <c r="G143" s="830"/>
      <c r="H143" s="830"/>
      <c r="I143" s="830"/>
      <c r="J143" s="830"/>
      <c r="K143" s="830"/>
      <c r="L143" s="830"/>
      <c r="M143" s="830"/>
      <c r="N143" s="830"/>
      <c r="O143" s="830"/>
      <c r="P143" s="830"/>
      <c r="Q143" s="830"/>
      <c r="R143" s="830"/>
      <c r="S143" s="830"/>
      <c r="T143" s="830"/>
      <c r="U143" s="830"/>
      <c r="V143" s="830"/>
      <c r="W143" s="833"/>
      <c r="X143" s="830"/>
      <c r="Y143" s="830"/>
    </row>
    <row r="144" spans="2:62" ht="15" customHeight="1" x14ac:dyDescent="0.25">
      <c r="B144" s="839"/>
      <c r="C144" s="835"/>
      <c r="D144" s="835"/>
      <c r="E144" s="835"/>
      <c r="F144" s="830"/>
      <c r="G144" s="830"/>
      <c r="H144" s="830"/>
      <c r="I144" s="830"/>
      <c r="J144" s="830"/>
      <c r="K144" s="830"/>
      <c r="L144" s="830"/>
      <c r="M144" s="830"/>
      <c r="N144" s="830"/>
      <c r="O144" s="830"/>
      <c r="P144" s="830"/>
      <c r="Q144" s="830"/>
      <c r="R144" s="830"/>
      <c r="S144" s="830"/>
      <c r="T144" s="830"/>
      <c r="U144" s="830"/>
      <c r="V144" s="830"/>
      <c r="W144" s="833"/>
      <c r="X144" s="830"/>
      <c r="Y144" s="830"/>
    </row>
    <row r="145" spans="2:25" ht="15" customHeight="1" x14ac:dyDescent="0.25">
      <c r="B145" s="839"/>
      <c r="C145" s="835"/>
      <c r="D145" s="835"/>
      <c r="E145" s="835"/>
      <c r="F145" s="830"/>
      <c r="G145" s="830"/>
      <c r="H145" s="830"/>
      <c r="I145" s="830"/>
      <c r="J145" s="830"/>
      <c r="K145" s="830"/>
      <c r="L145" s="830"/>
      <c r="M145" s="830"/>
      <c r="N145" s="830"/>
      <c r="O145" s="830"/>
      <c r="P145" s="830"/>
      <c r="Q145" s="830"/>
      <c r="R145" s="830"/>
      <c r="S145" s="830"/>
      <c r="T145" s="830"/>
      <c r="U145" s="830"/>
      <c r="V145" s="830"/>
      <c r="W145" s="833"/>
      <c r="X145" s="830"/>
      <c r="Y145" s="830"/>
    </row>
    <row r="146" spans="2:25" ht="15" customHeight="1" thickBot="1" x14ac:dyDescent="0.3">
      <c r="B146" s="873"/>
      <c r="C146" s="874"/>
      <c r="D146" s="874"/>
      <c r="E146" s="874"/>
      <c r="F146" s="875"/>
      <c r="G146" s="875"/>
      <c r="H146" s="875"/>
      <c r="I146" s="875"/>
      <c r="J146" s="875"/>
      <c r="K146" s="875"/>
      <c r="L146" s="875"/>
      <c r="M146" s="875"/>
      <c r="N146" s="875"/>
      <c r="O146" s="875"/>
      <c r="P146" s="875"/>
      <c r="Q146" s="875"/>
      <c r="R146" s="875"/>
      <c r="S146" s="875"/>
      <c r="T146" s="875"/>
      <c r="U146" s="875"/>
      <c r="V146" s="875"/>
      <c r="W146" s="876"/>
      <c r="X146" s="830"/>
      <c r="Y146" s="830"/>
    </row>
    <row r="147" spans="2:25" ht="15" customHeight="1" x14ac:dyDescent="0.25">
      <c r="X147" s="830"/>
      <c r="Y147" s="830"/>
    </row>
    <row r="148" spans="2:25" ht="15" customHeight="1" x14ac:dyDescent="0.25">
      <c r="X148" s="830"/>
      <c r="Y148" s="830"/>
    </row>
    <row r="149" spans="2:25" ht="15" customHeight="1" x14ac:dyDescent="0.25">
      <c r="C149" s="878" t="s">
        <v>464</v>
      </c>
      <c r="E149" s="878" t="s">
        <v>472</v>
      </c>
      <c r="I149" s="878" t="s">
        <v>473</v>
      </c>
      <c r="X149" s="830"/>
      <c r="Y149" s="830"/>
    </row>
    <row r="150" spans="2:25" ht="15" customHeight="1" x14ac:dyDescent="0.25">
      <c r="C150" s="864" t="s">
        <v>427</v>
      </c>
      <c r="E150" s="864" t="s">
        <v>427</v>
      </c>
      <c r="I150" s="864" t="s">
        <v>427</v>
      </c>
      <c r="X150" s="830"/>
      <c r="Y150" s="830"/>
    </row>
    <row r="151" spans="2:25" ht="15" customHeight="1" x14ac:dyDescent="0.25">
      <c r="C151" s="866">
        <v>2.8</v>
      </c>
      <c r="E151" s="866">
        <v>2.7</v>
      </c>
      <c r="I151" s="866">
        <v>3.5</v>
      </c>
      <c r="X151" s="830"/>
      <c r="Y151" s="830"/>
    </row>
    <row r="152" spans="2:25" ht="15" customHeight="1" x14ac:dyDescent="0.25">
      <c r="C152" s="866">
        <v>4.0999999999999996</v>
      </c>
      <c r="E152" s="866">
        <v>3.8</v>
      </c>
      <c r="I152" s="866">
        <v>4.5999999999999996</v>
      </c>
      <c r="X152" s="830"/>
      <c r="Y152" s="830"/>
    </row>
    <row r="153" spans="2:25" ht="15" customHeight="1" x14ac:dyDescent="0.25">
      <c r="C153" s="869">
        <v>5.8</v>
      </c>
      <c r="E153" s="869">
        <v>5.4</v>
      </c>
      <c r="I153" s="869">
        <v>6</v>
      </c>
      <c r="X153" s="830"/>
      <c r="Y153" s="830"/>
    </row>
    <row r="154" spans="2:25" ht="15" customHeight="1" x14ac:dyDescent="0.25">
      <c r="C154" s="866">
        <v>7.7</v>
      </c>
      <c r="E154" s="866">
        <v>6.9</v>
      </c>
      <c r="I154" s="866">
        <v>7.4</v>
      </c>
      <c r="X154" s="830"/>
      <c r="Y154" s="830"/>
    </row>
    <row r="155" spans="2:25" ht="15" customHeight="1" x14ac:dyDescent="0.25">
      <c r="C155" s="866">
        <v>10.3</v>
      </c>
      <c r="E155" s="866">
        <v>9</v>
      </c>
      <c r="I155" s="866">
        <v>9.5</v>
      </c>
      <c r="X155" s="830"/>
      <c r="Y155" s="830"/>
    </row>
    <row r="156" spans="2:25" ht="15" customHeight="1" x14ac:dyDescent="0.25">
      <c r="C156" s="869">
        <v>22.1</v>
      </c>
      <c r="E156" s="869">
        <v>20.8</v>
      </c>
      <c r="F156" s="545">
        <f>E156*0.96</f>
        <v>19.968</v>
      </c>
      <c r="I156" s="869">
        <v>20.8</v>
      </c>
      <c r="X156" s="830"/>
      <c r="Y156" s="830"/>
    </row>
    <row r="157" spans="2:25" ht="15" customHeight="1" x14ac:dyDescent="0.25">
      <c r="C157" s="866">
        <v>44</v>
      </c>
      <c r="E157" s="866">
        <v>42.8</v>
      </c>
      <c r="F157" s="545">
        <f t="shared" ref="F157:F162" si="51">E157*0.96</f>
        <v>41.087999999999994</v>
      </c>
      <c r="I157" s="866">
        <v>42.7</v>
      </c>
      <c r="X157" s="830"/>
      <c r="Y157" s="830"/>
    </row>
    <row r="158" spans="2:25" ht="15" customHeight="1" x14ac:dyDescent="0.25">
      <c r="C158" s="866">
        <v>65.5</v>
      </c>
      <c r="E158" s="866">
        <v>63.3</v>
      </c>
      <c r="F158" s="545">
        <f t="shared" si="51"/>
        <v>60.767999999999994</v>
      </c>
      <c r="I158" s="866">
        <v>64.5</v>
      </c>
      <c r="X158" s="830"/>
      <c r="Y158" s="830"/>
    </row>
    <row r="159" spans="2:25" ht="15" customHeight="1" x14ac:dyDescent="0.25">
      <c r="C159" s="866">
        <v>87</v>
      </c>
      <c r="E159" s="866">
        <v>85.2</v>
      </c>
      <c r="F159" s="545">
        <f t="shared" si="51"/>
        <v>81.792000000000002</v>
      </c>
      <c r="I159" s="866">
        <v>85.5</v>
      </c>
      <c r="X159" s="830"/>
      <c r="Y159" s="830"/>
    </row>
    <row r="160" spans="2:25" ht="15" customHeight="1" x14ac:dyDescent="0.25">
      <c r="C160" s="866">
        <v>109.4</v>
      </c>
      <c r="E160" s="866">
        <v>108.8</v>
      </c>
      <c r="F160" s="545">
        <f t="shared" si="51"/>
        <v>104.44799999999999</v>
      </c>
      <c r="I160" s="866">
        <v>107</v>
      </c>
      <c r="X160" s="830"/>
      <c r="Y160" s="830"/>
    </row>
    <row r="161" spans="2:41" ht="15" customHeight="1" x14ac:dyDescent="0.25">
      <c r="C161" s="866">
        <v>132</v>
      </c>
      <c r="E161" s="866">
        <v>132</v>
      </c>
      <c r="F161" s="545">
        <f t="shared" si="51"/>
        <v>126.72</v>
      </c>
      <c r="I161" s="866">
        <v>129</v>
      </c>
      <c r="X161" s="830"/>
      <c r="Y161" s="830"/>
    </row>
    <row r="162" spans="2:41" ht="15" customHeight="1" x14ac:dyDescent="0.25">
      <c r="C162" s="869">
        <v>153.5</v>
      </c>
      <c r="E162" s="869">
        <v>156</v>
      </c>
      <c r="F162" s="545">
        <f t="shared" si="51"/>
        <v>149.76</v>
      </c>
      <c r="I162" s="869">
        <v>152.5</v>
      </c>
      <c r="X162" s="830"/>
      <c r="Y162" s="830"/>
    </row>
    <row r="163" spans="2:41" ht="15" customHeight="1" x14ac:dyDescent="0.25">
      <c r="X163" s="830"/>
      <c r="Y163" s="830"/>
    </row>
    <row r="164" spans="2:41" ht="15" customHeight="1" thickBot="1" x14ac:dyDescent="0.3">
      <c r="B164" s="783"/>
      <c r="C164" s="783"/>
      <c r="D164" s="783"/>
      <c r="E164" s="783"/>
      <c r="F164" s="783"/>
      <c r="G164" s="783"/>
      <c r="H164" s="783"/>
      <c r="I164" s="783"/>
      <c r="J164" s="783"/>
      <c r="K164" s="783"/>
      <c r="L164" s="783"/>
      <c r="M164" s="783"/>
      <c r="N164" s="783"/>
      <c r="O164" s="783"/>
      <c r="P164" s="783"/>
      <c r="Q164" s="784"/>
      <c r="R164" s="785"/>
      <c r="S164" s="785"/>
      <c r="T164" s="783"/>
      <c r="U164" s="783"/>
      <c r="V164" s="783"/>
      <c r="W164" s="783"/>
      <c r="X164" s="830"/>
      <c r="Y164" s="830"/>
      <c r="Z164" s="783"/>
    </row>
    <row r="165" spans="2:41" ht="15" customHeight="1" thickTop="1" x14ac:dyDescent="0.25">
      <c r="X165" s="830"/>
      <c r="Y165" s="830"/>
    </row>
    <row r="166" spans="2:41" ht="15" customHeight="1" x14ac:dyDescent="0.25">
      <c r="X166" s="830"/>
      <c r="Y166" s="830"/>
    </row>
    <row r="167" spans="2:41" ht="15" customHeight="1" x14ac:dyDescent="0.25">
      <c r="X167" s="830"/>
      <c r="Y167" s="830"/>
    </row>
    <row r="168" spans="2:41" ht="15" customHeight="1" thickBot="1" x14ac:dyDescent="0.3">
      <c r="X168" s="830"/>
      <c r="Y168" s="830"/>
    </row>
    <row r="169" spans="2:41" ht="15" customHeight="1" x14ac:dyDescent="0.25">
      <c r="B169" s="824"/>
      <c r="C169" s="825"/>
      <c r="D169" s="826"/>
      <c r="E169" s="827"/>
      <c r="F169" s="827"/>
      <c r="G169" s="827"/>
      <c r="H169" s="827"/>
      <c r="I169" s="827"/>
      <c r="J169" s="827"/>
      <c r="K169" s="827"/>
      <c r="L169" s="827"/>
      <c r="M169" s="827"/>
      <c r="N169" s="827"/>
      <c r="O169" s="827"/>
      <c r="P169" s="827"/>
      <c r="Q169" s="827"/>
      <c r="R169" s="827"/>
      <c r="S169" s="827"/>
      <c r="T169" s="827"/>
      <c r="U169" s="827"/>
      <c r="V169" s="827"/>
      <c r="W169" s="828"/>
      <c r="X169" s="830"/>
      <c r="Y169" s="830"/>
    </row>
    <row r="170" spans="2:41" ht="15" customHeight="1" x14ac:dyDescent="0.25">
      <c r="B170" s="829"/>
      <c r="C170" s="830" t="s">
        <v>477</v>
      </c>
      <c r="D170" s="831"/>
      <c r="E170" s="830"/>
      <c r="F170" s="830"/>
      <c r="G170" s="830"/>
      <c r="H170" s="830"/>
      <c r="I170" s="830"/>
      <c r="J170" s="830"/>
      <c r="K170" s="830"/>
      <c r="L170" s="830"/>
      <c r="M170" s="830"/>
      <c r="N170" s="830"/>
      <c r="O170" s="830"/>
      <c r="P170" s="830"/>
      <c r="Q170" s="830"/>
      <c r="R170" s="830"/>
      <c r="S170" s="830"/>
      <c r="T170" s="830"/>
      <c r="U170" s="830"/>
      <c r="V170" s="830"/>
      <c r="W170" s="833"/>
      <c r="X170" s="830"/>
      <c r="Y170" s="830"/>
    </row>
    <row r="171" spans="2:41" ht="15" customHeight="1" x14ac:dyDescent="0.25">
      <c r="B171" s="829"/>
      <c r="C171" s="908" t="s">
        <v>478</v>
      </c>
      <c r="D171" s="831"/>
      <c r="E171" s="830"/>
      <c r="F171" s="830"/>
      <c r="G171" s="830"/>
      <c r="H171" s="830"/>
      <c r="I171" s="830"/>
      <c r="J171" s="830"/>
      <c r="K171" s="830"/>
      <c r="L171" s="830"/>
      <c r="M171" s="867"/>
      <c r="N171" s="830"/>
      <c r="O171" s="830"/>
      <c r="P171" s="830"/>
      <c r="Q171" s="830"/>
      <c r="R171" s="830"/>
      <c r="S171" s="830"/>
      <c r="T171" s="830"/>
      <c r="U171" s="830"/>
      <c r="V171" s="830"/>
      <c r="W171" s="833"/>
      <c r="X171" s="830"/>
      <c r="Y171" s="830"/>
    </row>
    <row r="172" spans="2:41" ht="15" customHeight="1" x14ac:dyDescent="0.25">
      <c r="B172" s="829"/>
      <c r="C172" s="908" t="s">
        <v>479</v>
      </c>
      <c r="D172" s="830"/>
      <c r="E172" s="830"/>
      <c r="F172" s="878" t="s">
        <v>476</v>
      </c>
      <c r="G172" s="832" t="s">
        <v>461</v>
      </c>
      <c r="H172" s="831"/>
      <c r="I172" s="830"/>
      <c r="J172" s="830"/>
      <c r="K172" s="830"/>
      <c r="L172" s="830"/>
      <c r="M172" s="830"/>
      <c r="N172" s="830"/>
      <c r="O172" s="821"/>
      <c r="P172" s="823"/>
      <c r="Q172" s="830"/>
      <c r="R172" s="823"/>
      <c r="S172" s="830"/>
      <c r="T172" s="830"/>
      <c r="U172" s="830"/>
      <c r="V172" s="830"/>
      <c r="W172" s="833"/>
      <c r="X172" s="830"/>
      <c r="Y172" s="830">
        <v>2.2000000000000002</v>
      </c>
    </row>
    <row r="173" spans="2:41" ht="15" customHeight="1" x14ac:dyDescent="0.25">
      <c r="B173" s="829"/>
      <c r="C173" s="830"/>
      <c r="D173" s="830"/>
      <c r="E173" s="830"/>
      <c r="F173" s="830" t="s">
        <v>463</v>
      </c>
      <c r="G173" s="830"/>
      <c r="H173" s="831"/>
      <c r="I173" s="830"/>
      <c r="J173" s="830"/>
      <c r="K173" s="830"/>
      <c r="L173" s="830"/>
      <c r="M173" s="830"/>
      <c r="N173" s="830"/>
      <c r="O173" s="830"/>
      <c r="P173" s="830"/>
      <c r="Q173" s="830"/>
      <c r="R173" s="823"/>
      <c r="S173" s="830"/>
      <c r="T173" s="830"/>
      <c r="U173" s="830"/>
      <c r="V173" s="830"/>
      <c r="W173" s="833"/>
      <c r="X173" s="830"/>
      <c r="Y173" s="830">
        <v>2.4</v>
      </c>
      <c r="Z173" s="545">
        <f>Y173/Y172</f>
        <v>1.0909090909090908</v>
      </c>
      <c r="AD173" s="545" t="s">
        <v>481</v>
      </c>
      <c r="AK173" s="878" t="s">
        <v>476</v>
      </c>
    </row>
    <row r="174" spans="2:41" ht="15" customHeight="1" thickBot="1" x14ac:dyDescent="0.3">
      <c r="B174" s="829"/>
      <c r="C174" s="561" t="s">
        <v>15</v>
      </c>
      <c r="D174" s="552"/>
      <c r="E174" s="562"/>
      <c r="F174" s="830"/>
      <c r="G174" s="830"/>
      <c r="H174" s="831"/>
      <c r="I174" s="830"/>
      <c r="J174" s="830"/>
      <c r="K174" s="830"/>
      <c r="L174" s="830"/>
      <c r="M174" s="830"/>
      <c r="N174" s="830"/>
      <c r="O174" s="830"/>
      <c r="P174" s="830"/>
      <c r="Q174" s="830"/>
      <c r="R174" s="823"/>
      <c r="S174" s="830"/>
      <c r="T174" s="830"/>
      <c r="U174" s="830"/>
      <c r="V174" s="830"/>
      <c r="W174" s="833"/>
      <c r="X174" s="830"/>
      <c r="Y174" s="830">
        <v>2.6</v>
      </c>
      <c r="Z174" s="545">
        <f>Y174/Y173</f>
        <v>1.0833333333333335</v>
      </c>
      <c r="AC174" s="462"/>
      <c r="AD174" s="816" t="s">
        <v>462</v>
      </c>
      <c r="AE174" s="817"/>
      <c r="AF174" s="817"/>
      <c r="AG174" s="817"/>
      <c r="AH174" s="818"/>
      <c r="AJ174" s="462"/>
      <c r="AK174" s="816" t="s">
        <v>462</v>
      </c>
      <c r="AL174" s="817"/>
      <c r="AM174" s="817"/>
      <c r="AN174" s="817"/>
      <c r="AO174" s="818"/>
    </row>
    <row r="175" spans="2:41" ht="15" customHeight="1" x14ac:dyDescent="0.25">
      <c r="B175" s="829"/>
      <c r="C175" s="565" t="s">
        <v>61</v>
      </c>
      <c r="D175" s="843" t="s">
        <v>19</v>
      </c>
      <c r="E175" s="528">
        <v>0.9</v>
      </c>
      <c r="F175" s="830"/>
      <c r="G175" s="830"/>
      <c r="H175" s="831"/>
      <c r="I175" s="920" t="s">
        <v>484</v>
      </c>
      <c r="J175" s="921"/>
      <c r="K175" s="830"/>
      <c r="L175" s="917"/>
      <c r="M175" s="830"/>
      <c r="N175" s="830"/>
      <c r="O175" s="830"/>
      <c r="P175" s="830"/>
      <c r="Q175" s="830"/>
      <c r="R175" s="823"/>
      <c r="S175" s="830"/>
      <c r="T175" s="830"/>
      <c r="U175" s="830"/>
      <c r="V175" s="830"/>
      <c r="W175" s="833"/>
      <c r="X175" s="830"/>
      <c r="Y175" s="830"/>
      <c r="AC175" s="460"/>
      <c r="AD175" s="467" t="s">
        <v>288</v>
      </c>
      <c r="AE175" s="468" t="s">
        <v>288</v>
      </c>
      <c r="AF175" s="469">
        <f>1/2</f>
        <v>0.5</v>
      </c>
      <c r="AG175" s="467" t="s">
        <v>128</v>
      </c>
      <c r="AH175" s="468" t="s">
        <v>128</v>
      </c>
      <c r="AJ175" s="460"/>
      <c r="AK175" s="467" t="s">
        <v>288</v>
      </c>
      <c r="AL175" s="468" t="s">
        <v>288</v>
      </c>
      <c r="AM175" s="469">
        <f>1/2</f>
        <v>0.5</v>
      </c>
      <c r="AN175" s="467" t="s">
        <v>128</v>
      </c>
      <c r="AO175" s="468" t="s">
        <v>128</v>
      </c>
    </row>
    <row r="176" spans="2:41" ht="15" customHeight="1" x14ac:dyDescent="0.25">
      <c r="B176" s="829"/>
      <c r="C176" s="565" t="s">
        <v>62</v>
      </c>
      <c r="D176" s="843" t="s">
        <v>20</v>
      </c>
      <c r="E176" s="877">
        <v>0.96</v>
      </c>
      <c r="F176" s="830" t="s">
        <v>468</v>
      </c>
      <c r="G176" s="835"/>
      <c r="H176" s="831"/>
      <c r="I176" s="830"/>
      <c r="J176" s="830"/>
      <c r="K176" s="830"/>
      <c r="L176" s="909"/>
      <c r="M176" s="830"/>
      <c r="N176" s="821" t="s">
        <v>359</v>
      </c>
      <c r="O176" s="821" t="s">
        <v>359</v>
      </c>
      <c r="P176" s="821" t="s">
        <v>359</v>
      </c>
      <c r="Q176" s="837" t="s">
        <v>359</v>
      </c>
      <c r="R176" s="830"/>
      <c r="S176" s="830"/>
      <c r="T176" s="830"/>
      <c r="U176" s="830"/>
      <c r="V176" s="830"/>
      <c r="W176" s="918"/>
      <c r="X176" s="830"/>
      <c r="Y176" s="830">
        <v>3.4</v>
      </c>
      <c r="AC176" s="462" t="s">
        <v>289</v>
      </c>
      <c r="AD176" s="462" t="s">
        <v>291</v>
      </c>
      <c r="AE176" s="470" t="s">
        <v>292</v>
      </c>
      <c r="AF176" s="471" t="s">
        <v>293</v>
      </c>
      <c r="AG176" s="462" t="s">
        <v>291</v>
      </c>
      <c r="AH176" s="470" t="s">
        <v>292</v>
      </c>
      <c r="AJ176" s="462" t="s">
        <v>289</v>
      </c>
      <c r="AK176" s="462" t="s">
        <v>291</v>
      </c>
      <c r="AL176" s="470" t="s">
        <v>292</v>
      </c>
      <c r="AM176" s="471" t="s">
        <v>293</v>
      </c>
      <c r="AN176" s="462" t="s">
        <v>291</v>
      </c>
      <c r="AO176" s="470" t="s">
        <v>292</v>
      </c>
    </row>
    <row r="177" spans="2:41" ht="15" customHeight="1" x14ac:dyDescent="0.25">
      <c r="B177" s="839"/>
      <c r="C177" s="565" t="s">
        <v>356</v>
      </c>
      <c r="D177" s="830"/>
      <c r="E177" s="665">
        <f>(E176*2.20462*25.4*12)</f>
        <v>645.0894489599998</v>
      </c>
      <c r="F177" s="899">
        <v>1</v>
      </c>
      <c r="G177" s="830"/>
      <c r="H177" s="830"/>
      <c r="I177" s="830"/>
      <c r="J177" s="830"/>
      <c r="K177" s="830"/>
      <c r="L177" s="923" t="s">
        <v>489</v>
      </c>
      <c r="M177" s="830"/>
      <c r="N177" s="838" t="s">
        <v>360</v>
      </c>
      <c r="O177" s="838" t="s">
        <v>360</v>
      </c>
      <c r="P177" s="838" t="s">
        <v>360</v>
      </c>
      <c r="Q177" s="834" t="s">
        <v>360</v>
      </c>
      <c r="R177" s="830"/>
      <c r="S177" s="830"/>
      <c r="T177" s="830"/>
      <c r="U177" s="830"/>
      <c r="V177" s="830"/>
      <c r="W177" s="918"/>
      <c r="X177" s="830"/>
      <c r="Y177" s="830">
        <v>3.85</v>
      </c>
      <c r="Z177" s="545">
        <f>Y177/Y176</f>
        <v>1.1323529411764706</v>
      </c>
      <c r="AC177" s="462">
        <v>1</v>
      </c>
      <c r="AD177" s="472">
        <v>2.9</v>
      </c>
      <c r="AE177" s="473">
        <v>2.2000000000000002</v>
      </c>
      <c r="AF177" s="474">
        <v>1.33</v>
      </c>
      <c r="AG177" s="472">
        <v>0.9</v>
      </c>
      <c r="AH177" s="473">
        <v>0.68</v>
      </c>
      <c r="AJ177" s="462">
        <v>1</v>
      </c>
      <c r="AK177" s="472">
        <v>3.3</v>
      </c>
      <c r="AL177" s="473">
        <v>2.2000000000000002</v>
      </c>
      <c r="AM177" s="474">
        <v>1.5</v>
      </c>
      <c r="AN177" s="472">
        <v>1.02</v>
      </c>
      <c r="AO177" s="473">
        <v>0.68</v>
      </c>
    </row>
    <row r="178" spans="2:41" ht="15" customHeight="1" x14ac:dyDescent="0.25">
      <c r="B178" s="839"/>
      <c r="C178" s="571" t="s">
        <v>59</v>
      </c>
      <c r="D178" s="572" t="s">
        <v>28</v>
      </c>
      <c r="E178" s="573">
        <v>85</v>
      </c>
      <c r="F178" s="878" t="s">
        <v>476</v>
      </c>
      <c r="G178" s="840"/>
      <c r="H178" s="841" t="s">
        <v>475</v>
      </c>
      <c r="I178" s="882" t="s">
        <v>469</v>
      </c>
      <c r="J178" s="840"/>
      <c r="K178" s="842" t="s">
        <v>111</v>
      </c>
      <c r="L178" s="910" t="s">
        <v>191</v>
      </c>
      <c r="M178" s="830"/>
      <c r="N178" s="821" t="s">
        <v>267</v>
      </c>
      <c r="O178" s="821" t="s">
        <v>267</v>
      </c>
      <c r="P178" s="821" t="s">
        <v>267</v>
      </c>
      <c r="Q178" s="837" t="s">
        <v>267</v>
      </c>
      <c r="R178" s="830"/>
      <c r="S178" s="830"/>
      <c r="T178" s="830"/>
      <c r="U178" s="830"/>
      <c r="V178" s="830"/>
      <c r="W178" s="918"/>
      <c r="X178" s="830"/>
      <c r="Y178" s="830">
        <v>4.3</v>
      </c>
      <c r="Z178" s="545">
        <f>Y178/Y177</f>
        <v>1.1168831168831168</v>
      </c>
      <c r="AC178" s="462">
        <v>2</v>
      </c>
      <c r="AD178" s="472">
        <v>4.0999999999999996</v>
      </c>
      <c r="AE178" s="473">
        <v>3.2</v>
      </c>
      <c r="AF178" s="474">
        <v>1.27</v>
      </c>
      <c r="AG178" s="472">
        <v>0.64</v>
      </c>
      <c r="AH178" s="473">
        <v>0.5</v>
      </c>
      <c r="AJ178" s="462">
        <v>2</v>
      </c>
      <c r="AK178" s="472">
        <v>4.9000000000000004</v>
      </c>
      <c r="AL178" s="473">
        <v>3.2</v>
      </c>
      <c r="AM178" s="474">
        <v>1.51</v>
      </c>
      <c r="AN178" s="472">
        <v>0.76</v>
      </c>
      <c r="AO178" s="473">
        <v>0.5</v>
      </c>
    </row>
    <row r="179" spans="2:41" ht="15" customHeight="1" x14ac:dyDescent="0.25">
      <c r="B179" s="839"/>
      <c r="C179" s="830"/>
      <c r="D179" s="830"/>
      <c r="E179" s="901" t="s">
        <v>434</v>
      </c>
      <c r="F179" s="900" t="s">
        <v>297</v>
      </c>
      <c r="G179" s="844" t="s">
        <v>2</v>
      </c>
      <c r="H179" s="883" t="s">
        <v>474</v>
      </c>
      <c r="I179" s="844" t="s">
        <v>295</v>
      </c>
      <c r="J179" s="845" t="s">
        <v>133</v>
      </c>
      <c r="K179" s="845" t="s">
        <v>127</v>
      </c>
      <c r="L179" s="911" t="s">
        <v>128</v>
      </c>
      <c r="M179" s="830"/>
      <c r="N179" s="846" t="s">
        <v>82</v>
      </c>
      <c r="O179" s="846" t="s">
        <v>26</v>
      </c>
      <c r="P179" s="847" t="s">
        <v>288</v>
      </c>
      <c r="Q179" s="848" t="s">
        <v>358</v>
      </c>
      <c r="R179" s="830"/>
      <c r="S179" s="830"/>
      <c r="T179" s="830"/>
      <c r="U179" s="830"/>
      <c r="V179" s="830"/>
      <c r="W179" s="918"/>
      <c r="X179" s="830"/>
      <c r="Y179" s="830"/>
      <c r="AC179" s="462">
        <v>3</v>
      </c>
      <c r="AD179" s="475">
        <v>5.8</v>
      </c>
      <c r="AE179" s="478">
        <v>4.8</v>
      </c>
      <c r="AF179" s="477">
        <v>1.21</v>
      </c>
      <c r="AG179" s="475">
        <v>0.6</v>
      </c>
      <c r="AH179" s="478">
        <v>0.5</v>
      </c>
      <c r="AJ179" s="462">
        <v>3</v>
      </c>
      <c r="AK179" s="475">
        <v>6.7</v>
      </c>
      <c r="AL179" s="478">
        <v>4.8</v>
      </c>
      <c r="AM179" s="477">
        <v>1.39</v>
      </c>
      <c r="AN179" s="475">
        <v>0.69</v>
      </c>
      <c r="AO179" s="478">
        <v>0.5</v>
      </c>
    </row>
    <row r="180" spans="2:41" ht="15" customHeight="1" x14ac:dyDescent="0.25">
      <c r="B180" s="839"/>
      <c r="C180" s="830"/>
      <c r="D180" s="830"/>
      <c r="E180" s="894">
        <f>T40</f>
        <v>2.5</v>
      </c>
      <c r="F180" s="904">
        <v>2.6</v>
      </c>
      <c r="G180" s="849">
        <v>1</v>
      </c>
      <c r="H180" s="885">
        <f>V40</f>
        <v>2.7750000000000004</v>
      </c>
      <c r="I180" s="884">
        <f>F180</f>
        <v>2.6</v>
      </c>
      <c r="J180" s="851">
        <f>I180*2</f>
        <v>5.2</v>
      </c>
      <c r="K180" s="852">
        <f>(J180/G180)</f>
        <v>5.2</v>
      </c>
      <c r="L180" s="912">
        <f>SQRT(12*32.2*K180^2/(4*$E$178*($E$176*56)*$E$175^2))</f>
        <v>0.84005999716571078</v>
      </c>
      <c r="M180" s="830"/>
      <c r="N180" s="830">
        <v>0.7</v>
      </c>
      <c r="O180" s="854">
        <f>($N180*$E$175*SQRT(4*$E$178*$E$177/32.2)/12)</f>
        <v>4.3329212452209367</v>
      </c>
      <c r="P180" s="855">
        <f>(O180*G180)/2</f>
        <v>2.1664606226104683</v>
      </c>
      <c r="Q180" s="856">
        <f>P180-I180</f>
        <v>-0.43353937738953174</v>
      </c>
      <c r="R180" s="830"/>
      <c r="S180" s="830"/>
      <c r="T180" s="830"/>
      <c r="U180" s="830"/>
      <c r="W180" s="918"/>
      <c r="X180" s="830"/>
      <c r="Y180" s="830">
        <v>4.7</v>
      </c>
      <c r="AC180" s="462">
        <v>4</v>
      </c>
      <c r="AD180" s="472">
        <v>8</v>
      </c>
      <c r="AE180" s="473">
        <v>6.6</v>
      </c>
      <c r="AF180" s="474">
        <v>1.22</v>
      </c>
      <c r="AG180" s="472">
        <v>0.62</v>
      </c>
      <c r="AH180" s="473">
        <v>0.51</v>
      </c>
      <c r="AJ180" s="462">
        <v>4</v>
      </c>
      <c r="AK180" s="472">
        <v>8.6999999999999993</v>
      </c>
      <c r="AL180" s="473">
        <v>6.6</v>
      </c>
      <c r="AM180" s="474">
        <v>1.32</v>
      </c>
      <c r="AN180" s="472">
        <v>0.67</v>
      </c>
      <c r="AO180" s="473">
        <v>0.51</v>
      </c>
    </row>
    <row r="181" spans="2:41" ht="15" customHeight="1" x14ac:dyDescent="0.25">
      <c r="B181" s="839"/>
      <c r="C181" s="830"/>
      <c r="D181" s="830"/>
      <c r="E181" s="894">
        <f>T41</f>
        <v>3.8</v>
      </c>
      <c r="F181" s="881">
        <v>4.3</v>
      </c>
      <c r="G181" s="821">
        <v>2</v>
      </c>
      <c r="H181" s="885">
        <f>V41</f>
        <v>4.218</v>
      </c>
      <c r="I181" s="823">
        <f t="shared" ref="I181:I191" si="52">F181</f>
        <v>4.3</v>
      </c>
      <c r="J181" s="855">
        <f t="shared" ref="J181:J186" si="53">I181*2</f>
        <v>8.6</v>
      </c>
      <c r="K181" s="854">
        <f t="shared" ref="K181:K186" si="54">(J181/G181)</f>
        <v>4.3</v>
      </c>
      <c r="L181" s="913">
        <f>SQRT(12*32.2*K181^2/(4*$E$178*($E$176*56)*$E$175^2))</f>
        <v>0.69466499765626077</v>
      </c>
      <c r="M181" s="830"/>
      <c r="N181" s="830">
        <v>0.7</v>
      </c>
      <c r="O181" s="854">
        <f>($N181*$E$175*SQRT(4*$E$178*$E$177/32.2)/12)</f>
        <v>4.3329212452209367</v>
      </c>
      <c r="P181" s="855">
        <f>(O181*G181)/2</f>
        <v>4.3329212452209367</v>
      </c>
      <c r="Q181" s="856">
        <f t="shared" ref="Q181:Q185" si="55">P181-I181</f>
        <v>3.2921245220936868E-2</v>
      </c>
      <c r="R181" s="830"/>
      <c r="S181" s="830"/>
      <c r="T181" s="830"/>
      <c r="U181" s="830"/>
      <c r="W181" s="918"/>
      <c r="X181" s="830"/>
      <c r="Y181" s="830">
        <v>5.4</v>
      </c>
      <c r="Z181" s="545">
        <f>Y181/Y180</f>
        <v>1.1489361702127661</v>
      </c>
      <c r="AC181" s="462">
        <v>5</v>
      </c>
      <c r="AD181" s="472">
        <v>10.3</v>
      </c>
      <c r="AE181" s="473">
        <v>8.5</v>
      </c>
      <c r="AF181" s="474">
        <v>1.21</v>
      </c>
      <c r="AG181" s="472">
        <v>0.64</v>
      </c>
      <c r="AH181" s="473">
        <v>0.53</v>
      </c>
      <c r="AJ181" s="462">
        <v>5</v>
      </c>
      <c r="AK181" s="472">
        <v>11</v>
      </c>
      <c r="AL181" s="473">
        <v>8.6</v>
      </c>
      <c r="AM181" s="474">
        <v>1.28</v>
      </c>
      <c r="AN181" s="472">
        <v>0.68</v>
      </c>
      <c r="AO181" s="473">
        <v>0.53</v>
      </c>
    </row>
    <row r="182" spans="2:41" ht="15" customHeight="1" x14ac:dyDescent="0.25">
      <c r="B182" s="839"/>
      <c r="C182" s="830"/>
      <c r="D182" s="830"/>
      <c r="E182" s="894">
        <f>T42</f>
        <v>5.4</v>
      </c>
      <c r="F182" s="880">
        <v>6.1</v>
      </c>
      <c r="G182" s="820">
        <v>3</v>
      </c>
      <c r="H182" s="885">
        <f>V42</f>
        <v>6.049500000000001</v>
      </c>
      <c r="I182" s="822">
        <f t="shared" si="52"/>
        <v>6.1</v>
      </c>
      <c r="J182" s="858">
        <f t="shared" si="53"/>
        <v>12.2</v>
      </c>
      <c r="K182" s="859">
        <f t="shared" si="54"/>
        <v>4.0666666666666664</v>
      </c>
      <c r="L182" s="914">
        <f>SQRT(12*32.2*K182^2/(4*$E$178*($E$176*56)*$E$175^2))</f>
        <v>0.65696999778344034</v>
      </c>
      <c r="M182" s="830"/>
      <c r="N182" s="830">
        <v>0.7</v>
      </c>
      <c r="O182" s="854">
        <f>($N182*$E$175*SQRT(4*$E$178*$E$177/32.2)/12)</f>
        <v>4.3329212452209367</v>
      </c>
      <c r="P182" s="855">
        <f>(O182*G182)/2</f>
        <v>6.4993818678314046</v>
      </c>
      <c r="Q182" s="856">
        <f t="shared" si="55"/>
        <v>0.39938186783140495</v>
      </c>
      <c r="R182" s="830"/>
      <c r="S182" s="830"/>
      <c r="T182" s="830"/>
      <c r="U182" s="830"/>
      <c r="W182" s="918"/>
      <c r="X182" s="830"/>
      <c r="Y182" s="830">
        <v>6.1</v>
      </c>
      <c r="Z182" s="545">
        <f>Y182/Y181</f>
        <v>1.1296296296296295</v>
      </c>
      <c r="AC182" s="462">
        <v>10</v>
      </c>
      <c r="AD182" s="475">
        <v>22.2</v>
      </c>
      <c r="AE182" s="478">
        <v>18.899999999999999</v>
      </c>
      <c r="AF182" s="477">
        <v>1.17</v>
      </c>
      <c r="AG182" s="475">
        <v>0.69</v>
      </c>
      <c r="AH182" s="478">
        <v>0.59</v>
      </c>
      <c r="AJ182" s="462">
        <v>10</v>
      </c>
      <c r="AK182" s="475">
        <v>23.1</v>
      </c>
      <c r="AL182" s="478">
        <v>19.100000000000001</v>
      </c>
      <c r="AM182" s="477">
        <v>1.21</v>
      </c>
      <c r="AN182" s="475">
        <v>0.71</v>
      </c>
      <c r="AO182" s="478">
        <v>0.59</v>
      </c>
    </row>
    <row r="183" spans="2:41" ht="15" customHeight="1" x14ac:dyDescent="0.25">
      <c r="B183" s="829"/>
      <c r="C183" s="830"/>
      <c r="D183" s="830"/>
      <c r="E183" s="894">
        <f>T43</f>
        <v>7.2</v>
      </c>
      <c r="F183" s="881">
        <v>8.1</v>
      </c>
      <c r="G183" s="821">
        <v>4</v>
      </c>
      <c r="H183" s="885">
        <f>V43</f>
        <v>7.9920000000000009</v>
      </c>
      <c r="I183" s="823">
        <f t="shared" si="52"/>
        <v>8.1</v>
      </c>
      <c r="J183" s="855">
        <f t="shared" si="53"/>
        <v>16.2</v>
      </c>
      <c r="K183" s="854">
        <f t="shared" si="54"/>
        <v>4.05</v>
      </c>
      <c r="L183" s="913">
        <f>SQRT(12*32.2*K183^2/(4*$E$178*($E$176*56)*$E$175^2))</f>
        <v>0.65427749779252464</v>
      </c>
      <c r="M183" s="830"/>
      <c r="N183" s="830">
        <v>0.7</v>
      </c>
      <c r="O183" s="854">
        <f>($N183*$E$175*SQRT(4*$E$178*$E$177/32.2)/12)</f>
        <v>4.3329212452209367</v>
      </c>
      <c r="P183" s="855">
        <f>(O183*G183)/2</f>
        <v>8.6658424904418734</v>
      </c>
      <c r="Q183" s="856">
        <f t="shared" si="55"/>
        <v>0.56584249044187374</v>
      </c>
      <c r="R183" s="830"/>
      <c r="S183" s="830"/>
      <c r="T183" s="830"/>
      <c r="U183" s="830"/>
      <c r="W183" s="918"/>
      <c r="X183" s="830"/>
      <c r="Y183" s="830"/>
      <c r="AC183" s="462">
        <v>20</v>
      </c>
      <c r="AD183" s="472">
        <v>44.2</v>
      </c>
      <c r="AE183" s="473">
        <v>40.4</v>
      </c>
      <c r="AF183" s="474">
        <v>1.0900000000000001</v>
      </c>
      <c r="AG183" s="472">
        <v>0.69</v>
      </c>
      <c r="AH183" s="473">
        <v>0.63</v>
      </c>
      <c r="AJ183" s="462">
        <v>20</v>
      </c>
      <c r="AK183" s="472">
        <v>45</v>
      </c>
      <c r="AL183" s="473">
        <v>40.6</v>
      </c>
      <c r="AM183" s="474">
        <v>1.1100000000000001</v>
      </c>
      <c r="AN183" s="472">
        <v>0.69</v>
      </c>
      <c r="AO183" s="473">
        <v>0.63</v>
      </c>
    </row>
    <row r="184" spans="2:41" ht="15" customHeight="1" x14ac:dyDescent="0.25">
      <c r="B184" s="861"/>
      <c r="C184" s="878" t="s">
        <v>476</v>
      </c>
      <c r="D184" s="862"/>
      <c r="E184" s="894">
        <f>T44</f>
        <v>9.3000000000000007</v>
      </c>
      <c r="F184" s="881">
        <v>10.3</v>
      </c>
      <c r="G184" s="821">
        <v>5</v>
      </c>
      <c r="H184" s="885">
        <f>V44</f>
        <v>10.433999999999999</v>
      </c>
      <c r="I184" s="823">
        <f t="shared" si="52"/>
        <v>10.3</v>
      </c>
      <c r="J184" s="855">
        <f t="shared" si="53"/>
        <v>20.6</v>
      </c>
      <c r="K184" s="854">
        <f t="shared" si="54"/>
        <v>4.12</v>
      </c>
      <c r="L184" s="913">
        <f>SQRT(12*32.2*K184^2/(4*$E$178*($E$176*56)*$E$175^2))</f>
        <v>0.66558599775437077</v>
      </c>
      <c r="M184" s="830"/>
      <c r="N184" s="830">
        <v>0.7</v>
      </c>
      <c r="O184" s="854">
        <f>($N184*$E$175*SQRT(4*$E$178*$E$177/32.2)/12)</f>
        <v>4.3329212452209367</v>
      </c>
      <c r="P184" s="855">
        <f>(O184*G184)/2</f>
        <v>10.832303113052342</v>
      </c>
      <c r="Q184" s="856">
        <f t="shared" si="55"/>
        <v>0.53230311305234146</v>
      </c>
      <c r="R184" s="830"/>
      <c r="S184" s="830"/>
      <c r="T184" s="830"/>
      <c r="U184" s="830"/>
      <c r="W184" s="918"/>
      <c r="X184" s="830"/>
      <c r="Y184" s="830">
        <v>6.3</v>
      </c>
      <c r="AC184" s="462">
        <v>30</v>
      </c>
      <c r="AD184" s="475">
        <v>65.5</v>
      </c>
      <c r="AE184" s="476">
        <v>62.7</v>
      </c>
      <c r="AF184" s="477">
        <v>1.05</v>
      </c>
      <c r="AG184" s="475">
        <v>0.68</v>
      </c>
      <c r="AH184" s="478">
        <v>0.65</v>
      </c>
      <c r="AJ184" s="462">
        <v>30</v>
      </c>
      <c r="AK184" s="475">
        <v>66.5</v>
      </c>
      <c r="AL184" s="476">
        <v>63</v>
      </c>
      <c r="AM184" s="477">
        <v>1.06</v>
      </c>
      <c r="AN184" s="475">
        <v>0.68</v>
      </c>
      <c r="AO184" s="478">
        <v>0.65</v>
      </c>
    </row>
    <row r="185" spans="2:41" ht="15" customHeight="1" x14ac:dyDescent="0.25">
      <c r="B185" s="863"/>
      <c r="C185" s="864" t="s">
        <v>427</v>
      </c>
      <c r="D185" s="865" t="s">
        <v>346</v>
      </c>
      <c r="E185" s="894">
        <f>T45</f>
        <v>19.600000000000001</v>
      </c>
      <c r="F185" s="903">
        <v>21.6</v>
      </c>
      <c r="G185" s="820">
        <v>10</v>
      </c>
      <c r="H185" s="885">
        <f>V45</f>
        <v>22.644000000000002</v>
      </c>
      <c r="I185" s="822">
        <f>F185</f>
        <v>21.6</v>
      </c>
      <c r="J185" s="858">
        <f t="shared" si="53"/>
        <v>43.2</v>
      </c>
      <c r="K185" s="859">
        <f t="shared" si="54"/>
        <v>4.32</v>
      </c>
      <c r="L185" s="915">
        <f>SQRT(12*32.2*K185^2/(4*$E$178*($E$176*56)*$E$175^2))</f>
        <v>0.6978959976453597</v>
      </c>
      <c r="M185" s="855">
        <f>((((I$191-I$185)/6)*(G185-G$185)/10)+I$185)*-1</f>
        <v>-21.6</v>
      </c>
      <c r="N185" s="830">
        <v>0.7</v>
      </c>
      <c r="O185" s="854">
        <f>($N185*$E$175*SQRT(4*$E$178*$E$177/32.2)/12)</f>
        <v>4.3329212452209367</v>
      </c>
      <c r="P185" s="855">
        <f>(O185*G185)/2</f>
        <v>21.664606226104684</v>
      </c>
      <c r="Q185" s="856">
        <f t="shared" si="55"/>
        <v>6.4606226104682918E-2</v>
      </c>
      <c r="R185" s="830"/>
      <c r="S185" s="830"/>
      <c r="T185" s="830"/>
      <c r="U185" s="830"/>
      <c r="W185" s="918"/>
      <c r="X185" s="830"/>
      <c r="Y185" s="830">
        <v>7.15</v>
      </c>
      <c r="Z185" s="545">
        <f>Y185/Y184</f>
        <v>1.1349206349206351</v>
      </c>
      <c r="AC185" s="462">
        <v>40</v>
      </c>
      <c r="AD185" s="472">
        <v>87.2</v>
      </c>
      <c r="AE185" s="473">
        <v>85.6</v>
      </c>
      <c r="AF185" s="474">
        <v>1.02</v>
      </c>
      <c r="AG185" s="472">
        <v>0.68</v>
      </c>
      <c r="AH185" s="473">
        <v>0.66</v>
      </c>
      <c r="AJ185" s="462">
        <v>40</v>
      </c>
      <c r="AK185" s="472">
        <v>88.1</v>
      </c>
      <c r="AL185" s="473">
        <v>86.1</v>
      </c>
      <c r="AM185" s="474">
        <v>1.02</v>
      </c>
      <c r="AN185" s="472">
        <v>0.68</v>
      </c>
      <c r="AO185" s="473">
        <v>0.66</v>
      </c>
    </row>
    <row r="186" spans="2:41" ht="15" customHeight="1" x14ac:dyDescent="0.25">
      <c r="B186" s="839"/>
      <c r="C186" s="866">
        <v>3.3</v>
      </c>
      <c r="D186" s="823">
        <f>C186</f>
        <v>3.3</v>
      </c>
      <c r="E186" s="894">
        <f>T46</f>
        <v>41.8</v>
      </c>
      <c r="F186" s="903">
        <v>43.23</v>
      </c>
      <c r="G186" s="821">
        <v>20</v>
      </c>
      <c r="H186" s="885">
        <f>V46</f>
        <v>46.509</v>
      </c>
      <c r="I186" s="823">
        <f t="shared" ref="I186:I196" si="56">F186</f>
        <v>43.23</v>
      </c>
      <c r="J186" s="855">
        <f t="shared" si="53"/>
        <v>86.46</v>
      </c>
      <c r="K186" s="854">
        <f t="shared" si="54"/>
        <v>4.3229999999999995</v>
      </c>
      <c r="L186" s="913">
        <f>SQRT(12*32.2*K186^2/(4*$E$178*($E$176*56)*$E$175^2))</f>
        <v>0.69838064764372443</v>
      </c>
      <c r="M186" s="855">
        <f t="shared" ref="M186:M191" si="57">((((I$191-I$185)/6)*(G186-G$185)/10)+I$185)*-1</f>
        <v>-43.300000000000004</v>
      </c>
      <c r="N186" s="830">
        <v>0.7</v>
      </c>
      <c r="O186" s="854">
        <f>($N186*$E$175*SQRT(4*$E$178*$E$177/32.2)/12)</f>
        <v>4.3329212452209367</v>
      </c>
      <c r="P186" s="855">
        <f>(O186*G186)/2</f>
        <v>43.329212452209369</v>
      </c>
      <c r="Q186" s="856">
        <f>P186-I186</f>
        <v>9.9212452209371804E-2</v>
      </c>
      <c r="R186" s="830"/>
      <c r="S186" s="830"/>
      <c r="T186" s="830"/>
      <c r="U186" s="830"/>
      <c r="W186" s="918"/>
      <c r="X186" s="830"/>
      <c r="Y186" s="830">
        <v>8.1</v>
      </c>
      <c r="Z186" s="545">
        <f>Y186/Y185</f>
        <v>1.1328671328671327</v>
      </c>
      <c r="AC186" s="462">
        <v>50</v>
      </c>
      <c r="AD186" s="472">
        <v>109.8</v>
      </c>
      <c r="AE186" s="473">
        <v>109.1</v>
      </c>
      <c r="AF186" s="474">
        <v>1.01</v>
      </c>
      <c r="AG186" s="472">
        <v>0.68</v>
      </c>
      <c r="AH186" s="473">
        <v>0.68</v>
      </c>
      <c r="AJ186" s="462">
        <v>50</v>
      </c>
      <c r="AK186" s="472">
        <v>110.2</v>
      </c>
      <c r="AL186" s="473">
        <v>109.7</v>
      </c>
      <c r="AM186" s="474">
        <v>1</v>
      </c>
      <c r="AN186" s="472">
        <v>0.68</v>
      </c>
      <c r="AO186" s="473">
        <v>0.68</v>
      </c>
    </row>
    <row r="187" spans="2:41" ht="15" customHeight="1" x14ac:dyDescent="0.25">
      <c r="B187" s="839"/>
      <c r="C187" s="866">
        <v>4.9000000000000004</v>
      </c>
      <c r="D187" s="823">
        <f t="shared" ref="D187:D197" si="58">C187</f>
        <v>4.9000000000000004</v>
      </c>
      <c r="E187" s="894">
        <f>T47</f>
        <v>63.5</v>
      </c>
      <c r="F187" s="903">
        <v>64.89</v>
      </c>
      <c r="G187" s="820">
        <v>30</v>
      </c>
      <c r="H187" s="885">
        <f>V47</f>
        <v>70.484999999999999</v>
      </c>
      <c r="I187" s="822">
        <f t="shared" si="56"/>
        <v>64.89</v>
      </c>
      <c r="J187" s="858">
        <f>I187*2</f>
        <v>129.78</v>
      </c>
      <c r="K187" s="859">
        <f>(J187/G187)</f>
        <v>4.3259999999999996</v>
      </c>
      <c r="L187" s="914">
        <f>SQRT(12*32.2*K187^2/(4*$E$178*($E$176*56)*$E$175^2))</f>
        <v>0.69886529764208927</v>
      </c>
      <c r="M187" s="855">
        <f t="shared" si="57"/>
        <v>-65</v>
      </c>
      <c r="N187" s="830">
        <v>0.7</v>
      </c>
      <c r="O187" s="854">
        <f>($N187*$E$175*SQRT(4*$E$178*$E$177/32.2)/12)</f>
        <v>4.3329212452209367</v>
      </c>
      <c r="P187" s="855">
        <f>(O187*G187)/2</f>
        <v>64.993818678314057</v>
      </c>
      <c r="Q187" s="868">
        <f>P187-I187</f>
        <v>0.103818678314056</v>
      </c>
      <c r="R187" s="830"/>
      <c r="S187" s="830"/>
      <c r="T187" s="830"/>
      <c r="U187" s="830"/>
      <c r="W187" s="918"/>
      <c r="X187" s="830"/>
      <c r="Y187" s="830"/>
      <c r="AC187" s="462">
        <v>60</v>
      </c>
      <c r="AD187" s="472">
        <v>132.5</v>
      </c>
      <c r="AE187" s="473">
        <v>133.19999999999999</v>
      </c>
      <c r="AF187" s="474">
        <v>0.99</v>
      </c>
      <c r="AG187" s="472">
        <v>0.69</v>
      </c>
      <c r="AH187" s="473">
        <v>0.69</v>
      </c>
      <c r="AJ187" s="462">
        <v>60</v>
      </c>
      <c r="AK187" s="472">
        <v>130.19999999999999</v>
      </c>
      <c r="AL187" s="473">
        <v>134</v>
      </c>
      <c r="AM187" s="474">
        <v>0.97</v>
      </c>
      <c r="AN187" s="472">
        <v>0.67</v>
      </c>
      <c r="AO187" s="473">
        <v>0.69</v>
      </c>
    </row>
    <row r="188" spans="2:41" ht="15" customHeight="1" x14ac:dyDescent="0.25">
      <c r="B188" s="839"/>
      <c r="C188" s="869">
        <v>6.7</v>
      </c>
      <c r="D188" s="886">
        <f t="shared" si="58"/>
        <v>6.7</v>
      </c>
      <c r="E188" s="894">
        <f>T48</f>
        <v>85.8</v>
      </c>
      <c r="F188" s="903">
        <v>86.55</v>
      </c>
      <c r="G188" s="821">
        <v>40</v>
      </c>
      <c r="H188" s="885">
        <f>V48</f>
        <v>98.013000000000005</v>
      </c>
      <c r="I188" s="823">
        <f t="shared" si="56"/>
        <v>86.55</v>
      </c>
      <c r="J188" s="855">
        <f t="shared" ref="J188:J191" si="59">I188*2</f>
        <v>173.1</v>
      </c>
      <c r="K188" s="854">
        <f t="shared" ref="K188:K191" si="60">(J188/G188)</f>
        <v>4.3274999999999997</v>
      </c>
      <c r="L188" s="913">
        <f>SQRT(12*32.2*K188^2/(4*$E$178*($E$176*56)*$E$175^2))</f>
        <v>0.69910762264127169</v>
      </c>
      <c r="M188" s="855">
        <f t="shared" si="57"/>
        <v>-86.700000000000017</v>
      </c>
      <c r="N188" s="830">
        <v>0.7</v>
      </c>
      <c r="O188" s="854">
        <f>($N188*$E$175*SQRT(4*$E$178*$E$177/32.2)/12)</f>
        <v>4.3329212452209367</v>
      </c>
      <c r="P188" s="855">
        <f>(O188*G188)/2</f>
        <v>86.658424904418737</v>
      </c>
      <c r="Q188" s="856">
        <f>P188-I188</f>
        <v>0.1084249044187402</v>
      </c>
      <c r="R188" s="830"/>
      <c r="S188" s="830"/>
      <c r="T188" s="830"/>
      <c r="U188" s="830"/>
      <c r="W188" s="918"/>
      <c r="X188" s="830"/>
      <c r="Y188" s="830">
        <v>8.1999999999999993</v>
      </c>
      <c r="AC188" s="462">
        <v>70</v>
      </c>
      <c r="AD188" s="475">
        <v>155.1</v>
      </c>
      <c r="AE188" s="478">
        <v>157.9</v>
      </c>
      <c r="AF188" s="477">
        <v>0.98</v>
      </c>
      <c r="AG188" s="475">
        <v>0.69</v>
      </c>
      <c r="AH188" s="478">
        <v>0.7</v>
      </c>
      <c r="AJ188" s="462">
        <v>70</v>
      </c>
      <c r="AK188" s="475">
        <v>152.19999999999999</v>
      </c>
      <c r="AL188" s="478">
        <v>158.80000000000001</v>
      </c>
      <c r="AM188" s="477">
        <v>0.96</v>
      </c>
      <c r="AN188" s="475">
        <v>0.67</v>
      </c>
      <c r="AO188" s="478">
        <v>0.7</v>
      </c>
    </row>
    <row r="189" spans="2:41" ht="15" customHeight="1" x14ac:dyDescent="0.25">
      <c r="B189" s="839"/>
      <c r="C189" s="866">
        <v>8.6999999999999993</v>
      </c>
      <c r="D189" s="823">
        <f t="shared" si="58"/>
        <v>8.6999999999999993</v>
      </c>
      <c r="E189" s="894">
        <f>T49</f>
        <v>109.8</v>
      </c>
      <c r="F189" s="903">
        <v>108.3</v>
      </c>
      <c r="G189" s="821">
        <v>50</v>
      </c>
      <c r="H189" s="885">
        <f>V49</f>
        <v>124.542</v>
      </c>
      <c r="I189" s="823">
        <f t="shared" si="56"/>
        <v>108.3</v>
      </c>
      <c r="J189" s="855">
        <f t="shared" si="59"/>
        <v>216.6</v>
      </c>
      <c r="K189" s="854">
        <f t="shared" si="60"/>
        <v>4.3319999999999999</v>
      </c>
      <c r="L189" s="913">
        <f>SQRT(12*32.2*K189^2/(4*$E$178*($E$176*56)*$E$175^2))</f>
        <v>0.69983459763881894</v>
      </c>
      <c r="M189" s="855">
        <f t="shared" si="57"/>
        <v>-108.4</v>
      </c>
      <c r="N189" s="830">
        <v>0.7</v>
      </c>
      <c r="O189" s="854">
        <f>($N189*$E$175*SQRT(4*$E$178*$E$177/32.2)/12)</f>
        <v>4.3329212452209367</v>
      </c>
      <c r="P189" s="855">
        <f>(O189*G189)/2</f>
        <v>108.32303113052342</v>
      </c>
      <c r="Q189" s="856">
        <f>P189-I189</f>
        <v>2.3031130523420984E-2</v>
      </c>
      <c r="R189" s="830"/>
      <c r="S189" s="830"/>
      <c r="T189" s="830"/>
      <c r="U189" s="830"/>
      <c r="W189" s="918"/>
      <c r="X189" s="830"/>
      <c r="Y189" s="830">
        <v>9.25</v>
      </c>
      <c r="Z189" s="545">
        <f>Y189/Y188</f>
        <v>1.128048780487805</v>
      </c>
      <c r="AC189" s="810" t="s">
        <v>465</v>
      </c>
      <c r="AD189" s="811"/>
      <c r="AE189" s="525"/>
      <c r="AF189" s="525"/>
      <c r="AG189" s="525">
        <v>1</v>
      </c>
      <c r="AH189" s="525">
        <v>1</v>
      </c>
      <c r="AJ189" s="810" t="s">
        <v>465</v>
      </c>
      <c r="AK189" s="811"/>
      <c r="AL189" s="525"/>
      <c r="AM189" s="525"/>
      <c r="AN189" s="525">
        <v>1.06</v>
      </c>
      <c r="AO189" s="525">
        <v>1.06</v>
      </c>
    </row>
    <row r="190" spans="2:41" ht="15" customHeight="1" x14ac:dyDescent="0.25">
      <c r="B190" s="839"/>
      <c r="C190" s="866">
        <v>11</v>
      </c>
      <c r="D190" s="823">
        <f t="shared" si="58"/>
        <v>11</v>
      </c>
      <c r="E190" s="894">
        <f>T50</f>
        <v>133</v>
      </c>
      <c r="F190" s="903">
        <v>130</v>
      </c>
      <c r="G190" s="821">
        <v>60</v>
      </c>
      <c r="H190" s="885">
        <f>V50</f>
        <v>148.79550000000003</v>
      </c>
      <c r="I190" s="823">
        <f t="shared" si="56"/>
        <v>130</v>
      </c>
      <c r="J190" s="855">
        <f t="shared" si="59"/>
        <v>260</v>
      </c>
      <c r="K190" s="854">
        <f t="shared" si="60"/>
        <v>4.333333333333333</v>
      </c>
      <c r="L190" s="913">
        <f>SQRT(12*32.2*K190^2/(4*$E$178*($E$176*56)*$E$175^2))</f>
        <v>0.70004999763809217</v>
      </c>
      <c r="M190" s="855">
        <f t="shared" si="57"/>
        <v>-130.10000000000002</v>
      </c>
      <c r="N190" s="830">
        <v>0.7</v>
      </c>
      <c r="O190" s="854">
        <f>($N190*$E$175*SQRT(4*$E$178*$E$177/32.2)/12)</f>
        <v>4.3329212452209367</v>
      </c>
      <c r="P190" s="855">
        <f>(O190*G190)/2</f>
        <v>129.98763735662811</v>
      </c>
      <c r="Q190" s="856">
        <f>P190-I190</f>
        <v>-1.2362643371886861E-2</v>
      </c>
      <c r="R190" s="830"/>
      <c r="S190" s="830"/>
      <c r="T190" s="830"/>
      <c r="U190" s="830"/>
      <c r="W190" s="918"/>
      <c r="X190" s="830"/>
      <c r="Y190" s="830">
        <v>10.3</v>
      </c>
      <c r="Z190" s="545">
        <f>Y190/Y189</f>
        <v>1.1135135135135137</v>
      </c>
      <c r="AC190" s="810" t="s">
        <v>466</v>
      </c>
      <c r="AD190" s="811"/>
      <c r="AE190" s="525"/>
      <c r="AF190" s="525"/>
      <c r="AG190" s="525">
        <v>0.99</v>
      </c>
      <c r="AH190" s="525">
        <v>0.99</v>
      </c>
      <c r="AJ190" s="810" t="s">
        <v>466</v>
      </c>
      <c r="AK190" s="811"/>
      <c r="AL190" s="525"/>
      <c r="AM190" s="525"/>
      <c r="AN190" s="525">
        <v>1.02</v>
      </c>
      <c r="AO190" s="525">
        <v>1.02</v>
      </c>
    </row>
    <row r="191" spans="2:41" ht="15" customHeight="1" thickBot="1" x14ac:dyDescent="0.3">
      <c r="B191" s="839"/>
      <c r="C191" s="869">
        <v>23.1</v>
      </c>
      <c r="D191" s="886">
        <f t="shared" si="58"/>
        <v>23.1</v>
      </c>
      <c r="E191" s="894">
        <f>T51</f>
        <v>155.4</v>
      </c>
      <c r="F191" s="903">
        <v>151.80000000000001</v>
      </c>
      <c r="G191" s="820">
        <v>70</v>
      </c>
      <c r="H191" s="885">
        <f>V51</f>
        <v>177.15600000000001</v>
      </c>
      <c r="I191" s="822">
        <f t="shared" si="56"/>
        <v>151.80000000000001</v>
      </c>
      <c r="J191" s="858">
        <f t="shared" si="59"/>
        <v>303.60000000000002</v>
      </c>
      <c r="K191" s="859">
        <f t="shared" si="60"/>
        <v>4.3371428571428572</v>
      </c>
      <c r="L191" s="916">
        <f>SQRT(12*32.2*K191^2/(4*$E$178*($E$176*56)*$E$175^2))</f>
        <v>0.70066542620744443</v>
      </c>
      <c r="M191" s="855">
        <f t="shared" si="57"/>
        <v>-151.80000000000001</v>
      </c>
      <c r="N191" s="830">
        <v>0.7</v>
      </c>
      <c r="O191" s="854">
        <f>($N191*$E$175*SQRT(4*$E$178*$E$177/32.2)/12)</f>
        <v>4.3329212452209367</v>
      </c>
      <c r="P191" s="855">
        <f>(O191*G191)/2</f>
        <v>151.65224358273278</v>
      </c>
      <c r="Q191" s="856">
        <f>P191-I191</f>
        <v>-0.14775641726723165</v>
      </c>
      <c r="R191" s="830"/>
      <c r="S191" s="830"/>
      <c r="T191" s="830"/>
      <c r="U191" s="830"/>
      <c r="W191" s="918"/>
      <c r="X191" s="830"/>
      <c r="Y191" s="830"/>
      <c r="AC191" s="810" t="s">
        <v>467</v>
      </c>
      <c r="AD191" s="811"/>
      <c r="AE191" s="525"/>
      <c r="AF191" s="525"/>
      <c r="AG191" s="525">
        <v>-1</v>
      </c>
      <c r="AH191" s="525">
        <v>-2.6</v>
      </c>
      <c r="AJ191" s="810" t="s">
        <v>467</v>
      </c>
      <c r="AK191" s="811"/>
      <c r="AL191" s="525"/>
      <c r="AM191" s="525"/>
      <c r="AN191" s="525">
        <v>0.4</v>
      </c>
      <c r="AO191" s="525">
        <v>-2.6</v>
      </c>
    </row>
    <row r="192" spans="2:41" ht="15" customHeight="1" x14ac:dyDescent="0.25">
      <c r="B192" s="839"/>
      <c r="C192" s="866">
        <v>45</v>
      </c>
      <c r="D192" s="823">
        <f t="shared" si="58"/>
        <v>45</v>
      </c>
      <c r="E192" s="830"/>
      <c r="F192" s="830"/>
      <c r="G192" s="830"/>
      <c r="H192" s="830"/>
      <c r="I192" s="821"/>
      <c r="J192" s="823"/>
      <c r="K192" s="823"/>
      <c r="L192" s="870"/>
      <c r="M192" s="830"/>
      <c r="N192" s="830"/>
      <c r="O192" s="830"/>
      <c r="P192" s="830"/>
      <c r="Q192" s="830"/>
      <c r="R192" s="821"/>
      <c r="S192" s="830"/>
      <c r="T192" s="830"/>
      <c r="U192" s="830"/>
      <c r="V192" s="830"/>
      <c r="W192" s="918"/>
      <c r="X192" s="830"/>
      <c r="Y192" s="830"/>
    </row>
    <row r="193" spans="2:25" ht="15" customHeight="1" x14ac:dyDescent="0.25">
      <c r="B193" s="839"/>
      <c r="C193" s="866">
        <v>66.5</v>
      </c>
      <c r="D193" s="886">
        <f t="shared" si="58"/>
        <v>66.5</v>
      </c>
      <c r="E193" s="830"/>
      <c r="F193" s="830"/>
      <c r="G193" s="821"/>
      <c r="H193" s="823"/>
      <c r="I193" s="823">
        <f>I131</f>
        <v>19.899999999999999</v>
      </c>
      <c r="J193" s="823"/>
      <c r="K193" s="871" t="s">
        <v>446</v>
      </c>
      <c r="L193" s="927">
        <f>L185/L191</f>
        <v>0.99604743083003955</v>
      </c>
      <c r="N193" s="830"/>
      <c r="O193" s="830"/>
      <c r="P193" s="830"/>
      <c r="Q193" s="830"/>
      <c r="R193" s="830"/>
      <c r="S193" s="830"/>
      <c r="T193" s="830"/>
      <c r="U193" s="830"/>
      <c r="V193" s="830"/>
      <c r="W193" s="918"/>
      <c r="X193" s="830"/>
      <c r="Y193" s="830"/>
    </row>
    <row r="194" spans="2:25" ht="15" customHeight="1" x14ac:dyDescent="0.25">
      <c r="B194" s="839"/>
      <c r="C194" s="866">
        <v>88.1</v>
      </c>
      <c r="D194" s="823">
        <f t="shared" si="58"/>
        <v>88.1</v>
      </c>
      <c r="E194" s="830"/>
      <c r="F194" s="830"/>
      <c r="G194" s="830"/>
      <c r="H194" s="830"/>
      <c r="I194" s="823">
        <f t="shared" ref="I194:I198" si="61">I132</f>
        <v>41.6</v>
      </c>
      <c r="J194" s="830"/>
      <c r="K194" s="871" t="s">
        <v>447</v>
      </c>
      <c r="L194" s="927">
        <f>L187/L191</f>
        <v>0.9974308300395256</v>
      </c>
      <c r="N194" s="830"/>
      <c r="O194" s="830"/>
      <c r="P194" s="830"/>
      <c r="Q194" s="830"/>
      <c r="R194" s="830"/>
      <c r="S194" s="830"/>
      <c r="T194" s="830"/>
      <c r="U194" s="830"/>
      <c r="V194" s="830"/>
      <c r="W194" s="918"/>
      <c r="X194" s="830"/>
      <c r="Y194" s="830"/>
    </row>
    <row r="195" spans="2:25" ht="15" customHeight="1" x14ac:dyDescent="0.25">
      <c r="B195" s="839"/>
      <c r="C195" s="866">
        <v>110.2</v>
      </c>
      <c r="D195" s="823">
        <f t="shared" si="58"/>
        <v>110.2</v>
      </c>
      <c r="E195" s="830"/>
      <c r="F195" s="830"/>
      <c r="G195" s="830"/>
      <c r="H195" s="830"/>
      <c r="I195" s="823">
        <f t="shared" si="61"/>
        <v>63.3</v>
      </c>
      <c r="J195" s="830"/>
      <c r="K195" s="872"/>
      <c r="L195" s="855">
        <f>(I187-((((I191-I185)/6)*2)+I185))</f>
        <v>-0.10999999999999943</v>
      </c>
      <c r="M195" s="830"/>
      <c r="N195" s="830"/>
      <c r="O195" s="830"/>
      <c r="P195" s="830"/>
      <c r="Q195" s="830"/>
      <c r="R195" s="830"/>
      <c r="S195" s="830"/>
      <c r="T195" s="830"/>
      <c r="U195" s="830"/>
      <c r="V195" s="830"/>
      <c r="W195" s="918"/>
      <c r="X195" s="830"/>
      <c r="Y195" s="830"/>
    </row>
    <row r="196" spans="2:25" ht="15" customHeight="1" x14ac:dyDescent="0.25">
      <c r="B196" s="839"/>
      <c r="C196" s="866">
        <v>130.19999999999999</v>
      </c>
      <c r="D196" s="823">
        <f t="shared" si="58"/>
        <v>130.19999999999999</v>
      </c>
      <c r="E196" s="830"/>
      <c r="F196" s="830"/>
      <c r="G196" s="830"/>
      <c r="H196" s="830"/>
      <c r="I196" s="823">
        <f t="shared" si="61"/>
        <v>85</v>
      </c>
      <c r="J196" s="830"/>
      <c r="K196" s="830"/>
      <c r="L196" s="830"/>
      <c r="M196" s="830"/>
      <c r="N196" s="830"/>
      <c r="O196" s="830"/>
      <c r="P196" s="830"/>
      <c r="Q196" s="830"/>
      <c r="R196" s="830"/>
      <c r="S196" s="830"/>
      <c r="T196" s="830"/>
      <c r="U196" s="830"/>
      <c r="V196" s="830"/>
      <c r="W196" s="918"/>
      <c r="X196" s="830"/>
      <c r="Y196" s="830"/>
    </row>
    <row r="197" spans="2:25" ht="15" customHeight="1" x14ac:dyDescent="0.25">
      <c r="B197" s="839"/>
      <c r="C197" s="869">
        <v>152.19999999999999</v>
      </c>
      <c r="D197" s="886">
        <f t="shared" si="58"/>
        <v>152.19999999999999</v>
      </c>
      <c r="E197" s="830"/>
      <c r="F197" s="830"/>
      <c r="G197" s="830"/>
      <c r="H197" s="830"/>
      <c r="I197" s="823">
        <f t="shared" si="61"/>
        <v>107</v>
      </c>
      <c r="J197" s="830"/>
      <c r="K197" s="830"/>
      <c r="L197" s="830"/>
      <c r="M197" s="830"/>
      <c r="N197" s="830"/>
      <c r="O197" s="830"/>
      <c r="P197" s="830"/>
      <c r="Q197" s="830"/>
      <c r="R197" s="830"/>
      <c r="S197" s="830"/>
      <c r="T197" s="830"/>
      <c r="U197" s="830"/>
      <c r="V197" s="830"/>
      <c r="W197" s="833"/>
      <c r="X197" s="830"/>
      <c r="Y197" s="830"/>
    </row>
    <row r="198" spans="2:25" ht="15" customHeight="1" x14ac:dyDescent="0.25">
      <c r="B198" s="839"/>
      <c r="C198" s="835"/>
      <c r="D198" s="835"/>
      <c r="E198" s="835"/>
      <c r="F198" s="830"/>
      <c r="G198" s="830"/>
      <c r="H198" s="830"/>
      <c r="I198" s="823">
        <f t="shared" si="61"/>
        <v>129.19999999999999</v>
      </c>
      <c r="J198" s="830"/>
      <c r="K198" s="830"/>
      <c r="L198" s="830"/>
      <c r="M198" s="830"/>
      <c r="N198" s="830"/>
      <c r="O198" s="830"/>
      <c r="P198" s="830"/>
      <c r="Q198" s="830"/>
      <c r="R198" s="830"/>
      <c r="S198" s="830"/>
      <c r="T198" s="830"/>
      <c r="U198" s="830"/>
      <c r="V198" s="830"/>
      <c r="W198" s="833"/>
      <c r="X198" s="830"/>
      <c r="Y198" s="830"/>
    </row>
    <row r="199" spans="2:25" ht="15" customHeight="1" x14ac:dyDescent="0.25">
      <c r="B199" s="839"/>
      <c r="C199" s="835"/>
      <c r="D199" s="835"/>
      <c r="E199" s="835"/>
      <c r="F199" s="830"/>
      <c r="G199" s="830"/>
      <c r="H199" s="830"/>
      <c r="I199" s="823">
        <f>I137</f>
        <v>152.5</v>
      </c>
      <c r="J199" s="830"/>
      <c r="K199" s="830"/>
      <c r="L199" s="830"/>
      <c r="M199" s="830"/>
      <c r="N199" s="830"/>
      <c r="O199" s="830"/>
      <c r="P199" s="830"/>
      <c r="Q199" s="830"/>
      <c r="R199" s="830"/>
      <c r="S199" s="830"/>
      <c r="T199" s="830"/>
      <c r="U199" s="830"/>
      <c r="V199" s="830"/>
      <c r="W199" s="833"/>
      <c r="X199" s="830"/>
      <c r="Y199" s="830"/>
    </row>
    <row r="200" spans="2:25" ht="15" customHeight="1" thickBot="1" x14ac:dyDescent="0.3">
      <c r="B200" s="873"/>
      <c r="C200" s="874"/>
      <c r="D200" s="874"/>
      <c r="E200" s="874"/>
      <c r="F200" s="875"/>
      <c r="G200" s="875"/>
      <c r="H200" s="875"/>
      <c r="I200" s="875"/>
      <c r="J200" s="875"/>
      <c r="K200" s="875"/>
      <c r="L200" s="875"/>
      <c r="M200" s="875"/>
      <c r="N200" s="875"/>
      <c r="O200" s="875"/>
      <c r="P200" s="875"/>
      <c r="Q200" s="875"/>
      <c r="R200" s="875"/>
      <c r="S200" s="875"/>
      <c r="T200" s="875"/>
      <c r="U200" s="875"/>
      <c r="V200" s="875"/>
      <c r="W200" s="876"/>
      <c r="X200" s="830"/>
      <c r="Y200" s="830"/>
    </row>
    <row r="201" spans="2:25" ht="15" customHeight="1" x14ac:dyDescent="0.25">
      <c r="X201" s="830"/>
      <c r="Y201" s="830"/>
    </row>
    <row r="202" spans="2:25" ht="15" customHeight="1" x14ac:dyDescent="0.25">
      <c r="X202" s="830"/>
      <c r="Y202" s="830"/>
    </row>
    <row r="203" spans="2:25" ht="15" customHeight="1" x14ac:dyDescent="0.25"/>
    <row r="204" spans="2:25" ht="15" customHeight="1" x14ac:dyDescent="0.25">
      <c r="C204" s="878" t="s">
        <v>481</v>
      </c>
    </row>
    <row r="205" spans="2:25" ht="15" customHeight="1" x14ac:dyDescent="0.25">
      <c r="C205" s="864" t="s">
        <v>427</v>
      </c>
    </row>
    <row r="206" spans="2:25" ht="15" customHeight="1" x14ac:dyDescent="0.25">
      <c r="C206" s="866">
        <v>2.9</v>
      </c>
      <c r="F206" s="904">
        <v>2.7</v>
      </c>
    </row>
    <row r="207" spans="2:25" ht="15" customHeight="1" x14ac:dyDescent="0.25">
      <c r="C207" s="866">
        <v>4.0999999999999996</v>
      </c>
      <c r="F207" s="881">
        <v>4.3</v>
      </c>
    </row>
    <row r="208" spans="2:25" ht="15" customHeight="1" x14ac:dyDescent="0.25">
      <c r="C208" s="869">
        <v>5.8</v>
      </c>
      <c r="F208" s="880">
        <v>6.1</v>
      </c>
    </row>
    <row r="209" spans="2:26" ht="15" customHeight="1" x14ac:dyDescent="0.25">
      <c r="C209" s="866">
        <v>8</v>
      </c>
      <c r="F209" s="881">
        <v>8.1</v>
      </c>
    </row>
    <row r="210" spans="2:26" ht="15" customHeight="1" x14ac:dyDescent="0.25">
      <c r="C210" s="866">
        <v>10.3</v>
      </c>
      <c r="F210" s="881">
        <v>10.3</v>
      </c>
    </row>
    <row r="211" spans="2:26" ht="15" customHeight="1" x14ac:dyDescent="0.25">
      <c r="C211" s="869">
        <v>22.2</v>
      </c>
      <c r="F211" s="880">
        <v>22.4</v>
      </c>
    </row>
    <row r="212" spans="2:26" ht="15" customHeight="1" x14ac:dyDescent="0.25">
      <c r="C212" s="866">
        <v>44.2</v>
      </c>
      <c r="F212" s="881">
        <v>44.2</v>
      </c>
    </row>
    <row r="213" spans="2:26" ht="15" customHeight="1" x14ac:dyDescent="0.25">
      <c r="C213" s="866">
        <v>65.5</v>
      </c>
      <c r="F213" s="880">
        <v>66</v>
      </c>
    </row>
    <row r="214" spans="2:26" ht="15" customHeight="1" x14ac:dyDescent="0.25">
      <c r="C214" s="866">
        <v>87.2</v>
      </c>
      <c r="F214" s="881">
        <v>87.6</v>
      </c>
    </row>
    <row r="215" spans="2:26" ht="15" customHeight="1" x14ac:dyDescent="0.25">
      <c r="C215" s="866">
        <v>109.8</v>
      </c>
      <c r="F215" s="881">
        <v>109.3</v>
      </c>
    </row>
    <row r="216" spans="2:26" ht="15" customHeight="1" x14ac:dyDescent="0.25">
      <c r="C216" s="866">
        <v>132.5</v>
      </c>
      <c r="F216" s="881">
        <v>130.80000000000001</v>
      </c>
    </row>
    <row r="217" spans="2:26" ht="15" customHeight="1" x14ac:dyDescent="0.25">
      <c r="C217" s="869">
        <v>155.1</v>
      </c>
      <c r="F217" s="880">
        <f>T197*V$123</f>
        <v>0</v>
      </c>
    </row>
    <row r="218" spans="2:26" ht="15" customHeight="1" x14ac:dyDescent="0.25"/>
    <row r="219" spans="2:26" ht="15" customHeight="1" x14ac:dyDescent="0.25"/>
    <row r="220" spans="2:26" ht="15" customHeight="1" x14ac:dyDescent="0.25"/>
    <row r="221" spans="2:26" ht="15" customHeight="1" thickBot="1" x14ac:dyDescent="0.3">
      <c r="B221" s="783"/>
      <c r="C221" s="783"/>
      <c r="D221" s="783"/>
      <c r="E221" s="783"/>
      <c r="F221" s="783"/>
      <c r="G221" s="783"/>
      <c r="H221" s="783"/>
      <c r="I221" s="783"/>
      <c r="J221" s="783"/>
      <c r="K221" s="783"/>
      <c r="L221" s="783"/>
      <c r="M221" s="783"/>
      <c r="N221" s="783"/>
      <c r="O221" s="783"/>
      <c r="P221" s="783"/>
      <c r="Q221" s="784"/>
      <c r="R221" s="785"/>
      <c r="S221" s="785"/>
      <c r="T221" s="783"/>
      <c r="U221" s="783"/>
      <c r="V221" s="783"/>
      <c r="W221" s="783"/>
      <c r="X221" s="783"/>
      <c r="Y221" s="783"/>
      <c r="Z221" s="783"/>
    </row>
    <row r="222" spans="2:26" ht="15" customHeight="1" thickTop="1" x14ac:dyDescent="0.25">
      <c r="Q222" s="629"/>
      <c r="R222" s="630"/>
      <c r="S222" s="630"/>
    </row>
    <row r="223" spans="2:26" ht="15" customHeight="1" x14ac:dyDescent="0.3">
      <c r="B223" s="788" t="s">
        <v>282</v>
      </c>
      <c r="C223" s="431" t="s">
        <v>420</v>
      </c>
      <c r="Q223" s="629"/>
      <c r="R223" s="630"/>
      <c r="S223" s="630"/>
    </row>
    <row r="224" spans="2:26" ht="15" customHeight="1" x14ac:dyDescent="0.3">
      <c r="C224" s="431" t="s">
        <v>424</v>
      </c>
      <c r="D224" s="530"/>
      <c r="Q224" s="629"/>
      <c r="R224" s="630"/>
      <c r="S224" s="630"/>
    </row>
    <row r="225" spans="1:23" ht="15" customHeight="1" x14ac:dyDescent="0.3">
      <c r="A225" s="530"/>
      <c r="B225" s="546"/>
      <c r="C225" s="431" t="s">
        <v>421</v>
      </c>
      <c r="H225" s="530"/>
      <c r="L225" s="745" t="s">
        <v>320</v>
      </c>
      <c r="O225" s="537"/>
      <c r="P225" s="535"/>
      <c r="Q225" s="537"/>
      <c r="R225" s="535"/>
    </row>
    <row r="226" spans="1:23" ht="15" customHeight="1" x14ac:dyDescent="0.25">
      <c r="A226" s="530"/>
      <c r="H226" s="530"/>
      <c r="L226" s="763" t="s">
        <v>319</v>
      </c>
      <c r="W226" s="558"/>
    </row>
    <row r="227" spans="1:23" ht="15" customHeight="1" thickBot="1" x14ac:dyDescent="0.3">
      <c r="A227" s="530"/>
      <c r="B227" s="546"/>
      <c r="H227" s="537" t="s">
        <v>345</v>
      </c>
      <c r="I227" s="530"/>
      <c r="W227" s="558"/>
    </row>
    <row r="228" spans="1:23" ht="15" customHeight="1" x14ac:dyDescent="0.25">
      <c r="A228" s="530"/>
      <c r="B228" s="546"/>
      <c r="C228" s="561" t="s">
        <v>15</v>
      </c>
      <c r="D228" s="552"/>
      <c r="E228" s="562"/>
      <c r="G228" s="563"/>
      <c r="H228" s="569" t="s">
        <v>282</v>
      </c>
      <c r="I228" s="564"/>
      <c r="J228" s="563"/>
      <c r="K228" s="642" t="s">
        <v>111</v>
      </c>
      <c r="L228" s="764"/>
      <c r="W228" s="558"/>
    </row>
    <row r="229" spans="1:23" ht="15" customHeight="1" x14ac:dyDescent="0.25">
      <c r="A229" s="530"/>
      <c r="B229" s="546"/>
      <c r="C229" s="565" t="s">
        <v>61</v>
      </c>
      <c r="D229" s="566" t="s">
        <v>19</v>
      </c>
      <c r="E229" s="528">
        <v>0.9</v>
      </c>
      <c r="G229" s="567" t="s">
        <v>2</v>
      </c>
      <c r="H229" s="568" t="s">
        <v>250</v>
      </c>
      <c r="I229" s="569">
        <v>0</v>
      </c>
      <c r="J229" s="568" t="s">
        <v>133</v>
      </c>
      <c r="K229" s="568" t="s">
        <v>127</v>
      </c>
      <c r="L229" s="765" t="s">
        <v>128</v>
      </c>
      <c r="W229" s="558"/>
    </row>
    <row r="230" spans="1:23" ht="15" customHeight="1" x14ac:dyDescent="0.25">
      <c r="A230" s="530"/>
      <c r="B230" s="546"/>
      <c r="C230" s="565" t="s">
        <v>62</v>
      </c>
      <c r="D230" s="566" t="s">
        <v>20</v>
      </c>
      <c r="E230" s="528">
        <v>0.96</v>
      </c>
      <c r="G230" s="570">
        <v>1</v>
      </c>
      <c r="H230" s="778">
        <f t="shared" ref="H230:H241" si="62">D236</f>
        <v>2.0999999999999996</v>
      </c>
      <c r="I230" s="529">
        <f>F$40</f>
        <v>0</v>
      </c>
      <c r="J230" s="529">
        <f>I230*2</f>
        <v>0</v>
      </c>
      <c r="K230" s="529">
        <f>(J230/G230)</f>
        <v>0</v>
      </c>
      <c r="L230" s="766">
        <f t="shared" ref="L230:L241" si="63">SQRT(12*32.2*K230^2/(4*$E$232*($E$230*56)*$E$229^2))</f>
        <v>0</v>
      </c>
      <c r="U230" s="675" t="s">
        <v>361</v>
      </c>
      <c r="W230" s="558"/>
    </row>
    <row r="231" spans="1:23" ht="15" customHeight="1" x14ac:dyDescent="0.25">
      <c r="A231" s="530"/>
      <c r="B231" s="546"/>
      <c r="C231" s="565" t="s">
        <v>356</v>
      </c>
      <c r="E231" s="665">
        <f>(E230*2.20462*25.4*12)</f>
        <v>645.0894489599998</v>
      </c>
      <c r="G231" s="537">
        <v>2</v>
      </c>
      <c r="H231" s="779">
        <f t="shared" si="62"/>
        <v>3.5999999999999996</v>
      </c>
      <c r="I231" s="529">
        <f>F$41</f>
        <v>0</v>
      </c>
      <c r="J231" s="535">
        <f t="shared" ref="J231:J236" si="64">I231*2</f>
        <v>0</v>
      </c>
      <c r="K231" s="535">
        <f t="shared" ref="K231:K236" si="65">(J231/G231)</f>
        <v>0</v>
      </c>
      <c r="L231" s="767">
        <f t="shared" si="63"/>
        <v>0</v>
      </c>
      <c r="R231" s="537" t="s">
        <v>359</v>
      </c>
      <c r="S231" s="537" t="s">
        <v>359</v>
      </c>
      <c r="T231" s="537" t="s">
        <v>359</v>
      </c>
      <c r="U231" s="676" t="s">
        <v>359</v>
      </c>
      <c r="W231" s="558"/>
    </row>
    <row r="232" spans="1:23" ht="15" customHeight="1" x14ac:dyDescent="0.25">
      <c r="A232" s="530"/>
      <c r="B232" s="546"/>
      <c r="C232" s="571" t="s">
        <v>59</v>
      </c>
      <c r="D232" s="572" t="s">
        <v>28</v>
      </c>
      <c r="E232" s="573">
        <v>85</v>
      </c>
      <c r="G232" s="574">
        <v>3</v>
      </c>
      <c r="H232" s="780">
        <f t="shared" si="62"/>
        <v>5.8999999999999995</v>
      </c>
      <c r="I232" s="529">
        <f>F$42</f>
        <v>0</v>
      </c>
      <c r="J232" s="536">
        <f t="shared" si="64"/>
        <v>0</v>
      </c>
      <c r="K232" s="536">
        <f t="shared" si="65"/>
        <v>0</v>
      </c>
      <c r="L232" s="768">
        <f t="shared" si="63"/>
        <v>0</v>
      </c>
      <c r="Q232" s="675" t="s">
        <v>361</v>
      </c>
      <c r="R232" s="558" t="s">
        <v>360</v>
      </c>
      <c r="S232" s="558" t="s">
        <v>360</v>
      </c>
      <c r="T232" s="558" t="s">
        <v>360</v>
      </c>
      <c r="U232" s="675" t="s">
        <v>360</v>
      </c>
      <c r="W232" s="558"/>
    </row>
    <row r="233" spans="1:23" ht="15" customHeight="1" x14ac:dyDescent="0.25">
      <c r="A233" s="530"/>
      <c r="G233" s="537">
        <v>4</v>
      </c>
      <c r="H233" s="779">
        <f t="shared" si="62"/>
        <v>8.2999999999999989</v>
      </c>
      <c r="I233" s="529">
        <f>F$43</f>
        <v>0</v>
      </c>
      <c r="J233" s="535">
        <f t="shared" si="64"/>
        <v>0</v>
      </c>
      <c r="K233" s="535">
        <f t="shared" si="65"/>
        <v>0</v>
      </c>
      <c r="L233" s="767">
        <f t="shared" si="63"/>
        <v>0</v>
      </c>
      <c r="N233" s="537" t="s">
        <v>354</v>
      </c>
      <c r="O233" s="537" t="s">
        <v>357</v>
      </c>
      <c r="P233" s="537" t="s">
        <v>357</v>
      </c>
      <c r="Q233" s="676" t="s">
        <v>295</v>
      </c>
      <c r="R233" s="537" t="s">
        <v>267</v>
      </c>
      <c r="S233" s="537" t="s">
        <v>267</v>
      </c>
      <c r="T233" s="537" t="s">
        <v>267</v>
      </c>
      <c r="U233" s="676" t="s">
        <v>267</v>
      </c>
      <c r="W233" s="558"/>
    </row>
    <row r="234" spans="1:23" ht="15" customHeight="1" x14ac:dyDescent="0.25">
      <c r="A234" s="530"/>
      <c r="B234" s="655"/>
      <c r="C234" s="655" t="s">
        <v>282</v>
      </c>
      <c r="D234" s="655"/>
      <c r="G234" s="537">
        <v>5</v>
      </c>
      <c r="H234" s="779">
        <f t="shared" si="62"/>
        <v>10.799999999999999</v>
      </c>
      <c r="I234" s="529">
        <f>F$44</f>
        <v>0</v>
      </c>
      <c r="J234" s="535">
        <f t="shared" si="64"/>
        <v>0</v>
      </c>
      <c r="K234" s="535">
        <f t="shared" si="65"/>
        <v>0</v>
      </c>
      <c r="L234" s="767">
        <f t="shared" si="63"/>
        <v>0</v>
      </c>
      <c r="M234" s="550" t="s">
        <v>332</v>
      </c>
      <c r="N234" s="550" t="s">
        <v>355</v>
      </c>
      <c r="O234" s="550" t="s">
        <v>26</v>
      </c>
      <c r="P234" s="666" t="s">
        <v>288</v>
      </c>
      <c r="Q234" s="677" t="s">
        <v>358</v>
      </c>
      <c r="R234" s="550" t="s">
        <v>82</v>
      </c>
      <c r="S234" s="550" t="s">
        <v>26</v>
      </c>
      <c r="T234" s="666" t="s">
        <v>288</v>
      </c>
      <c r="U234" s="677" t="s">
        <v>358</v>
      </c>
      <c r="W234" s="558"/>
    </row>
    <row r="235" spans="1:23" ht="15" customHeight="1" x14ac:dyDescent="0.25">
      <c r="A235" s="530"/>
      <c r="B235" s="641"/>
      <c r="C235" s="777" t="s">
        <v>427</v>
      </c>
      <c r="D235" s="657" t="s">
        <v>346</v>
      </c>
      <c r="G235" s="574">
        <v>10</v>
      </c>
      <c r="H235" s="780">
        <f t="shared" si="62"/>
        <v>23</v>
      </c>
      <c r="I235" s="658">
        <f>F$45</f>
        <v>0</v>
      </c>
      <c r="J235" s="536">
        <f>I235*2</f>
        <v>0</v>
      </c>
      <c r="K235" s="536">
        <f>(J235/G235)</f>
        <v>0</v>
      </c>
      <c r="L235" s="768">
        <f t="shared" si="63"/>
        <v>0</v>
      </c>
      <c r="M235" s="630">
        <f>((L$241-L$235)/6*(G235-G$235)/10+L$235)</f>
        <v>0</v>
      </c>
      <c r="N235" s="639">
        <f>M235/L$241</f>
        <v>0</v>
      </c>
      <c r="O235" s="639">
        <f>($M235*$E$229*SQRT(4*$E$232*$E$231/32.2)/12)</f>
        <v>0</v>
      </c>
      <c r="P235" s="539">
        <f>(O235*G235)/2</f>
        <v>0</v>
      </c>
      <c r="Q235" s="673">
        <f>P235-I235</f>
        <v>0</v>
      </c>
      <c r="R235" s="630">
        <f>L241</f>
        <v>0.78559456877804368</v>
      </c>
      <c r="S235" s="639">
        <f>($R235*$E$229*SQRT(4*$E$232*$E$231/32.2)/12)</f>
        <v>4.862741995983666</v>
      </c>
      <c r="T235" s="539">
        <f>(S235*G235)/2</f>
        <v>24.313709979918329</v>
      </c>
      <c r="U235" s="673">
        <f>T235-I235</f>
        <v>24.313709979918329</v>
      </c>
      <c r="W235" s="558"/>
    </row>
    <row r="236" spans="1:23" ht="15" customHeight="1" x14ac:dyDescent="0.25">
      <c r="A236" s="530"/>
      <c r="B236" s="546"/>
      <c r="C236" s="7">
        <v>-2.0999999999999996</v>
      </c>
      <c r="D236" s="535">
        <f>-C236</f>
        <v>2.0999999999999996</v>
      </c>
      <c r="G236" s="537">
        <v>20</v>
      </c>
      <c r="H236" s="779">
        <f t="shared" si="62"/>
        <v>45.099999999999994</v>
      </c>
      <c r="I236" s="537">
        <f t="shared" ref="I236:I241" si="66">H236</f>
        <v>45.099999999999994</v>
      </c>
      <c r="J236" s="535">
        <f t="shared" si="64"/>
        <v>90.199999999999989</v>
      </c>
      <c r="K236" s="535">
        <f t="shared" si="65"/>
        <v>4.51</v>
      </c>
      <c r="L236" s="767">
        <f t="shared" si="63"/>
        <v>0.72859049754179905</v>
      </c>
      <c r="M236" s="630">
        <f t="shared" ref="M236:M241" si="67">((L$241-L$235)/6*(G236-G$235)/10+L$235)</f>
        <v>0.13093242812967396</v>
      </c>
      <c r="N236" s="639">
        <f t="shared" ref="N236:N241" si="68">M236/L$241</f>
        <v>0.16666666666666669</v>
      </c>
      <c r="O236" s="639">
        <f t="shared" ref="O236:O241" si="69">($M236*$E$229*SQRT(4*$E$232*$E$231/32.2)/12)</f>
        <v>0.81045699933061088</v>
      </c>
      <c r="P236" s="539">
        <f t="shared" ref="P236:P241" si="70">(O236*G236)/2</f>
        <v>8.1045699933061091</v>
      </c>
      <c r="Q236" s="673">
        <f t="shared" ref="Q236:Q241" si="71">P236-I236</f>
        <v>-36.995430006693887</v>
      </c>
      <c r="R236" s="630">
        <f>L241</f>
        <v>0.78559456877804368</v>
      </c>
      <c r="S236" s="639">
        <f t="shared" ref="S236:S241" si="72">($R236*$E$229*SQRT(4*$E$232*$E$231/32.2)/12)</f>
        <v>4.862741995983666</v>
      </c>
      <c r="T236" s="539">
        <f t="shared" ref="T236:T241" si="73">(S236*G236)/2</f>
        <v>48.627419959836658</v>
      </c>
      <c r="U236" s="673">
        <f t="shared" ref="U236:U241" si="74">T236-I236</f>
        <v>3.5274199598366636</v>
      </c>
      <c r="W236" s="558"/>
    </row>
    <row r="237" spans="1:23" ht="15" customHeight="1" x14ac:dyDescent="0.25">
      <c r="A237" s="530"/>
      <c r="B237" s="546"/>
      <c r="C237" s="7">
        <v>-3.5999999999999996</v>
      </c>
      <c r="D237" s="535">
        <f t="shared" ref="D237:D247" si="75">-C237</f>
        <v>3.5999999999999996</v>
      </c>
      <c r="G237" s="574">
        <v>30</v>
      </c>
      <c r="H237" s="780">
        <f t="shared" si="62"/>
        <v>67.400000000000006</v>
      </c>
      <c r="I237" s="574">
        <f t="shared" si="66"/>
        <v>67.400000000000006</v>
      </c>
      <c r="J237" s="536">
        <f>I237*2</f>
        <v>134.80000000000001</v>
      </c>
      <c r="K237" s="536">
        <f>(J237/G237)</f>
        <v>4.4933333333333341</v>
      </c>
      <c r="L237" s="768">
        <f t="shared" si="63"/>
        <v>0.72589799755088336</v>
      </c>
      <c r="M237" s="630">
        <f t="shared" si="67"/>
        <v>0.26186485625934791</v>
      </c>
      <c r="N237" s="674">
        <f t="shared" si="68"/>
        <v>0.33333333333333337</v>
      </c>
      <c r="O237" s="639">
        <f t="shared" si="69"/>
        <v>1.6209139986612218</v>
      </c>
      <c r="P237" s="539">
        <f>(O237*G237)/2</f>
        <v>24.313709979918325</v>
      </c>
      <c r="Q237" s="680">
        <f>P237-I237</f>
        <v>-43.086290020081677</v>
      </c>
      <c r="R237" s="630">
        <f>L241</f>
        <v>0.78559456877804368</v>
      </c>
      <c r="S237" s="639">
        <f t="shared" si="72"/>
        <v>4.862741995983666</v>
      </c>
      <c r="T237" s="539">
        <f>(S237*G237)/2</f>
        <v>72.941129939754987</v>
      </c>
      <c r="U237" s="680">
        <f>T237-I237</f>
        <v>5.5411299397549811</v>
      </c>
      <c r="W237" s="558"/>
    </row>
    <row r="238" spans="1:23" ht="15" customHeight="1" x14ac:dyDescent="0.25">
      <c r="A238" s="530"/>
      <c r="B238" s="546"/>
      <c r="C238" s="640">
        <v>-5.8999999999999995</v>
      </c>
      <c r="D238" s="535">
        <f t="shared" si="75"/>
        <v>5.8999999999999995</v>
      </c>
      <c r="G238" s="537">
        <v>40</v>
      </c>
      <c r="H238" s="779">
        <f t="shared" si="62"/>
        <v>92</v>
      </c>
      <c r="I238" s="537">
        <f t="shared" si="66"/>
        <v>92</v>
      </c>
      <c r="J238" s="535">
        <f t="shared" ref="J238:J241" si="76">I238*2</f>
        <v>184</v>
      </c>
      <c r="K238" s="535">
        <f t="shared" ref="K238:K241" si="77">(J238/G238)</f>
        <v>4.5999999999999996</v>
      </c>
      <c r="L238" s="767">
        <f t="shared" si="63"/>
        <v>0.743129997492744</v>
      </c>
      <c r="M238" s="630">
        <f t="shared" si="67"/>
        <v>0.39279728438902184</v>
      </c>
      <c r="N238" s="639">
        <f t="shared" si="68"/>
        <v>0.5</v>
      </c>
      <c r="O238" s="639">
        <f t="shared" si="69"/>
        <v>2.431370997991833</v>
      </c>
      <c r="P238" s="539">
        <f t="shared" si="70"/>
        <v>48.627419959836658</v>
      </c>
      <c r="Q238" s="673">
        <f t="shared" si="71"/>
        <v>-43.372580040163342</v>
      </c>
      <c r="R238" s="630">
        <f>L241</f>
        <v>0.78559456877804368</v>
      </c>
      <c r="S238" s="639">
        <f t="shared" si="72"/>
        <v>4.862741995983666</v>
      </c>
      <c r="T238" s="539">
        <f t="shared" si="73"/>
        <v>97.254839919673316</v>
      </c>
      <c r="U238" s="673">
        <f t="shared" si="74"/>
        <v>5.2548399196733158</v>
      </c>
      <c r="W238" s="558"/>
    </row>
    <row r="239" spans="1:23" ht="15" customHeight="1" x14ac:dyDescent="0.25">
      <c r="A239" s="530"/>
      <c r="B239" s="546"/>
      <c r="C239" s="7">
        <v>-8.2999999999999989</v>
      </c>
      <c r="D239" s="535">
        <f t="shared" si="75"/>
        <v>8.2999999999999989</v>
      </c>
      <c r="G239" s="537">
        <v>50</v>
      </c>
      <c r="H239" s="779">
        <f t="shared" si="62"/>
        <v>117.5</v>
      </c>
      <c r="I239" s="537">
        <f>H239</f>
        <v>117.5</v>
      </c>
      <c r="J239" s="535">
        <f t="shared" si="76"/>
        <v>235</v>
      </c>
      <c r="K239" s="535">
        <f t="shared" si="77"/>
        <v>4.7</v>
      </c>
      <c r="L239" s="767">
        <f t="shared" si="63"/>
        <v>0.75928499743823863</v>
      </c>
      <c r="M239" s="630">
        <f t="shared" si="67"/>
        <v>0.52372971251869582</v>
      </c>
      <c r="N239" s="639">
        <f t="shared" si="68"/>
        <v>0.66666666666666674</v>
      </c>
      <c r="O239" s="639">
        <f t="shared" si="69"/>
        <v>3.2418279973224435</v>
      </c>
      <c r="P239" s="539">
        <f t="shared" si="70"/>
        <v>81.045699933061087</v>
      </c>
      <c r="Q239" s="673">
        <f t="shared" si="71"/>
        <v>-36.454300066938913</v>
      </c>
      <c r="R239" s="630">
        <f>L241</f>
        <v>0.78559456877804368</v>
      </c>
      <c r="S239" s="639">
        <f t="shared" si="72"/>
        <v>4.862741995983666</v>
      </c>
      <c r="T239" s="539">
        <f t="shared" si="73"/>
        <v>121.56854989959164</v>
      </c>
      <c r="U239" s="673">
        <f t="shared" si="74"/>
        <v>4.0685498995916447</v>
      </c>
      <c r="W239" s="558"/>
    </row>
    <row r="240" spans="1:23" ht="15" customHeight="1" x14ac:dyDescent="0.25">
      <c r="A240" s="530"/>
      <c r="B240" s="546"/>
      <c r="C240" s="7">
        <v>-10.799999999999999</v>
      </c>
      <c r="D240" s="535">
        <f t="shared" si="75"/>
        <v>10.799999999999999</v>
      </c>
      <c r="G240" s="537">
        <v>60</v>
      </c>
      <c r="H240" s="779">
        <f t="shared" si="62"/>
        <v>143</v>
      </c>
      <c r="I240" s="537">
        <f t="shared" si="66"/>
        <v>143</v>
      </c>
      <c r="J240" s="535">
        <f t="shared" si="76"/>
        <v>286</v>
      </c>
      <c r="K240" s="535">
        <f t="shared" si="77"/>
        <v>4.7666666666666666</v>
      </c>
      <c r="L240" s="767">
        <f t="shared" si="63"/>
        <v>0.77005499740190142</v>
      </c>
      <c r="M240" s="630">
        <f t="shared" si="67"/>
        <v>0.65466214064836969</v>
      </c>
      <c r="N240" s="639">
        <f t="shared" si="68"/>
        <v>0.83333333333333326</v>
      </c>
      <c r="O240" s="639">
        <f t="shared" si="69"/>
        <v>4.0522849966530536</v>
      </c>
      <c r="P240" s="539">
        <f t="shared" si="70"/>
        <v>121.5685498995916</v>
      </c>
      <c r="Q240" s="673">
        <f t="shared" si="71"/>
        <v>-21.431450100408398</v>
      </c>
      <c r="R240" s="630">
        <f>L241</f>
        <v>0.78559456877804368</v>
      </c>
      <c r="S240" s="639">
        <f t="shared" si="72"/>
        <v>4.862741995983666</v>
      </c>
      <c r="T240" s="539">
        <f t="shared" si="73"/>
        <v>145.88225987950997</v>
      </c>
      <c r="U240" s="673">
        <f t="shared" si="74"/>
        <v>2.8822598795099736</v>
      </c>
      <c r="W240" s="558"/>
    </row>
    <row r="241" spans="1:26" ht="15" customHeight="1" thickBot="1" x14ac:dyDescent="0.3">
      <c r="A241" s="530"/>
      <c r="B241" s="546"/>
      <c r="C241" s="640">
        <v>-23</v>
      </c>
      <c r="D241" s="535">
        <f t="shared" si="75"/>
        <v>23</v>
      </c>
      <c r="G241" s="574">
        <v>70</v>
      </c>
      <c r="H241" s="780">
        <f t="shared" si="62"/>
        <v>170.2</v>
      </c>
      <c r="I241" s="574">
        <f t="shared" si="66"/>
        <v>170.2</v>
      </c>
      <c r="J241" s="536">
        <f t="shared" si="76"/>
        <v>340.4</v>
      </c>
      <c r="K241" s="536">
        <f t="shared" si="77"/>
        <v>4.8628571428571421</v>
      </c>
      <c r="L241" s="769">
        <f t="shared" si="63"/>
        <v>0.78559456877804368</v>
      </c>
      <c r="M241" s="630">
        <f t="shared" si="67"/>
        <v>0.78559456877804368</v>
      </c>
      <c r="N241" s="639">
        <f t="shared" si="68"/>
        <v>1</v>
      </c>
      <c r="O241" s="639">
        <f t="shared" si="69"/>
        <v>4.862741995983666</v>
      </c>
      <c r="P241" s="539">
        <f t="shared" si="70"/>
        <v>170.19596985942832</v>
      </c>
      <c r="Q241" s="673">
        <f t="shared" si="71"/>
        <v>-4.0301405716718364E-3</v>
      </c>
      <c r="R241" s="630">
        <f>L241</f>
        <v>0.78559456877804368</v>
      </c>
      <c r="S241" s="639">
        <f t="shared" si="72"/>
        <v>4.862741995983666</v>
      </c>
      <c r="T241" s="539">
        <f t="shared" si="73"/>
        <v>170.19596985942832</v>
      </c>
      <c r="U241" s="673">
        <f t="shared" si="74"/>
        <v>-4.0301405716718364E-3</v>
      </c>
      <c r="W241" s="558"/>
    </row>
    <row r="242" spans="1:26" ht="15" customHeight="1" x14ac:dyDescent="0.25">
      <c r="A242" s="530"/>
      <c r="B242" s="546"/>
      <c r="C242" s="7">
        <v>-45.099999999999994</v>
      </c>
      <c r="D242" s="535">
        <f t="shared" si="75"/>
        <v>45.099999999999994</v>
      </c>
      <c r="G242" s="537"/>
      <c r="H242" s="535"/>
      <c r="I242" s="537"/>
      <c r="J242" s="535"/>
      <c r="K242" s="535"/>
      <c r="L242" s="662">
        <f>L237/L241</f>
        <v>0.9240109674892284</v>
      </c>
      <c r="M242" s="639"/>
      <c r="N242" s="639"/>
      <c r="W242" s="558"/>
    </row>
    <row r="243" spans="1:26" ht="15" customHeight="1" x14ac:dyDescent="0.25">
      <c r="A243" s="530"/>
      <c r="B243" s="546"/>
      <c r="C243" s="7">
        <v>-67.400000000000006</v>
      </c>
      <c r="D243" s="535">
        <f t="shared" si="75"/>
        <v>67.400000000000006</v>
      </c>
      <c r="G243" s="537"/>
      <c r="H243" s="535"/>
      <c r="I243" s="537"/>
      <c r="J243" s="535"/>
      <c r="K243" s="535"/>
      <c r="L243" s="578"/>
      <c r="M243" s="538"/>
      <c r="W243" s="558"/>
    </row>
    <row r="244" spans="1:26" ht="15" customHeight="1" x14ac:dyDescent="0.25">
      <c r="A244" s="530"/>
      <c r="B244" s="546"/>
      <c r="C244" s="7">
        <v>-92</v>
      </c>
      <c r="D244" s="535">
        <f t="shared" si="75"/>
        <v>92</v>
      </c>
      <c r="W244" s="558"/>
    </row>
    <row r="245" spans="1:26" ht="15" customHeight="1" x14ac:dyDescent="0.25">
      <c r="A245" s="530"/>
      <c r="B245" s="546"/>
      <c r="C245" s="7">
        <v>-117.5</v>
      </c>
      <c r="D245" s="535">
        <f t="shared" si="75"/>
        <v>117.5</v>
      </c>
      <c r="W245" s="558"/>
    </row>
    <row r="246" spans="1:26" ht="15" customHeight="1" x14ac:dyDescent="0.25">
      <c r="B246" s="546"/>
      <c r="C246" s="7">
        <v>-143</v>
      </c>
      <c r="D246" s="535">
        <f t="shared" si="75"/>
        <v>143</v>
      </c>
      <c r="Q246" s="629"/>
      <c r="R246" s="630"/>
      <c r="S246" s="630"/>
    </row>
    <row r="247" spans="1:26" ht="15" customHeight="1" x14ac:dyDescent="0.25">
      <c r="B247" s="546"/>
      <c r="C247" s="640">
        <v>-170.2</v>
      </c>
      <c r="D247" s="535">
        <f t="shared" si="75"/>
        <v>170.2</v>
      </c>
      <c r="F247" s="546"/>
      <c r="Q247" s="629"/>
      <c r="R247" s="630"/>
      <c r="S247" s="630"/>
    </row>
    <row r="248" spans="1:26" ht="15" customHeight="1" x14ac:dyDescent="0.25">
      <c r="F248" s="546"/>
      <c r="Q248" s="629"/>
      <c r="R248" s="630"/>
      <c r="S248" s="630"/>
    </row>
    <row r="249" spans="1:26" ht="15" customHeight="1" x14ac:dyDescent="0.25">
      <c r="F249" s="546"/>
      <c r="Q249" s="629"/>
      <c r="R249" s="630"/>
      <c r="S249" s="630"/>
    </row>
    <row r="250" spans="1:26" ht="15" customHeight="1" x14ac:dyDescent="0.25">
      <c r="F250" s="546"/>
      <c r="Q250" s="629"/>
      <c r="R250" s="630"/>
      <c r="S250" s="630"/>
    </row>
    <row r="251" spans="1:26" ht="15" customHeight="1" x14ac:dyDescent="0.25">
      <c r="F251" s="546"/>
      <c r="Q251" s="629"/>
      <c r="R251" s="630"/>
      <c r="S251" s="630"/>
    </row>
    <row r="252" spans="1:26" ht="15" customHeight="1" x14ac:dyDescent="0.25">
      <c r="F252" s="546"/>
      <c r="Q252" s="629"/>
      <c r="R252" s="630"/>
      <c r="S252" s="630"/>
    </row>
    <row r="253" spans="1:26" ht="15" customHeight="1" x14ac:dyDescent="0.25">
      <c r="F253" s="546"/>
      <c r="Q253" s="629"/>
      <c r="R253" s="630"/>
      <c r="S253" s="630"/>
    </row>
    <row r="254" spans="1:26" ht="15" customHeight="1" x14ac:dyDescent="0.25">
      <c r="F254" s="546"/>
      <c r="Q254" s="629"/>
      <c r="R254" s="630"/>
      <c r="S254" s="630"/>
    </row>
    <row r="255" spans="1:26" ht="15" customHeight="1" x14ac:dyDescent="0.25">
      <c r="Q255" s="629"/>
      <c r="R255" s="630"/>
      <c r="S255" s="630"/>
    </row>
    <row r="256" spans="1:26" ht="15" customHeight="1" thickBot="1" x14ac:dyDescent="0.3">
      <c r="B256" s="783"/>
      <c r="C256" s="783"/>
      <c r="D256" s="783"/>
      <c r="E256" s="783"/>
      <c r="F256" s="783"/>
      <c r="G256" s="783"/>
      <c r="H256" s="783"/>
      <c r="I256" s="783"/>
      <c r="J256" s="783"/>
      <c r="K256" s="783"/>
      <c r="L256" s="783"/>
      <c r="M256" s="783"/>
      <c r="N256" s="783"/>
      <c r="O256" s="783"/>
      <c r="P256" s="783"/>
      <c r="Q256" s="784"/>
      <c r="R256" s="785"/>
      <c r="S256" s="785"/>
      <c r="T256" s="783"/>
      <c r="U256" s="783"/>
      <c r="V256" s="783"/>
      <c r="W256" s="783"/>
      <c r="X256" s="783"/>
      <c r="Y256" s="783"/>
      <c r="Z256" s="783"/>
    </row>
    <row r="257" spans="2:69" ht="15" customHeight="1" thickTop="1" x14ac:dyDescent="0.25">
      <c r="B257" s="546"/>
      <c r="C257" s="530"/>
      <c r="Q257" s="629"/>
      <c r="R257" s="630"/>
      <c r="S257" s="630"/>
    </row>
    <row r="258" spans="2:69" ht="15" customHeight="1" x14ac:dyDescent="0.3">
      <c r="B258" s="788" t="s">
        <v>353</v>
      </c>
      <c r="C258" s="548"/>
      <c r="Q258" s="629"/>
      <c r="R258" s="630"/>
      <c r="S258" s="630"/>
    </row>
    <row r="259" spans="2:69" ht="15" customHeight="1" x14ac:dyDescent="0.3">
      <c r="B259" s="546"/>
      <c r="C259" s="431" t="s">
        <v>420</v>
      </c>
      <c r="Q259" s="629"/>
      <c r="R259" s="630"/>
      <c r="S259" s="630"/>
    </row>
    <row r="260" spans="2:69" ht="15" customHeight="1" x14ac:dyDescent="0.3">
      <c r="B260" s="546"/>
      <c r="C260" s="431" t="s">
        <v>423</v>
      </c>
      <c r="Q260" s="629"/>
      <c r="R260" s="630"/>
      <c r="S260" s="630"/>
    </row>
    <row r="261" spans="2:69" ht="15" customHeight="1" x14ac:dyDescent="0.3">
      <c r="B261" s="546"/>
      <c r="C261" s="431" t="s">
        <v>421</v>
      </c>
      <c r="D261" s="530"/>
      <c r="Q261" s="629"/>
      <c r="R261" s="630"/>
      <c r="S261" s="630"/>
    </row>
    <row r="262" spans="2:69" ht="15" customHeight="1" x14ac:dyDescent="0.25">
      <c r="B262" s="546"/>
      <c r="Q262" s="629"/>
      <c r="R262" s="630"/>
      <c r="S262" s="630"/>
    </row>
    <row r="263" spans="2:69" ht="15" customHeight="1" x14ac:dyDescent="0.25">
      <c r="B263" s="546"/>
      <c r="C263" s="530"/>
      <c r="Q263" s="629"/>
      <c r="R263" s="630"/>
      <c r="S263" s="630"/>
    </row>
    <row r="264" spans="2:69" ht="15" customHeight="1" x14ac:dyDescent="0.25">
      <c r="B264" s="546"/>
      <c r="C264" s="530" t="s">
        <v>352</v>
      </c>
      <c r="Q264" s="629"/>
      <c r="R264" s="630"/>
      <c r="S264" s="630"/>
    </row>
    <row r="265" spans="2:69" ht="15" customHeight="1" x14ac:dyDescent="0.25">
      <c r="B265" s="546"/>
      <c r="C265" s="530"/>
      <c r="Q265" s="629"/>
      <c r="R265" s="630"/>
      <c r="S265" s="630"/>
    </row>
    <row r="266" spans="2:69" ht="15" customHeight="1" x14ac:dyDescent="0.25">
      <c r="Q266" s="629"/>
      <c r="R266" s="630"/>
      <c r="S266" s="630"/>
    </row>
    <row r="267" spans="2:69" ht="15" customHeight="1" x14ac:dyDescent="0.25">
      <c r="Q267" s="629"/>
      <c r="R267" s="630"/>
      <c r="S267" s="630"/>
      <c r="T267" s="533"/>
    </row>
    <row r="268" spans="2:69" ht="15" customHeight="1" x14ac:dyDescent="0.25">
      <c r="Q268" s="629"/>
      <c r="R268" s="630"/>
      <c r="S268" s="630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</row>
    <row r="269" spans="2:69" ht="15" customHeight="1" x14ac:dyDescent="0.25">
      <c r="O269" s="530"/>
      <c r="Q269" s="629"/>
      <c r="R269" s="630"/>
      <c r="S269" s="630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</row>
    <row r="270" spans="2:69" ht="15" customHeight="1" x14ac:dyDescent="0.25">
      <c r="B270" s="546"/>
      <c r="D270" s="530"/>
      <c r="H270" s="551" t="s">
        <v>409</v>
      </c>
      <c r="I270" s="552"/>
      <c r="J270" s="552"/>
      <c r="K270" s="552"/>
      <c r="L270" s="552"/>
      <c r="M270" s="562"/>
      <c r="Q270" s="629"/>
      <c r="R270" s="63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</row>
    <row r="271" spans="2:69" ht="15" customHeight="1" x14ac:dyDescent="0.25">
      <c r="B271" s="546"/>
      <c r="C271" s="530"/>
      <c r="D271" s="530"/>
      <c r="H271" s="559" t="s">
        <v>279</v>
      </c>
      <c r="I271" s="556"/>
      <c r="J271" s="556"/>
      <c r="K271" s="556"/>
      <c r="L271" s="556"/>
      <c r="M271" s="653"/>
      <c r="P271" s="745" t="s">
        <v>320</v>
      </c>
      <c r="Q271" s="629"/>
      <c r="R271" s="630"/>
      <c r="S271" s="630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</row>
    <row r="272" spans="2:69" ht="15" customHeight="1" x14ac:dyDescent="0.25">
      <c r="B272" s="546"/>
      <c r="C272" s="530"/>
      <c r="H272" s="537"/>
      <c r="P272" s="763" t="s">
        <v>319</v>
      </c>
      <c r="Q272" s="629"/>
      <c r="R272" s="630"/>
      <c r="S272" s="630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</row>
    <row r="273" spans="1:71" ht="15" customHeight="1" thickBot="1" x14ac:dyDescent="0.3">
      <c r="A273" s="530"/>
      <c r="B273" s="546"/>
      <c r="C273" s="530"/>
      <c r="I273" s="560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S273" s="545" t="s">
        <v>328</v>
      </c>
    </row>
    <row r="274" spans="1:71" ht="15" customHeight="1" x14ac:dyDescent="0.25">
      <c r="A274" s="530"/>
      <c r="B274" s="546"/>
      <c r="C274" s="561" t="s">
        <v>15</v>
      </c>
      <c r="D274" s="552"/>
      <c r="E274" s="562"/>
      <c r="G274" s="633"/>
      <c r="H274" s="663"/>
      <c r="I274" s="663" t="s">
        <v>282</v>
      </c>
      <c r="J274" s="634"/>
      <c r="K274" s="664" t="s">
        <v>111</v>
      </c>
      <c r="L274" s="636"/>
      <c r="M274" s="633" t="s">
        <v>411</v>
      </c>
      <c r="N274" s="634"/>
      <c r="O274" s="635" t="s">
        <v>111</v>
      </c>
      <c r="P274" s="76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</row>
    <row r="275" spans="1:71" ht="15" customHeight="1" x14ac:dyDescent="0.25">
      <c r="A275" s="530"/>
      <c r="B275" s="546"/>
      <c r="C275" s="565" t="s">
        <v>61</v>
      </c>
      <c r="D275" s="566" t="s">
        <v>19</v>
      </c>
      <c r="E275" s="528">
        <v>0.9</v>
      </c>
      <c r="G275" s="637" t="s">
        <v>2</v>
      </c>
      <c r="H275" s="568"/>
      <c r="I275" s="568" t="s">
        <v>250</v>
      </c>
      <c r="J275" s="568" t="s">
        <v>133</v>
      </c>
      <c r="K275" s="568" t="s">
        <v>127</v>
      </c>
      <c r="L275" s="638" t="s">
        <v>128</v>
      </c>
      <c r="M275" s="534">
        <v>0.89100000000000001</v>
      </c>
      <c r="N275" s="568" t="s">
        <v>133</v>
      </c>
      <c r="O275" s="568" t="s">
        <v>127</v>
      </c>
      <c r="P275" s="770" t="s">
        <v>415</v>
      </c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</row>
    <row r="276" spans="1:71" ht="15" customHeight="1" x14ac:dyDescent="0.25">
      <c r="A276" s="530"/>
      <c r="B276" s="546"/>
      <c r="C276" s="565" t="s">
        <v>62</v>
      </c>
      <c r="D276" s="566" t="s">
        <v>20</v>
      </c>
      <c r="E276" s="528">
        <v>0.96</v>
      </c>
      <c r="G276" s="607">
        <v>1</v>
      </c>
      <c r="H276" s="529"/>
      <c r="I276" s="667">
        <f>I230</f>
        <v>0</v>
      </c>
      <c r="J276" s="667">
        <f>I276*2</f>
        <v>0</v>
      </c>
      <c r="K276" s="529">
        <f>(J276/$G276)</f>
        <v>0</v>
      </c>
      <c r="L276" s="541">
        <f t="shared" ref="L276:L287" si="78">SQRT(12*32.2*K276^2/(4*$E$278*($E$276*56)*$E$275^2))</f>
        <v>0</v>
      </c>
      <c r="M276" s="612">
        <f>I276*M$275</f>
        <v>0</v>
      </c>
      <c r="N276" s="667">
        <f>M276*2</f>
        <v>0</v>
      </c>
      <c r="O276" s="529">
        <f t="shared" ref="O276:O287" si="79">(N276/$G276)</f>
        <v>0</v>
      </c>
      <c r="P276" s="766">
        <f t="shared" ref="P276:P287" si="80">SQRT(12*32.2*O276^2/(4*$E$278*($E$276*56)*$E$275^2))</f>
        <v>0</v>
      </c>
      <c r="Y276" s="675" t="s">
        <v>361</v>
      </c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</row>
    <row r="277" spans="1:71" ht="15" customHeight="1" x14ac:dyDescent="0.25">
      <c r="A277" s="530"/>
      <c r="B277" s="546"/>
      <c r="C277" s="565" t="s">
        <v>356</v>
      </c>
      <c r="E277" s="665">
        <f>(E276*2.20462*25.4*12)</f>
        <v>645.0894489599998</v>
      </c>
      <c r="G277" s="595">
        <v>2</v>
      </c>
      <c r="H277" s="535"/>
      <c r="I277" s="539">
        <f t="shared" ref="I277:I287" si="81">I231</f>
        <v>0</v>
      </c>
      <c r="J277" s="539">
        <f t="shared" ref="J277:J287" si="82">I277*2</f>
        <v>0</v>
      </c>
      <c r="K277" s="535">
        <f t="shared" ref="K277:K286" si="83">(J277/$G277)</f>
        <v>0</v>
      </c>
      <c r="L277" s="542">
        <f t="shared" si="78"/>
        <v>0</v>
      </c>
      <c r="M277" s="613">
        <f t="shared" ref="M277:M287" si="84">I277*M$275</f>
        <v>0</v>
      </c>
      <c r="N277" s="539">
        <f t="shared" ref="N277:N282" si="85">M277*2</f>
        <v>0</v>
      </c>
      <c r="O277" s="535">
        <f t="shared" si="79"/>
        <v>0</v>
      </c>
      <c r="P277" s="767">
        <f t="shared" si="80"/>
        <v>0</v>
      </c>
      <c r="V277" s="537" t="s">
        <v>359</v>
      </c>
      <c r="W277" s="537" t="s">
        <v>359</v>
      </c>
      <c r="X277" s="537" t="s">
        <v>359</v>
      </c>
      <c r="Y277" s="676" t="s">
        <v>359</v>
      </c>
      <c r="AF277" s="751"/>
      <c r="AG277" s="752"/>
      <c r="AH277" s="752"/>
      <c r="AI277" s="733"/>
      <c r="AJ277" s="733"/>
      <c r="AK277" s="733"/>
      <c r="AL277" s="733"/>
      <c r="AM277" s="733"/>
      <c r="AN277" s="733"/>
      <c r="AO277" s="733"/>
      <c r="AP277" s="733"/>
      <c r="AQ277" s="733"/>
      <c r="AR277" s="733"/>
      <c r="AS277" s="733"/>
      <c r="AT277" s="734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</row>
    <row r="278" spans="1:71" ht="15" customHeight="1" x14ac:dyDescent="0.25">
      <c r="A278" s="530"/>
      <c r="B278" s="546"/>
      <c r="C278" s="571" t="s">
        <v>59</v>
      </c>
      <c r="D278" s="572" t="s">
        <v>28</v>
      </c>
      <c r="E278" s="573">
        <v>85</v>
      </c>
      <c r="G278" s="616">
        <v>3</v>
      </c>
      <c r="H278" s="536"/>
      <c r="I278" s="668">
        <f t="shared" si="81"/>
        <v>0</v>
      </c>
      <c r="J278" s="668">
        <f t="shared" si="82"/>
        <v>0</v>
      </c>
      <c r="K278" s="536">
        <f t="shared" si="83"/>
        <v>0</v>
      </c>
      <c r="L278" s="543">
        <f t="shared" si="78"/>
        <v>0</v>
      </c>
      <c r="M278" s="620">
        <f t="shared" si="84"/>
        <v>0</v>
      </c>
      <c r="N278" s="668">
        <f>M278*2</f>
        <v>0</v>
      </c>
      <c r="O278" s="536">
        <f t="shared" si="79"/>
        <v>0</v>
      </c>
      <c r="P278" s="768">
        <f t="shared" si="80"/>
        <v>0</v>
      </c>
      <c r="U278" s="675" t="s">
        <v>361</v>
      </c>
      <c r="V278" s="558" t="s">
        <v>360</v>
      </c>
      <c r="W278" s="558" t="s">
        <v>360</v>
      </c>
      <c r="X278" s="558" t="s">
        <v>360</v>
      </c>
      <c r="Y278" s="675" t="s">
        <v>360</v>
      </c>
      <c r="AF278" s="737"/>
      <c r="AI278"/>
      <c r="AJ278"/>
      <c r="AK278"/>
      <c r="AL278"/>
      <c r="AM278"/>
      <c r="AN278"/>
      <c r="AO278"/>
      <c r="AP278"/>
      <c r="AQ278"/>
      <c r="AR278"/>
      <c r="AS278"/>
      <c r="AT278" s="736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</row>
    <row r="279" spans="1:71" ht="15" customHeight="1" x14ac:dyDescent="0.25">
      <c r="A279" s="530"/>
      <c r="B279" s="546"/>
      <c r="C279" s="546" t="s">
        <v>286</v>
      </c>
      <c r="G279" s="595">
        <v>4</v>
      </c>
      <c r="H279" s="535"/>
      <c r="I279" s="539">
        <f t="shared" si="81"/>
        <v>0</v>
      </c>
      <c r="J279" s="539">
        <f t="shared" si="82"/>
        <v>0</v>
      </c>
      <c r="K279" s="535">
        <f t="shared" si="83"/>
        <v>0</v>
      </c>
      <c r="L279" s="542">
        <f t="shared" si="78"/>
        <v>0</v>
      </c>
      <c r="M279" s="613">
        <f t="shared" si="84"/>
        <v>0</v>
      </c>
      <c r="N279" s="539">
        <f t="shared" si="85"/>
        <v>0</v>
      </c>
      <c r="O279" s="535">
        <f t="shared" si="79"/>
        <v>0</v>
      </c>
      <c r="P279" s="767">
        <f t="shared" si="80"/>
        <v>0</v>
      </c>
      <c r="R279" s="537" t="s">
        <v>354</v>
      </c>
      <c r="S279" s="537" t="s">
        <v>357</v>
      </c>
      <c r="T279" s="537"/>
      <c r="U279" s="676" t="s">
        <v>295</v>
      </c>
      <c r="V279" s="537" t="s">
        <v>267</v>
      </c>
      <c r="W279" s="537" t="s">
        <v>267</v>
      </c>
      <c r="X279" s="537" t="s">
        <v>267</v>
      </c>
      <c r="Y279" s="676" t="s">
        <v>267</v>
      </c>
      <c r="AF279" s="737"/>
      <c r="AI279"/>
      <c r="AJ279"/>
      <c r="AK279"/>
      <c r="AL279"/>
      <c r="AM279"/>
      <c r="AN279"/>
      <c r="AO279"/>
      <c r="AP279"/>
      <c r="AQ279"/>
      <c r="AR279"/>
      <c r="AS279"/>
      <c r="AT279" s="736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</row>
    <row r="280" spans="1:71" ht="15" customHeight="1" x14ac:dyDescent="0.25">
      <c r="A280" s="530"/>
      <c r="B280" s="546"/>
      <c r="G280" s="595">
        <v>5</v>
      </c>
      <c r="H280" s="535"/>
      <c r="I280" s="539">
        <f t="shared" si="81"/>
        <v>0</v>
      </c>
      <c r="J280" s="539">
        <f t="shared" si="82"/>
        <v>0</v>
      </c>
      <c r="K280" s="535">
        <f t="shared" si="83"/>
        <v>0</v>
      </c>
      <c r="L280" s="542">
        <f t="shared" si="78"/>
        <v>0</v>
      </c>
      <c r="M280" s="613">
        <f t="shared" si="84"/>
        <v>0</v>
      </c>
      <c r="N280" s="539">
        <f t="shared" si="85"/>
        <v>0</v>
      </c>
      <c r="O280" s="535">
        <f t="shared" si="79"/>
        <v>0</v>
      </c>
      <c r="P280" s="767">
        <f t="shared" si="80"/>
        <v>0</v>
      </c>
      <c r="Q280" s="550" t="s">
        <v>412</v>
      </c>
      <c r="R280" s="550" t="s">
        <v>355</v>
      </c>
      <c r="S280" s="550" t="s">
        <v>26</v>
      </c>
      <c r="T280" s="666" t="s">
        <v>418</v>
      </c>
      <c r="U280" s="677" t="s">
        <v>358</v>
      </c>
      <c r="V280" s="558" t="s">
        <v>410</v>
      </c>
      <c r="W280" s="550" t="s">
        <v>26</v>
      </c>
      <c r="X280" s="666" t="s">
        <v>288</v>
      </c>
      <c r="Y280" s="677" t="s">
        <v>358</v>
      </c>
      <c r="AF280" s="737"/>
      <c r="AI280"/>
      <c r="AJ280"/>
      <c r="AK280"/>
      <c r="AL280"/>
      <c r="AM280"/>
      <c r="AN280"/>
      <c r="AO280"/>
      <c r="AP280"/>
      <c r="AQ280"/>
      <c r="AR280"/>
      <c r="AS280"/>
      <c r="AT280" s="736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</row>
    <row r="281" spans="1:71" ht="15" customHeight="1" x14ac:dyDescent="0.25">
      <c r="A281" s="530"/>
      <c r="B281" s="546"/>
      <c r="G281" s="616">
        <v>10</v>
      </c>
      <c r="H281" s="536"/>
      <c r="I281" s="668">
        <f t="shared" si="81"/>
        <v>0</v>
      </c>
      <c r="J281" s="668">
        <f t="shared" si="82"/>
        <v>0</v>
      </c>
      <c r="K281" s="536">
        <f t="shared" si="83"/>
        <v>0</v>
      </c>
      <c r="L281" s="543">
        <f t="shared" si="78"/>
        <v>0</v>
      </c>
      <c r="M281" s="620">
        <f>I281*M$275</f>
        <v>0</v>
      </c>
      <c r="N281" s="668">
        <f t="shared" si="85"/>
        <v>0</v>
      </c>
      <c r="O281" s="536">
        <f t="shared" si="79"/>
        <v>0</v>
      </c>
      <c r="P281" s="768">
        <f t="shared" si="80"/>
        <v>0</v>
      </c>
      <c r="Q281" s="630">
        <f>((P$287-P$281)/6*(G281-G$281)/10+P$281)</f>
        <v>0</v>
      </c>
      <c r="R281" s="639">
        <f>Q281/P$287</f>
        <v>0</v>
      </c>
      <c r="S281" s="639">
        <f>($Q281*$E$275*SQRT(4*$E$278*$E$277/32.2)/12)</f>
        <v>0</v>
      </c>
      <c r="T281" s="539">
        <f>(S281*G281)/2</f>
        <v>0</v>
      </c>
      <c r="U281" s="673">
        <f>T281-M281</f>
        <v>0</v>
      </c>
      <c r="V281" s="630">
        <f>P287</f>
        <v>0.69996476078123704</v>
      </c>
      <c r="W281" s="639">
        <f>($V281*$E$275*SQRT(4*$E$278*$E$277/32.2)/12)</f>
        <v>4.3327031184214464</v>
      </c>
      <c r="X281" s="539">
        <f>(W281*G281)/2</f>
        <v>21.663515592107231</v>
      </c>
      <c r="Y281" s="673">
        <f>X281-M281</f>
        <v>21.663515592107231</v>
      </c>
      <c r="AF281" s="737"/>
      <c r="AI281"/>
      <c r="AJ281"/>
      <c r="AK281"/>
      <c r="AL281"/>
      <c r="AM281"/>
      <c r="AN281"/>
      <c r="AO281"/>
      <c r="AP281"/>
      <c r="AQ281"/>
      <c r="AR281"/>
      <c r="AS281"/>
      <c r="AT281" s="736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</row>
    <row r="282" spans="1:71" ht="15" customHeight="1" x14ac:dyDescent="0.25">
      <c r="A282" s="530"/>
      <c r="B282" s="546"/>
      <c r="G282" s="595">
        <v>20</v>
      </c>
      <c r="H282" s="535"/>
      <c r="I282" s="539">
        <f t="shared" si="81"/>
        <v>45.099999999999994</v>
      </c>
      <c r="J282" s="539">
        <f t="shared" si="82"/>
        <v>90.199999999999989</v>
      </c>
      <c r="K282" s="535">
        <f t="shared" si="83"/>
        <v>4.51</v>
      </c>
      <c r="L282" s="542">
        <f t="shared" si="78"/>
        <v>0.72859049754179905</v>
      </c>
      <c r="M282" s="613">
        <f t="shared" si="84"/>
        <v>40.184099999999994</v>
      </c>
      <c r="N282" s="539">
        <f t="shared" si="85"/>
        <v>80.368199999999987</v>
      </c>
      <c r="O282" s="535">
        <f t="shared" si="79"/>
        <v>4.0184099999999994</v>
      </c>
      <c r="P282" s="767">
        <f t="shared" si="80"/>
        <v>0.64917413330974283</v>
      </c>
      <c r="Q282" s="630">
        <f t="shared" ref="Q282:Q287" si="86">((P$287-P$281)/6*(G282-G$281)/10+P$281)</f>
        <v>0.1166607934635395</v>
      </c>
      <c r="R282" s="639">
        <f t="shared" ref="R282:R287" si="87">Q282/P$287</f>
        <v>0.16666666666666666</v>
      </c>
      <c r="S282" s="639">
        <f t="shared" ref="S282:S287" si="88">($Q282*$E$275*SQRT(4*$E$278*$E$277/32.2)/12)</f>
        <v>0.72211718640357436</v>
      </c>
      <c r="T282" s="539">
        <f t="shared" ref="T282:T287" si="89">(S282*G282)/2</f>
        <v>7.2211718640357434</v>
      </c>
      <c r="U282" s="673">
        <f t="shared" ref="U282:U287" si="90">T282-M282</f>
        <v>-32.962928135964248</v>
      </c>
      <c r="V282" s="630">
        <f>P287</f>
        <v>0.69996476078123704</v>
      </c>
      <c r="W282" s="639">
        <f t="shared" ref="W282:W287" si="91">($V282*$E$275*SQRT(4*$E$278*$E$277/32.2)/12)</f>
        <v>4.3327031184214464</v>
      </c>
      <c r="X282" s="539">
        <f t="shared" ref="X282:X287" si="92">(W282*G282)/2</f>
        <v>43.327031184214462</v>
      </c>
      <c r="Y282" s="673">
        <f t="shared" ref="Y282" si="93">X282-M282</f>
        <v>3.1429311842144685</v>
      </c>
      <c r="AF282" s="737"/>
      <c r="AI282"/>
      <c r="AJ282"/>
      <c r="AK282"/>
      <c r="AL282"/>
      <c r="AM282"/>
      <c r="AN282"/>
      <c r="AO282"/>
      <c r="AP282"/>
      <c r="AQ282"/>
      <c r="AR282"/>
      <c r="AS282"/>
      <c r="AT282" s="736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</row>
    <row r="283" spans="1:71" ht="15" customHeight="1" x14ac:dyDescent="0.25">
      <c r="A283" s="530"/>
      <c r="B283" s="546"/>
      <c r="G283" s="616">
        <v>30</v>
      </c>
      <c r="H283" s="536"/>
      <c r="I283" s="668">
        <f t="shared" si="81"/>
        <v>67.400000000000006</v>
      </c>
      <c r="J283" s="668">
        <f t="shared" si="82"/>
        <v>134.80000000000001</v>
      </c>
      <c r="K283" s="536">
        <f t="shared" si="83"/>
        <v>4.4933333333333341</v>
      </c>
      <c r="L283" s="543">
        <f t="shared" si="78"/>
        <v>0.72589799755088336</v>
      </c>
      <c r="M283" s="620">
        <f t="shared" si="84"/>
        <v>60.053400000000003</v>
      </c>
      <c r="N283" s="668">
        <f>M283*2</f>
        <v>120.10680000000001</v>
      </c>
      <c r="O283" s="536">
        <f t="shared" si="79"/>
        <v>4.0035600000000002</v>
      </c>
      <c r="P283" s="768">
        <f t="shared" si="80"/>
        <v>0.64677511581783709</v>
      </c>
      <c r="Q283" s="630">
        <f t="shared" si="86"/>
        <v>0.23332158692707899</v>
      </c>
      <c r="R283" s="674">
        <f>Q283/P$287</f>
        <v>0.33333333333333331</v>
      </c>
      <c r="S283" s="639">
        <f t="shared" si="88"/>
        <v>1.4442343728071487</v>
      </c>
      <c r="T283" s="539">
        <f t="shared" si="89"/>
        <v>21.663515592107231</v>
      </c>
      <c r="U283" s="680">
        <f>T283-M283</f>
        <v>-38.389884407892772</v>
      </c>
      <c r="V283" s="630">
        <f>P287</f>
        <v>0.69996476078123704</v>
      </c>
      <c r="W283" s="639">
        <f t="shared" si="91"/>
        <v>4.3327031184214464</v>
      </c>
      <c r="X283" s="539">
        <f t="shared" si="92"/>
        <v>64.990546776321693</v>
      </c>
      <c r="Y283" s="680">
        <f>X283-M283</f>
        <v>4.9371467763216899</v>
      </c>
      <c r="AF283" s="737"/>
      <c r="AI283"/>
      <c r="AJ283"/>
      <c r="AK283"/>
      <c r="AL283"/>
      <c r="AM283"/>
      <c r="AN283"/>
      <c r="AO283"/>
      <c r="AP283"/>
      <c r="AQ283"/>
      <c r="AR283"/>
      <c r="AS283"/>
      <c r="AT283" s="736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</row>
    <row r="284" spans="1:71" ht="15" customHeight="1" x14ac:dyDescent="0.25">
      <c r="A284" s="530"/>
      <c r="B284" s="546"/>
      <c r="G284" s="595">
        <v>40</v>
      </c>
      <c r="H284" s="535"/>
      <c r="I284" s="539">
        <f t="shared" si="81"/>
        <v>92</v>
      </c>
      <c r="J284" s="539">
        <f t="shared" si="82"/>
        <v>184</v>
      </c>
      <c r="K284" s="535">
        <f t="shared" si="83"/>
        <v>4.5999999999999996</v>
      </c>
      <c r="L284" s="542">
        <f t="shared" si="78"/>
        <v>0.743129997492744</v>
      </c>
      <c r="M284" s="613">
        <f t="shared" si="84"/>
        <v>81.972000000000008</v>
      </c>
      <c r="N284" s="539">
        <f t="shared" ref="N284:N287" si="94">M284*2</f>
        <v>163.94400000000002</v>
      </c>
      <c r="O284" s="535">
        <f t="shared" si="79"/>
        <v>4.0986000000000002</v>
      </c>
      <c r="P284" s="767">
        <f t="shared" si="80"/>
        <v>0.66212882776603499</v>
      </c>
      <c r="Q284" s="630">
        <f t="shared" si="86"/>
        <v>0.34998238039061852</v>
      </c>
      <c r="R284" s="639">
        <f t="shared" si="87"/>
        <v>0.5</v>
      </c>
      <c r="S284" s="639">
        <f t="shared" si="88"/>
        <v>2.1663515592107232</v>
      </c>
      <c r="T284" s="539">
        <f t="shared" si="89"/>
        <v>43.327031184214462</v>
      </c>
      <c r="U284" s="673">
        <f t="shared" si="90"/>
        <v>-38.644968815785546</v>
      </c>
      <c r="V284" s="630">
        <f>P287</f>
        <v>0.69996476078123704</v>
      </c>
      <c r="W284" s="639">
        <f t="shared" si="91"/>
        <v>4.3327031184214464</v>
      </c>
      <c r="X284" s="539">
        <f t="shared" si="92"/>
        <v>86.654062368428924</v>
      </c>
      <c r="Y284" s="673">
        <f t="shared" ref="Y284:Y287" si="95">X284-M284</f>
        <v>4.682062368428916</v>
      </c>
      <c r="AF284" s="737"/>
      <c r="AI284"/>
      <c r="AJ284"/>
      <c r="AK284"/>
      <c r="AL284"/>
      <c r="AM284"/>
      <c r="AN284"/>
      <c r="AO284"/>
      <c r="AP284"/>
      <c r="AQ284"/>
      <c r="AR284"/>
      <c r="AS284"/>
      <c r="AT284" s="736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</row>
    <row r="285" spans="1:71" ht="15" customHeight="1" x14ac:dyDescent="0.25">
      <c r="A285" s="530"/>
      <c r="B285" s="546"/>
      <c r="G285" s="595">
        <v>50</v>
      </c>
      <c r="H285" s="535"/>
      <c r="I285" s="539">
        <f t="shared" si="81"/>
        <v>117.5</v>
      </c>
      <c r="J285" s="539">
        <f t="shared" si="82"/>
        <v>235</v>
      </c>
      <c r="K285" s="535">
        <f t="shared" si="83"/>
        <v>4.7</v>
      </c>
      <c r="L285" s="542">
        <f t="shared" si="78"/>
        <v>0.75928499743823863</v>
      </c>
      <c r="M285" s="613">
        <f t="shared" si="84"/>
        <v>104.6925</v>
      </c>
      <c r="N285" s="539">
        <f t="shared" si="94"/>
        <v>209.38499999999999</v>
      </c>
      <c r="O285" s="535">
        <f t="shared" si="79"/>
        <v>4.1876999999999995</v>
      </c>
      <c r="P285" s="767">
        <f t="shared" si="80"/>
        <v>0.67652293271747044</v>
      </c>
      <c r="Q285" s="630">
        <f t="shared" si="86"/>
        <v>0.46664317385415799</v>
      </c>
      <c r="R285" s="639">
        <f t="shared" si="87"/>
        <v>0.66666666666666663</v>
      </c>
      <c r="S285" s="639">
        <f t="shared" si="88"/>
        <v>2.8884687456142975</v>
      </c>
      <c r="T285" s="539">
        <f t="shared" si="89"/>
        <v>72.211718640357432</v>
      </c>
      <c r="U285" s="673">
        <f t="shared" si="90"/>
        <v>-32.480781359642563</v>
      </c>
      <c r="V285" s="630">
        <f>P287</f>
        <v>0.69996476078123704</v>
      </c>
      <c r="W285" s="639">
        <f t="shared" si="91"/>
        <v>4.3327031184214464</v>
      </c>
      <c r="X285" s="539">
        <f t="shared" si="92"/>
        <v>108.31757796053616</v>
      </c>
      <c r="Y285" s="673">
        <f t="shared" si="95"/>
        <v>3.62507796053616</v>
      </c>
      <c r="AF285" s="737"/>
      <c r="AI285"/>
      <c r="AJ285"/>
      <c r="AK285"/>
      <c r="AL285"/>
      <c r="AM285"/>
      <c r="AN285"/>
      <c r="AO285"/>
      <c r="AP285"/>
      <c r="AQ285"/>
      <c r="AR285"/>
      <c r="AS285"/>
      <c r="AT285" s="736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</row>
    <row r="286" spans="1:71" ht="15" customHeight="1" x14ac:dyDescent="0.25">
      <c r="A286" s="530"/>
      <c r="B286" s="546"/>
      <c r="G286" s="595">
        <v>60</v>
      </c>
      <c r="H286" s="535"/>
      <c r="I286" s="539">
        <f t="shared" si="81"/>
        <v>143</v>
      </c>
      <c r="J286" s="539">
        <f t="shared" si="82"/>
        <v>286</v>
      </c>
      <c r="K286" s="535">
        <f t="shared" si="83"/>
        <v>4.7666666666666666</v>
      </c>
      <c r="L286" s="542">
        <f t="shared" si="78"/>
        <v>0.77005499740190142</v>
      </c>
      <c r="M286" s="613">
        <f t="shared" si="84"/>
        <v>127.413</v>
      </c>
      <c r="N286" s="539">
        <f t="shared" si="94"/>
        <v>254.82599999999999</v>
      </c>
      <c r="O286" s="535">
        <f t="shared" si="79"/>
        <v>4.2470999999999997</v>
      </c>
      <c r="P286" s="767">
        <f t="shared" si="80"/>
        <v>0.68611900268509418</v>
      </c>
      <c r="Q286" s="630">
        <f t="shared" si="86"/>
        <v>0.58330396731769762</v>
      </c>
      <c r="R286" s="639">
        <f t="shared" si="87"/>
        <v>0.83333333333333348</v>
      </c>
      <c r="S286" s="639">
        <f t="shared" si="88"/>
        <v>3.6105859320178726</v>
      </c>
      <c r="T286" s="539">
        <f t="shared" si="89"/>
        <v>108.31757796053618</v>
      </c>
      <c r="U286" s="673">
        <f t="shared" si="90"/>
        <v>-19.095422039463813</v>
      </c>
      <c r="V286" s="630">
        <f>P287</f>
        <v>0.69996476078123704</v>
      </c>
      <c r="W286" s="639">
        <f t="shared" si="91"/>
        <v>4.3327031184214464</v>
      </c>
      <c r="X286" s="539">
        <f t="shared" si="92"/>
        <v>129.98109355264339</v>
      </c>
      <c r="Y286" s="673">
        <f t="shared" si="95"/>
        <v>2.5680935526433899</v>
      </c>
      <c r="AF286" s="737"/>
      <c r="AI286"/>
      <c r="AJ286"/>
      <c r="AK286"/>
      <c r="AL286"/>
      <c r="AM286"/>
      <c r="AN286"/>
      <c r="AO286"/>
      <c r="AP286"/>
      <c r="AQ286"/>
      <c r="AR286"/>
      <c r="AS286"/>
      <c r="AT286" s="73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</row>
    <row r="287" spans="1:71" ht="15" customHeight="1" thickBot="1" x14ac:dyDescent="0.3">
      <c r="A287" s="530"/>
      <c r="G287" s="621">
        <v>70</v>
      </c>
      <c r="H287" s="540"/>
      <c r="I287" s="669">
        <f t="shared" si="81"/>
        <v>170.2</v>
      </c>
      <c r="J287" s="669">
        <f t="shared" si="82"/>
        <v>340.4</v>
      </c>
      <c r="K287" s="540">
        <f>(J287/$G287)</f>
        <v>4.8628571428571421</v>
      </c>
      <c r="L287" s="544">
        <f t="shared" si="78"/>
        <v>0.78559456877804368</v>
      </c>
      <c r="M287" s="626">
        <f t="shared" si="84"/>
        <v>151.6482</v>
      </c>
      <c r="N287" s="669">
        <f t="shared" si="94"/>
        <v>303.29640000000001</v>
      </c>
      <c r="O287" s="540">
        <f t="shared" si="79"/>
        <v>4.3328057142857146</v>
      </c>
      <c r="P287" s="769">
        <f t="shared" si="80"/>
        <v>0.69996476078123704</v>
      </c>
      <c r="Q287" s="630">
        <f t="shared" si="86"/>
        <v>0.69996476078123704</v>
      </c>
      <c r="R287" s="639">
        <f t="shared" si="87"/>
        <v>1</v>
      </c>
      <c r="S287" s="639">
        <f t="shared" si="88"/>
        <v>4.3327031184214464</v>
      </c>
      <c r="T287" s="539">
        <f t="shared" si="89"/>
        <v>151.64460914475063</v>
      </c>
      <c r="U287" s="673">
        <f t="shared" si="90"/>
        <v>-3.5908552493708612E-3</v>
      </c>
      <c r="V287" s="630">
        <f>P287</f>
        <v>0.69996476078123704</v>
      </c>
      <c r="W287" s="639">
        <f t="shared" si="91"/>
        <v>4.3327031184214464</v>
      </c>
      <c r="X287" s="539">
        <f t="shared" si="92"/>
        <v>151.64460914475063</v>
      </c>
      <c r="Y287" s="673">
        <f t="shared" si="95"/>
        <v>-3.5908552493708612E-3</v>
      </c>
      <c r="AF287" s="737"/>
      <c r="AI287"/>
      <c r="AJ287"/>
      <c r="AK287"/>
      <c r="AL287"/>
      <c r="AM287"/>
      <c r="AN287"/>
      <c r="AO287"/>
      <c r="AP287"/>
      <c r="AQ287"/>
      <c r="AR287"/>
      <c r="AS287"/>
      <c r="AT287" s="736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</row>
    <row r="288" spans="1:71" ht="15" customHeight="1" x14ac:dyDescent="0.25">
      <c r="A288" s="530"/>
      <c r="M288" s="538"/>
      <c r="AF288" s="737"/>
      <c r="AI288"/>
      <c r="AJ288"/>
      <c r="AK288"/>
      <c r="AL288"/>
      <c r="AM288"/>
      <c r="AN288"/>
      <c r="AO288"/>
      <c r="AP288"/>
      <c r="AQ288"/>
      <c r="AR288"/>
      <c r="AS288"/>
      <c r="AT288" s="736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</row>
    <row r="289" spans="1:69" ht="15" customHeight="1" x14ac:dyDescent="0.3">
      <c r="A289" s="530"/>
      <c r="C289" s="746" t="s">
        <v>416</v>
      </c>
      <c r="V289" s="538"/>
      <c r="AF289" s="739"/>
      <c r="AG289" s="740"/>
      <c r="AH289" s="740"/>
      <c r="AI289" s="753"/>
      <c r="AJ289" s="753"/>
      <c r="AK289" s="753"/>
      <c r="AL289" s="753"/>
      <c r="AM289" s="753"/>
      <c r="AN289" s="753"/>
      <c r="AO289" s="753"/>
      <c r="AP289" s="753"/>
      <c r="AQ289" s="753"/>
      <c r="AR289" s="753"/>
      <c r="AS289" s="753"/>
      <c r="AT289" s="754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</row>
    <row r="290" spans="1:69" ht="15" customHeight="1" x14ac:dyDescent="0.25">
      <c r="A290" s="53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</row>
    <row r="291" spans="1:69" ht="15" customHeight="1" x14ac:dyDescent="0.25">
      <c r="A291"/>
      <c r="B291" s="40"/>
      <c r="C291" s="40"/>
      <c r="D291" s="40"/>
      <c r="E291" s="40"/>
      <c r="F291" s="40"/>
      <c r="G291" s="40"/>
      <c r="H291" s="40"/>
      <c r="I291"/>
      <c r="J291"/>
      <c r="K291"/>
      <c r="L291"/>
      <c r="M291"/>
      <c r="N291"/>
      <c r="O291"/>
      <c r="P291"/>
      <c r="Q291"/>
      <c r="R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</row>
    <row r="292" spans="1:69" ht="1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</row>
    <row r="293" spans="1:69" ht="15" customHeight="1" x14ac:dyDescent="0.25">
      <c r="B293" s="546" t="s">
        <v>363</v>
      </c>
      <c r="C293" s="548"/>
      <c r="Q293" s="629"/>
      <c r="R293" s="630"/>
      <c r="S293" s="630"/>
      <c r="AF293" s="1" t="s">
        <v>413</v>
      </c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</row>
    <row r="294" spans="1:69" ht="15" customHeight="1" x14ac:dyDescent="0.25">
      <c r="B294" s="546"/>
      <c r="C294" s="530" t="s">
        <v>364</v>
      </c>
      <c r="Q294" s="629"/>
      <c r="R294" s="630"/>
      <c r="S294" s="630"/>
      <c r="AF294" t="s">
        <v>414</v>
      </c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</row>
    <row r="295" spans="1:69" ht="15" customHeight="1" x14ac:dyDescent="0.25">
      <c r="A295" s="530"/>
      <c r="B295" s="546"/>
      <c r="C295" s="546"/>
      <c r="D295" s="530"/>
      <c r="H295" s="530"/>
      <c r="L295" s="547"/>
      <c r="W295" s="558"/>
      <c r="AF295" s="705" t="s">
        <v>366</v>
      </c>
      <c r="AG295" s="706"/>
      <c r="AH295" s="692" t="s">
        <v>392</v>
      </c>
      <c r="AI295" s="697"/>
      <c r="AJ295" s="755" t="s">
        <v>288</v>
      </c>
      <c r="AK295" s="756" t="s">
        <v>288</v>
      </c>
      <c r="AL295" s="698"/>
      <c r="AM295" s="698"/>
      <c r="AN295" s="699"/>
      <c r="AO295" s="732"/>
      <c r="AP295" s="733"/>
      <c r="AQ295" s="733"/>
      <c r="AR295" s="733"/>
      <c r="AS295" s="733"/>
      <c r="AT295" s="734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</row>
    <row r="296" spans="1:69" ht="15" customHeight="1" x14ac:dyDescent="0.25">
      <c r="A296" s="530"/>
      <c r="B296" s="546"/>
      <c r="H296" s="537" t="s">
        <v>294</v>
      </c>
      <c r="I296" s="530"/>
      <c r="W296" s="558"/>
      <c r="AF296" s="693" t="s">
        <v>367</v>
      </c>
      <c r="AG296" s="681" t="s">
        <v>368</v>
      </c>
      <c r="AH296" s="694" t="s">
        <v>393</v>
      </c>
      <c r="AI296" s="700"/>
      <c r="AJ296" s="687" t="s">
        <v>417</v>
      </c>
      <c r="AK296" s="468"/>
      <c r="AL296" s="469"/>
      <c r="AM296" s="688" t="s">
        <v>128</v>
      </c>
      <c r="AN296" s="701" t="s">
        <v>128</v>
      </c>
      <c r="AO296" s="735"/>
      <c r="AP296"/>
      <c r="AQ296"/>
      <c r="AR296"/>
      <c r="AS296"/>
      <c r="AT296" s="73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1:69" ht="15" customHeight="1" x14ac:dyDescent="0.25">
      <c r="A297" s="530"/>
      <c r="B297" s="546"/>
      <c r="C297" s="561" t="s">
        <v>15</v>
      </c>
      <c r="D297" s="552"/>
      <c r="E297" s="562"/>
      <c r="G297" s="563"/>
      <c r="H297" s="569" t="s">
        <v>362</v>
      </c>
      <c r="I297" s="564"/>
      <c r="J297" s="563"/>
      <c r="K297" s="642" t="s">
        <v>111</v>
      </c>
      <c r="L297" s="563"/>
      <c r="N297" s="751"/>
      <c r="O297" s="752"/>
      <c r="P297" s="752"/>
      <c r="Q297" s="752"/>
      <c r="R297" s="752"/>
      <c r="S297" s="752"/>
      <c r="T297" s="752"/>
      <c r="U297" s="752"/>
      <c r="V297" s="752"/>
      <c r="W297" s="757"/>
      <c r="X297" s="752"/>
      <c r="Y297" s="752"/>
      <c r="Z297" s="752"/>
      <c r="AA297" s="752"/>
      <c r="AB297" s="752"/>
      <c r="AC297" s="758"/>
      <c r="AF297" s="693" t="s">
        <v>369</v>
      </c>
      <c r="AG297" s="681" t="s">
        <v>370</v>
      </c>
      <c r="AH297" s="694" t="s">
        <v>394</v>
      </c>
      <c r="AI297" s="702" t="s">
        <v>289</v>
      </c>
      <c r="AJ297" s="686" t="s">
        <v>291</v>
      </c>
      <c r="AK297" s="470" t="s">
        <v>292</v>
      </c>
      <c r="AL297" s="471" t="s">
        <v>293</v>
      </c>
      <c r="AM297" s="686" t="s">
        <v>291</v>
      </c>
      <c r="AN297" s="703" t="s">
        <v>292</v>
      </c>
      <c r="AO297" s="735"/>
      <c r="AP297"/>
      <c r="AQ297"/>
      <c r="AR297"/>
      <c r="AS297"/>
      <c r="AT297" s="736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</row>
    <row r="298" spans="1:69" ht="15" customHeight="1" x14ac:dyDescent="0.25">
      <c r="A298" s="530"/>
      <c r="B298" s="546"/>
      <c r="C298" s="565" t="s">
        <v>61</v>
      </c>
      <c r="D298" s="566" t="s">
        <v>19</v>
      </c>
      <c r="E298" s="528">
        <v>0.9</v>
      </c>
      <c r="G298" s="567" t="s">
        <v>2</v>
      </c>
      <c r="H298" s="568" t="s">
        <v>250</v>
      </c>
      <c r="I298" s="569">
        <v>0</v>
      </c>
      <c r="J298" s="568" t="s">
        <v>133</v>
      </c>
      <c r="K298" s="568" t="s">
        <v>127</v>
      </c>
      <c r="L298" s="568" t="s">
        <v>128</v>
      </c>
      <c r="N298" s="737"/>
      <c r="W298" s="558"/>
      <c r="AC298" s="738"/>
      <c r="AF298" s="693" t="s">
        <v>371</v>
      </c>
      <c r="AG298" s="681" t="s">
        <v>372</v>
      </c>
      <c r="AH298" s="694" t="s">
        <v>395</v>
      </c>
      <c r="AI298" s="702">
        <v>1</v>
      </c>
      <c r="AJ298" s="713">
        <v>2.1800000000000002</v>
      </c>
      <c r="AK298" s="742">
        <v>2.1800000000000002</v>
      </c>
      <c r="AL298" s="474">
        <v>-1</v>
      </c>
      <c r="AM298" s="719">
        <v>0.70435799762355744</v>
      </c>
      <c r="AN298" s="720">
        <v>0.70435799762355744</v>
      </c>
      <c r="AO298" s="735"/>
      <c r="AP298"/>
      <c r="AQ298"/>
      <c r="AR298"/>
      <c r="AS298"/>
      <c r="AT298" s="736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</row>
    <row r="299" spans="1:69" ht="17.100000000000001" customHeight="1" x14ac:dyDescent="0.25">
      <c r="A299" s="530"/>
      <c r="B299" s="546"/>
      <c r="C299" s="565" t="s">
        <v>62</v>
      </c>
      <c r="D299" s="566" t="s">
        <v>20</v>
      </c>
      <c r="E299" s="528">
        <v>0.96</v>
      </c>
      <c r="G299" s="570">
        <v>1</v>
      </c>
      <c r="H299" s="670">
        <f t="shared" ref="H299:H306" si="96">D305</f>
        <v>2.1800000000000002</v>
      </c>
      <c r="I299" s="670">
        <f t="shared" ref="I299:I310" si="97">H299</f>
        <v>2.1800000000000002</v>
      </c>
      <c r="J299" s="529">
        <f>I299*2</f>
        <v>4.3600000000000003</v>
      </c>
      <c r="K299" s="529">
        <f>(J299/G299)</f>
        <v>4.3600000000000003</v>
      </c>
      <c r="L299" s="529">
        <f>SQRT(12*32.2*K299^2/(4*$E$301*($E$299*56)*$E$298^2))</f>
        <v>0.70435799762355744</v>
      </c>
      <c r="N299" s="737"/>
      <c r="W299" s="558"/>
      <c r="AC299" s="738"/>
      <c r="AF299" s="707" t="s">
        <v>373</v>
      </c>
      <c r="AG299" s="682" t="s">
        <v>374</v>
      </c>
      <c r="AH299" s="694"/>
      <c r="AI299" s="702">
        <v>2</v>
      </c>
      <c r="AJ299" s="713">
        <v>4.3499999999999996</v>
      </c>
      <c r="AK299" s="742">
        <v>4.3499999999999996</v>
      </c>
      <c r="AL299" s="474">
        <v>-1</v>
      </c>
      <c r="AM299" s="719">
        <v>0.70274249762900787</v>
      </c>
      <c r="AN299" s="720">
        <v>0.70274249762900787</v>
      </c>
      <c r="AO299" s="735"/>
      <c r="AP299"/>
      <c r="AQ299"/>
      <c r="AR299"/>
      <c r="AS299"/>
      <c r="AT299" s="736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</row>
    <row r="300" spans="1:69" ht="17.100000000000001" customHeight="1" x14ac:dyDescent="0.25">
      <c r="A300" s="530"/>
      <c r="B300" s="546"/>
      <c r="C300" s="565" t="s">
        <v>356</v>
      </c>
      <c r="E300" s="665">
        <f>(E299*2.20462*25.4*12)</f>
        <v>645.0894489599998</v>
      </c>
      <c r="G300" s="537">
        <v>2</v>
      </c>
      <c r="H300" s="671">
        <f t="shared" si="96"/>
        <v>4.3499999999999996</v>
      </c>
      <c r="I300" s="671">
        <f t="shared" si="97"/>
        <v>4.3499999999999996</v>
      </c>
      <c r="J300" s="535">
        <f t="shared" ref="J300:J303" si="98">I300*2</f>
        <v>8.6999999999999993</v>
      </c>
      <c r="K300" s="535">
        <f t="shared" ref="K300:K303" si="99">(J300/G300)</f>
        <v>4.3499999999999996</v>
      </c>
      <c r="L300" s="535">
        <f t="shared" ref="L300:L310" si="100">SQRT(12*32.2*K300^2/(4*$E$301*($E$299*56)*$E$298^2))</f>
        <v>0.70274249762900787</v>
      </c>
      <c r="N300" s="737"/>
      <c r="W300" s="558"/>
      <c r="AC300" s="738"/>
      <c r="AF300" s="708"/>
      <c r="AG300" s="683" t="s">
        <v>375</v>
      </c>
      <c r="AH300" s="694" t="s">
        <v>396</v>
      </c>
      <c r="AI300" s="702">
        <v>3</v>
      </c>
      <c r="AJ300" s="714">
        <v>6.5</v>
      </c>
      <c r="AK300" s="743">
        <v>6.5</v>
      </c>
      <c r="AL300" s="715">
        <v>-1</v>
      </c>
      <c r="AM300" s="721">
        <v>0.70004999763809217</v>
      </c>
      <c r="AN300" s="722">
        <v>0.70004999763809217</v>
      </c>
      <c r="AO300" s="735"/>
      <c r="AP300"/>
      <c r="AQ300"/>
      <c r="AR300"/>
      <c r="AS300"/>
      <c r="AT300" s="736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</row>
    <row r="301" spans="1:69" ht="17.100000000000001" customHeight="1" x14ac:dyDescent="0.25">
      <c r="A301" s="530"/>
      <c r="B301" s="546"/>
      <c r="C301" s="571" t="s">
        <v>59</v>
      </c>
      <c r="D301" s="572" t="s">
        <v>28</v>
      </c>
      <c r="E301" s="573">
        <v>85</v>
      </c>
      <c r="G301" s="574">
        <v>3</v>
      </c>
      <c r="H301" s="672">
        <f t="shared" si="96"/>
        <v>6.5</v>
      </c>
      <c r="I301" s="672">
        <f t="shared" si="97"/>
        <v>6.5</v>
      </c>
      <c r="J301" s="536">
        <f t="shared" si="98"/>
        <v>13</v>
      </c>
      <c r="K301" s="536">
        <f t="shared" si="99"/>
        <v>4.333333333333333</v>
      </c>
      <c r="L301" s="536">
        <f t="shared" si="100"/>
        <v>0.70004999763809217</v>
      </c>
      <c r="N301" s="737"/>
      <c r="W301" s="558"/>
      <c r="AC301" s="738"/>
      <c r="AF301" s="693" t="s">
        <v>376</v>
      </c>
      <c r="AG301" s="681" t="s">
        <v>377</v>
      </c>
      <c r="AH301" s="694"/>
      <c r="AI301" s="702">
        <v>4</v>
      </c>
      <c r="AJ301" s="713">
        <v>8.6999999999999993</v>
      </c>
      <c r="AK301" s="744">
        <v>8.6999999999999993</v>
      </c>
      <c r="AL301" s="718">
        <v>-1</v>
      </c>
      <c r="AM301" s="723">
        <v>0.70274249762900787</v>
      </c>
      <c r="AN301" s="720">
        <v>0.70274249762900787</v>
      </c>
      <c r="AO301" s="735"/>
      <c r="AP301"/>
      <c r="AQ301"/>
      <c r="AR301"/>
      <c r="AS301"/>
      <c r="AT301" s="736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</row>
    <row r="302" spans="1:69" ht="17.100000000000001" customHeight="1" x14ac:dyDescent="0.25">
      <c r="A302" s="530"/>
      <c r="G302" s="537">
        <v>4</v>
      </c>
      <c r="H302" s="671">
        <f t="shared" si="96"/>
        <v>8.6999999999999993</v>
      </c>
      <c r="I302" s="671">
        <f t="shared" si="97"/>
        <v>8.6999999999999993</v>
      </c>
      <c r="J302" s="535">
        <f t="shared" si="98"/>
        <v>17.399999999999999</v>
      </c>
      <c r="K302" s="535">
        <f t="shared" si="99"/>
        <v>4.3499999999999996</v>
      </c>
      <c r="L302" s="535">
        <f t="shared" si="100"/>
        <v>0.70274249762900787</v>
      </c>
      <c r="N302" s="737"/>
      <c r="W302" s="558"/>
      <c r="AC302" s="738"/>
      <c r="AF302" s="693" t="s">
        <v>378</v>
      </c>
      <c r="AG302" s="681"/>
      <c r="AH302" s="694" t="s">
        <v>397</v>
      </c>
      <c r="AI302" s="702">
        <v>5</v>
      </c>
      <c r="AJ302" s="713">
        <v>10.8</v>
      </c>
      <c r="AK302" s="744">
        <v>10.8</v>
      </c>
      <c r="AL302" s="718">
        <v>-1</v>
      </c>
      <c r="AM302" s="723">
        <v>0.6978959976453597</v>
      </c>
      <c r="AN302" s="720">
        <v>0.6978959976453597</v>
      </c>
      <c r="AO302" s="735"/>
      <c r="AP302"/>
      <c r="AQ302"/>
      <c r="AR302"/>
      <c r="AS302"/>
      <c r="AT302" s="736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</row>
    <row r="303" spans="1:69" ht="17.100000000000001" customHeight="1" x14ac:dyDescent="0.25">
      <c r="A303" s="530"/>
      <c r="B303" s="655"/>
      <c r="C303" s="655" t="s">
        <v>365</v>
      </c>
      <c r="D303" s="655"/>
      <c r="G303" s="537">
        <v>5</v>
      </c>
      <c r="H303" s="671">
        <f t="shared" si="96"/>
        <v>10.8</v>
      </c>
      <c r="I303" s="671">
        <f t="shared" si="97"/>
        <v>10.8</v>
      </c>
      <c r="J303" s="535">
        <f t="shared" si="98"/>
        <v>21.6</v>
      </c>
      <c r="K303" s="535">
        <f t="shared" si="99"/>
        <v>4.32</v>
      </c>
      <c r="L303" s="535">
        <f t="shared" si="100"/>
        <v>0.6978959976453597</v>
      </c>
      <c r="N303" s="737"/>
      <c r="W303" s="558"/>
      <c r="AC303" s="738"/>
      <c r="AF303" s="695" t="s">
        <v>379</v>
      </c>
      <c r="AG303" s="684" t="s">
        <v>380</v>
      </c>
      <c r="AH303" s="694" t="s">
        <v>398</v>
      </c>
      <c r="AI303" s="702">
        <v>10</v>
      </c>
      <c r="AJ303" s="714">
        <v>21.7</v>
      </c>
      <c r="AK303" s="743">
        <v>21.7</v>
      </c>
      <c r="AL303" s="717">
        <v>-1</v>
      </c>
      <c r="AM303" s="721">
        <v>0.7</v>
      </c>
      <c r="AN303" s="722">
        <v>0.70112699763445852</v>
      </c>
      <c r="AO303" s="735"/>
      <c r="AP303"/>
      <c r="AQ303"/>
      <c r="AR303"/>
      <c r="AS303"/>
      <c r="AT303" s="736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</row>
    <row r="304" spans="1:69" ht="17.100000000000001" customHeight="1" x14ac:dyDescent="0.25">
      <c r="A304" s="530"/>
      <c r="B304" s="641"/>
      <c r="C304" s="656" t="s">
        <v>345</v>
      </c>
      <c r="D304" s="657" t="s">
        <v>346</v>
      </c>
      <c r="G304" s="574">
        <v>10</v>
      </c>
      <c r="H304" s="672">
        <f t="shared" si="96"/>
        <v>21.7</v>
      </c>
      <c r="I304" s="672">
        <f t="shared" si="97"/>
        <v>21.7</v>
      </c>
      <c r="J304" s="536">
        <f>I304*2</f>
        <v>43.4</v>
      </c>
      <c r="K304" s="536">
        <f>(J304/G304)</f>
        <v>4.34</v>
      </c>
      <c r="L304" s="536">
        <f t="shared" si="100"/>
        <v>0.70112699763445852</v>
      </c>
      <c r="N304" s="737"/>
      <c r="W304" s="558"/>
      <c r="AC304" s="738"/>
      <c r="AF304" s="695" t="s">
        <v>381</v>
      </c>
      <c r="AG304" s="684" t="s">
        <v>382</v>
      </c>
      <c r="AH304" s="694" t="s">
        <v>399</v>
      </c>
      <c r="AI304" s="702">
        <v>20</v>
      </c>
      <c r="AJ304" s="713">
        <v>43.3</v>
      </c>
      <c r="AK304" s="744">
        <v>43.3</v>
      </c>
      <c r="AL304" s="718">
        <v>-1</v>
      </c>
      <c r="AM304" s="723">
        <v>0.7</v>
      </c>
      <c r="AN304" s="720">
        <v>0.69951149763990905</v>
      </c>
      <c r="AO304" s="737"/>
      <c r="AT304" s="738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</row>
    <row r="305" spans="1:69" ht="17.100000000000001" customHeight="1" x14ac:dyDescent="0.25">
      <c r="A305" s="530"/>
      <c r="B305" s="546"/>
      <c r="C305" s="7">
        <v>-2.1800000000000002</v>
      </c>
      <c r="D305" s="535">
        <f>-C305</f>
        <v>2.1800000000000002</v>
      </c>
      <c r="G305" s="537">
        <v>20</v>
      </c>
      <c r="H305" s="671">
        <f t="shared" si="96"/>
        <v>43.3</v>
      </c>
      <c r="I305" s="671">
        <f t="shared" si="97"/>
        <v>43.3</v>
      </c>
      <c r="J305" s="535">
        <f t="shared" ref="J305" si="101">I305*2</f>
        <v>86.6</v>
      </c>
      <c r="K305" s="535">
        <f t="shared" ref="K305" si="102">(J305/G305)</f>
        <v>4.33</v>
      </c>
      <c r="L305" s="535">
        <f t="shared" si="100"/>
        <v>0.69951149763990905</v>
      </c>
      <c r="N305" s="737"/>
      <c r="W305" s="558"/>
      <c r="AC305" s="738"/>
      <c r="AF305" s="695" t="s">
        <v>383</v>
      </c>
      <c r="AG305" s="684" t="s">
        <v>384</v>
      </c>
      <c r="AH305" s="694" t="s">
        <v>400</v>
      </c>
      <c r="AI305" s="702">
        <v>30</v>
      </c>
      <c r="AJ305" s="714">
        <v>65</v>
      </c>
      <c r="AK305" s="743">
        <v>65</v>
      </c>
      <c r="AL305" s="716">
        <v>-1</v>
      </c>
      <c r="AM305" s="721">
        <v>0.7</v>
      </c>
      <c r="AN305" s="722">
        <v>0.70004999763809217</v>
      </c>
      <c r="AO305" s="737"/>
      <c r="AT305" s="738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</row>
    <row r="306" spans="1:69" ht="17.100000000000001" customHeight="1" x14ac:dyDescent="0.25">
      <c r="A306" s="530"/>
      <c r="B306" s="546"/>
      <c r="C306" s="7">
        <v>-4.3499999999999996</v>
      </c>
      <c r="D306" s="535">
        <f t="shared" ref="D306:D321" si="103">-C306</f>
        <v>4.3499999999999996</v>
      </c>
      <c r="G306" s="574">
        <v>30</v>
      </c>
      <c r="H306" s="672">
        <f t="shared" si="96"/>
        <v>65</v>
      </c>
      <c r="I306" s="672">
        <f t="shared" si="97"/>
        <v>65</v>
      </c>
      <c r="J306" s="536">
        <f>I306*2</f>
        <v>130</v>
      </c>
      <c r="K306" s="536">
        <f>(J306/G306)</f>
        <v>4.333333333333333</v>
      </c>
      <c r="L306" s="536">
        <f t="shared" si="100"/>
        <v>0.70004999763809217</v>
      </c>
      <c r="N306" s="737"/>
      <c r="W306" s="558"/>
      <c r="AC306" s="738"/>
      <c r="AF306" s="695" t="s">
        <v>385</v>
      </c>
      <c r="AG306" s="684" t="s">
        <v>386</v>
      </c>
      <c r="AH306" s="694" t="s">
        <v>401</v>
      </c>
      <c r="AI306" s="702">
        <v>40</v>
      </c>
      <c r="AJ306" s="713">
        <v>86.7</v>
      </c>
      <c r="AK306" s="742">
        <v>86.7</v>
      </c>
      <c r="AL306" s="474">
        <v>-1</v>
      </c>
      <c r="AM306" s="719">
        <v>0.7</v>
      </c>
      <c r="AN306" s="720">
        <v>0.70031924763718378</v>
      </c>
      <c r="AO306" s="737"/>
      <c r="AT306" s="738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</row>
    <row r="307" spans="1:69" ht="17.100000000000001" customHeight="1" x14ac:dyDescent="0.25">
      <c r="A307" s="530"/>
      <c r="B307" s="546"/>
      <c r="C307" s="640">
        <v>-6.5</v>
      </c>
      <c r="D307" s="535">
        <f t="shared" si="103"/>
        <v>6.5</v>
      </c>
      <c r="G307" s="537">
        <v>40</v>
      </c>
      <c r="H307" s="671">
        <f>D318</f>
        <v>86.7</v>
      </c>
      <c r="I307" s="671">
        <f t="shared" si="97"/>
        <v>86.7</v>
      </c>
      <c r="J307" s="535">
        <f t="shared" ref="J307:J310" si="104">I307*2</f>
        <v>173.4</v>
      </c>
      <c r="K307" s="535">
        <f t="shared" ref="K307:K310" si="105">(J307/G307)</f>
        <v>4.335</v>
      </c>
      <c r="L307" s="535">
        <f t="shared" si="100"/>
        <v>0.70031924763718378</v>
      </c>
      <c r="N307" s="737"/>
      <c r="W307" s="558"/>
      <c r="AC307" s="738"/>
      <c r="AF307" s="696" t="s">
        <v>387</v>
      </c>
      <c r="AG307" s="684" t="s">
        <v>386</v>
      </c>
      <c r="AH307" s="694" t="s">
        <v>402</v>
      </c>
      <c r="AI307" s="702">
        <v>50</v>
      </c>
      <c r="AJ307" s="713">
        <v>108.3</v>
      </c>
      <c r="AK307" s="742">
        <v>108.3</v>
      </c>
      <c r="AL307" s="474">
        <v>-1</v>
      </c>
      <c r="AM307" s="719">
        <v>0.7</v>
      </c>
      <c r="AN307" s="720">
        <v>0.69983459763881894</v>
      </c>
      <c r="AO307" s="737"/>
      <c r="AT307" s="738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</row>
    <row r="308" spans="1:69" ht="17.100000000000001" customHeight="1" x14ac:dyDescent="0.25">
      <c r="A308" s="530"/>
      <c r="B308" s="546"/>
      <c r="C308" s="7">
        <v>-8.6999999999999993</v>
      </c>
      <c r="D308" s="535">
        <f t="shared" si="103"/>
        <v>8.6999999999999993</v>
      </c>
      <c r="G308" s="537">
        <v>50</v>
      </c>
      <c r="H308" s="671">
        <f>D319</f>
        <v>108.3</v>
      </c>
      <c r="I308" s="671">
        <f t="shared" si="97"/>
        <v>108.3</v>
      </c>
      <c r="J308" s="535">
        <f t="shared" si="104"/>
        <v>216.6</v>
      </c>
      <c r="K308" s="535">
        <f t="shared" si="105"/>
        <v>4.3319999999999999</v>
      </c>
      <c r="L308" s="535">
        <f t="shared" si="100"/>
        <v>0.69983459763881894</v>
      </c>
      <c r="N308" s="737"/>
      <c r="W308" s="558"/>
      <c r="AC308" s="738"/>
      <c r="AF308" s="709" t="s">
        <v>388</v>
      </c>
      <c r="AG308" s="691"/>
      <c r="AH308" s="694" t="s">
        <v>403</v>
      </c>
      <c r="AI308" s="702">
        <v>60</v>
      </c>
      <c r="AJ308" s="713">
        <v>130</v>
      </c>
      <c r="AK308" s="742">
        <v>130</v>
      </c>
      <c r="AL308" s="474">
        <v>-1</v>
      </c>
      <c r="AM308" s="719">
        <v>0.7</v>
      </c>
      <c r="AN308" s="720">
        <v>0.70004999763809217</v>
      </c>
      <c r="AO308" s="737"/>
      <c r="AT308" s="738"/>
    </row>
    <row r="309" spans="1:69" ht="17.100000000000001" customHeight="1" x14ac:dyDescent="0.25">
      <c r="A309" s="530"/>
      <c r="B309" s="546"/>
      <c r="C309" s="7">
        <v>-10.8</v>
      </c>
      <c r="D309" s="535">
        <f t="shared" si="103"/>
        <v>10.8</v>
      </c>
      <c r="G309" s="537">
        <v>60</v>
      </c>
      <c r="H309" s="671">
        <f>D320</f>
        <v>130</v>
      </c>
      <c r="I309" s="671">
        <f t="shared" si="97"/>
        <v>130</v>
      </c>
      <c r="J309" s="535">
        <f t="shared" si="104"/>
        <v>260</v>
      </c>
      <c r="K309" s="535">
        <f t="shared" si="105"/>
        <v>4.333333333333333</v>
      </c>
      <c r="L309" s="535">
        <f t="shared" si="100"/>
        <v>0.70004999763809217</v>
      </c>
      <c r="N309" s="737"/>
      <c r="W309" s="558"/>
      <c r="AC309" s="738"/>
      <c r="AF309" s="747" t="s">
        <v>408</v>
      </c>
      <c r="AG309" s="748"/>
      <c r="AH309" s="694" t="s">
        <v>404</v>
      </c>
      <c r="AI309" s="702">
        <v>70</v>
      </c>
      <c r="AJ309" s="714">
        <v>151.69999999999999</v>
      </c>
      <c r="AK309" s="743">
        <v>151.69999999999999</v>
      </c>
      <c r="AL309" s="477">
        <v>-1</v>
      </c>
      <c r="AM309" s="721">
        <v>0.7</v>
      </c>
      <c r="AN309" s="722">
        <v>0.70020385478043023</v>
      </c>
      <c r="AO309" s="737"/>
      <c r="AT309" s="738"/>
    </row>
    <row r="310" spans="1:69" ht="17.100000000000001" customHeight="1" x14ac:dyDescent="0.25">
      <c r="A310" s="530"/>
      <c r="B310" s="546"/>
      <c r="C310" s="640">
        <v>-21.7</v>
      </c>
      <c r="D310" s="535">
        <f t="shared" si="103"/>
        <v>21.7</v>
      </c>
      <c r="G310" s="574">
        <v>70</v>
      </c>
      <c r="H310" s="672">
        <f>D321</f>
        <v>151.69999999999999</v>
      </c>
      <c r="I310" s="672">
        <f t="shared" si="97"/>
        <v>151.69999999999999</v>
      </c>
      <c r="J310" s="536">
        <f t="shared" si="104"/>
        <v>303.39999999999998</v>
      </c>
      <c r="K310" s="536">
        <f t="shared" si="105"/>
        <v>4.3342857142857136</v>
      </c>
      <c r="L310" s="536">
        <f t="shared" si="100"/>
        <v>0.70020385478043023</v>
      </c>
      <c r="N310" s="739"/>
      <c r="O310" s="740"/>
      <c r="P310" s="740"/>
      <c r="Q310" s="740"/>
      <c r="R310" s="740"/>
      <c r="S310" s="740"/>
      <c r="T310" s="740"/>
      <c r="U310" s="740"/>
      <c r="V310" s="740"/>
      <c r="W310" s="759"/>
      <c r="X310" s="740"/>
      <c r="Y310" s="740"/>
      <c r="Z310" s="740"/>
      <c r="AA310" s="740"/>
      <c r="AB310" s="740"/>
      <c r="AC310" s="741"/>
      <c r="AF310" s="749" t="s">
        <v>389</v>
      </c>
      <c r="AG310" s="750"/>
      <c r="AH310" s="694"/>
      <c r="AI310" s="710"/>
      <c r="AJ310" s="690"/>
      <c r="AK310" s="685"/>
      <c r="AL310" s="685"/>
      <c r="AM310" s="685"/>
      <c r="AN310" s="694"/>
      <c r="AO310" s="737"/>
      <c r="AT310" s="738"/>
    </row>
    <row r="311" spans="1:69" ht="17.100000000000001" customHeight="1" x14ac:dyDescent="0.25">
      <c r="A311" s="530"/>
      <c r="B311" s="546"/>
      <c r="C311" s="7">
        <v>-43.3</v>
      </c>
      <c r="D311" s="535">
        <f t="shared" si="103"/>
        <v>43.3</v>
      </c>
      <c r="G311" s="537"/>
      <c r="H311" s="535"/>
      <c r="I311" s="537"/>
      <c r="J311" s="535"/>
      <c r="K311" s="535"/>
      <c r="L311" s="662">
        <f>L306/L310</f>
        <v>0.99978026807295095</v>
      </c>
      <c r="W311" s="558"/>
      <c r="AF311" s="749" t="s">
        <v>390</v>
      </c>
      <c r="AG311" s="750"/>
      <c r="AH311" s="694" t="s">
        <v>405</v>
      </c>
      <c r="AI311" s="726" t="s">
        <v>330</v>
      </c>
      <c r="AJ311" s="526"/>
      <c r="AK311" s="525"/>
      <c r="AL311" s="525"/>
      <c r="AM311" s="724">
        <v>1</v>
      </c>
      <c r="AN311" s="725">
        <v>1</v>
      </c>
      <c r="AO311" s="737"/>
      <c r="AT311" s="738"/>
    </row>
    <row r="312" spans="1:69" ht="17.100000000000001" customHeight="1" x14ac:dyDescent="0.25">
      <c r="A312" s="530"/>
      <c r="B312" s="546"/>
      <c r="C312" s="7">
        <v>-65</v>
      </c>
      <c r="D312" s="535">
        <f t="shared" si="103"/>
        <v>65</v>
      </c>
      <c r="G312" s="537"/>
      <c r="H312" s="535"/>
      <c r="I312" s="537"/>
      <c r="J312" s="535"/>
      <c r="K312" s="535"/>
      <c r="L312" s="578"/>
      <c r="W312" s="558"/>
      <c r="AF312" s="749" t="s">
        <v>391</v>
      </c>
      <c r="AG312" s="750"/>
      <c r="AH312" s="694" t="s">
        <v>406</v>
      </c>
      <c r="AI312" s="711"/>
      <c r="AJ312" s="689"/>
      <c r="AK312" s="689"/>
      <c r="AL312" s="689"/>
      <c r="AM312" s="689"/>
      <c r="AN312" s="712"/>
      <c r="AO312" s="737"/>
      <c r="AT312" s="738"/>
    </row>
    <row r="313" spans="1:69" ht="17.100000000000001" customHeight="1" x14ac:dyDescent="0.25">
      <c r="A313" s="530"/>
      <c r="B313" s="546"/>
      <c r="C313" s="7"/>
      <c r="D313" s="535"/>
      <c r="G313" s="537"/>
      <c r="H313" s="535"/>
      <c r="I313" s="537"/>
      <c r="J313" s="535"/>
      <c r="K313" s="535"/>
      <c r="L313" s="578"/>
      <c r="W313" s="558"/>
      <c r="AF313" s="803" t="s">
        <v>407</v>
      </c>
      <c r="AG313" s="804"/>
      <c r="AH313" s="704"/>
      <c r="AI313" s="805"/>
      <c r="AJ313" s="806"/>
      <c r="AK313" s="806"/>
      <c r="AL313" s="806"/>
      <c r="AM313" s="806"/>
      <c r="AN313" s="807"/>
      <c r="AO313" s="739"/>
      <c r="AP313" s="740"/>
      <c r="AQ313" s="740"/>
      <c r="AR313" s="740"/>
      <c r="AS313" s="740"/>
      <c r="AT313" s="741"/>
    </row>
    <row r="314" spans="1:69" ht="17.100000000000001" customHeight="1" x14ac:dyDescent="0.25">
      <c r="A314" s="530"/>
      <c r="B314" s="546"/>
      <c r="C314" s="7"/>
      <c r="D314" s="535"/>
      <c r="G314" s="537"/>
      <c r="H314" s="535"/>
      <c r="I314" s="537"/>
      <c r="J314" s="535"/>
      <c r="K314" s="535"/>
      <c r="L314" s="578"/>
      <c r="W314" s="558"/>
    </row>
    <row r="315" spans="1:69" ht="17.100000000000001" customHeight="1" x14ac:dyDescent="0.25">
      <c r="A315" s="530"/>
      <c r="B315" s="546"/>
      <c r="C315" s="7"/>
      <c r="D315" s="535"/>
      <c r="G315" s="537"/>
      <c r="H315" s="535"/>
      <c r="I315" s="537"/>
      <c r="J315" s="535"/>
      <c r="K315" s="535"/>
      <c r="L315" s="578"/>
      <c r="W315" s="558"/>
    </row>
    <row r="316" spans="1:69" ht="17.100000000000001" customHeight="1" x14ac:dyDescent="0.25">
      <c r="A316" s="530"/>
      <c r="B316" s="546"/>
      <c r="C316" s="7"/>
      <c r="D316" s="535"/>
      <c r="G316" s="537"/>
      <c r="H316" s="535"/>
      <c r="I316" s="537"/>
      <c r="J316" s="535"/>
      <c r="K316" s="535"/>
      <c r="L316" s="578"/>
      <c r="W316" s="558"/>
    </row>
    <row r="317" spans="1:69" ht="17.100000000000001" customHeight="1" x14ac:dyDescent="0.25">
      <c r="A317" s="530"/>
      <c r="B317" s="546"/>
      <c r="C317" s="7"/>
      <c r="D317" s="535"/>
      <c r="G317" s="537"/>
      <c r="H317" s="535"/>
      <c r="I317" s="537"/>
      <c r="J317" s="535"/>
      <c r="K317" s="535"/>
      <c r="L317" s="578"/>
      <c r="W317" s="558"/>
    </row>
    <row r="318" spans="1:69" ht="17.100000000000001" customHeight="1" x14ac:dyDescent="0.25">
      <c r="A318" s="530"/>
      <c r="B318" s="546"/>
      <c r="C318" s="7">
        <v>-86.7</v>
      </c>
      <c r="D318" s="535">
        <f t="shared" si="103"/>
        <v>86.7</v>
      </c>
      <c r="W318" s="558"/>
    </row>
    <row r="319" spans="1:69" ht="17.100000000000001" customHeight="1" x14ac:dyDescent="0.25">
      <c r="A319" s="530"/>
      <c r="B319" s="546"/>
      <c r="C319" s="7">
        <v>-108.3</v>
      </c>
      <c r="D319" s="535">
        <f t="shared" si="103"/>
        <v>108.3</v>
      </c>
      <c r="W319" s="558"/>
    </row>
    <row r="320" spans="1:69" ht="17.100000000000001" customHeight="1" x14ac:dyDescent="0.25">
      <c r="B320" s="546"/>
      <c r="C320" s="7">
        <v>-130</v>
      </c>
      <c r="D320" s="535">
        <f t="shared" si="103"/>
        <v>130</v>
      </c>
      <c r="Q320" s="629"/>
      <c r="R320" s="630"/>
      <c r="S320" s="630"/>
    </row>
    <row r="321" spans="1:43" ht="17.100000000000001" customHeight="1" x14ac:dyDescent="0.25">
      <c r="B321" s="546"/>
      <c r="C321" s="640">
        <v>-151.69999999999999</v>
      </c>
      <c r="D321" s="535">
        <f t="shared" si="103"/>
        <v>151.69999999999999</v>
      </c>
      <c r="Q321" s="629"/>
      <c r="R321" s="630"/>
      <c r="S321" s="630"/>
    </row>
    <row r="322" spans="1:43" ht="17.100000000000001" customHeight="1" x14ac:dyDescent="0.25">
      <c r="B322" s="546"/>
      <c r="C322" s="546"/>
      <c r="D322" s="546"/>
      <c r="Q322" s="629"/>
      <c r="R322" s="630"/>
      <c r="S322" s="630"/>
    </row>
    <row r="323" spans="1:43" ht="15" customHeight="1" x14ac:dyDescent="0.25">
      <c r="B323" s="546"/>
      <c r="C323" s="546"/>
      <c r="D323" s="546"/>
      <c r="Q323" s="629"/>
      <c r="R323" s="630"/>
      <c r="S323" s="630"/>
    </row>
    <row r="324" spans="1:43" ht="15" customHeight="1" x14ac:dyDescent="0.25">
      <c r="B324" s="546"/>
      <c r="C324" s="546"/>
      <c r="D324" s="546"/>
      <c r="Q324" s="629"/>
      <c r="R324" s="630"/>
      <c r="S324" s="630"/>
    </row>
    <row r="325" spans="1:43" ht="15" customHeight="1" x14ac:dyDescent="0.25">
      <c r="B325" s="556"/>
      <c r="C325" s="556"/>
      <c r="D325" s="556"/>
      <c r="E325" s="556"/>
      <c r="F325" s="556"/>
      <c r="G325" s="556"/>
      <c r="H325" s="556"/>
      <c r="I325" s="556"/>
      <c r="J325" s="556"/>
      <c r="K325" s="556"/>
      <c r="L325" s="556"/>
      <c r="M325" s="556"/>
      <c r="N325" s="556"/>
      <c r="O325" s="556"/>
      <c r="P325" s="556"/>
      <c r="Q325" s="631"/>
      <c r="R325" s="632"/>
      <c r="S325" s="632"/>
      <c r="T325" s="556"/>
      <c r="U325" s="556"/>
      <c r="V325" s="556"/>
      <c r="W325" s="556"/>
      <c r="X325" s="556"/>
      <c r="Y325" s="556"/>
      <c r="Z325" s="556"/>
    </row>
    <row r="326" spans="1:43" ht="15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43" ht="15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43" ht="15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AF328"/>
      <c r="AG328"/>
      <c r="AH328"/>
      <c r="AI328"/>
      <c r="AM328"/>
      <c r="AN328"/>
      <c r="AO328"/>
      <c r="AP328"/>
      <c r="AQ328"/>
    </row>
    <row r="329" spans="1:43" ht="15" customHeight="1" x14ac:dyDescent="0.25">
      <c r="A329"/>
      <c r="B329"/>
      <c r="C329"/>
      <c r="D329"/>
      <c r="E329" t="s">
        <v>320</v>
      </c>
      <c r="F329"/>
      <c r="M329" s="566" t="s">
        <v>49</v>
      </c>
      <c r="N329"/>
      <c r="O329"/>
      <c r="P329"/>
      <c r="Q329"/>
      <c r="R329"/>
      <c r="AF329"/>
      <c r="AG329"/>
      <c r="AH329"/>
      <c r="AI329"/>
      <c r="AM329"/>
      <c r="AN329"/>
      <c r="AO329"/>
      <c r="AP329"/>
      <c r="AQ329"/>
    </row>
    <row r="330" spans="1:43" ht="15" customHeight="1" x14ac:dyDescent="0.25">
      <c r="A330"/>
      <c r="B330"/>
      <c r="C330"/>
      <c r="D330"/>
      <c r="E330"/>
      <c r="F330"/>
      <c r="Q330"/>
      <c r="R330"/>
      <c r="AF330"/>
      <c r="AG330"/>
      <c r="AH330"/>
      <c r="AI330"/>
      <c r="AM330"/>
      <c r="AN330"/>
      <c r="AO330"/>
      <c r="AP330"/>
      <c r="AQ330"/>
    </row>
    <row r="331" spans="1:43" ht="20.100000000000001" customHeight="1" x14ac:dyDescent="0.25">
      <c r="A331"/>
      <c r="B331"/>
      <c r="C331"/>
      <c r="D331"/>
      <c r="E331"/>
      <c r="F331"/>
      <c r="G331" s="633"/>
      <c r="H331" s="663"/>
      <c r="I331" s="663" t="s">
        <v>282</v>
      </c>
      <c r="J331" s="663"/>
      <c r="K331" s="663" t="s">
        <v>282</v>
      </c>
      <c r="L331" s="636"/>
      <c r="Q331"/>
      <c r="R331"/>
      <c r="AF331"/>
      <c r="AG331"/>
      <c r="AH331"/>
      <c r="AI331"/>
      <c r="AM331"/>
      <c r="AN331"/>
      <c r="AO331"/>
      <c r="AP331"/>
      <c r="AQ331"/>
    </row>
    <row r="332" spans="1:43" ht="20.100000000000001" customHeight="1" x14ac:dyDescent="0.25">
      <c r="A332"/>
      <c r="B332"/>
      <c r="C332"/>
      <c r="D332"/>
      <c r="E332"/>
      <c r="F332"/>
      <c r="G332" s="761"/>
      <c r="H332" s="569"/>
      <c r="I332" s="569" t="s">
        <v>422</v>
      </c>
      <c r="J332" s="564"/>
      <c r="K332" s="564" t="s">
        <v>425</v>
      </c>
      <c r="L332" s="762"/>
      <c r="Q332"/>
      <c r="R332"/>
      <c r="AF332"/>
      <c r="AG332"/>
      <c r="AH332"/>
      <c r="AI332"/>
      <c r="AM332"/>
      <c r="AN332"/>
      <c r="AO332"/>
      <c r="AP332"/>
      <c r="AQ332"/>
    </row>
    <row r="333" spans="1:43" ht="20.100000000000001" customHeight="1" x14ac:dyDescent="0.25">
      <c r="A333"/>
      <c r="B333"/>
      <c r="C333"/>
      <c r="D333"/>
      <c r="E333"/>
      <c r="F333"/>
      <c r="G333" s="637" t="s">
        <v>2</v>
      </c>
      <c r="H333" s="568"/>
      <c r="I333" s="568" t="s">
        <v>128</v>
      </c>
      <c r="J333" s="568"/>
      <c r="K333" s="568" t="s">
        <v>128</v>
      </c>
      <c r="L333" s="638"/>
      <c r="Q333"/>
      <c r="R333"/>
      <c r="AF333"/>
      <c r="AG333"/>
      <c r="AH333"/>
      <c r="AI333"/>
      <c r="AM333"/>
      <c r="AN333"/>
      <c r="AO333"/>
      <c r="AP333"/>
      <c r="AQ333"/>
    </row>
    <row r="334" spans="1:43" ht="20.100000000000001" customHeight="1" x14ac:dyDescent="0.25">
      <c r="A334"/>
      <c r="B334"/>
      <c r="C334"/>
      <c r="D334"/>
      <c r="E334"/>
      <c r="F334"/>
      <c r="G334" s="607">
        <v>1</v>
      </c>
      <c r="H334" s="529"/>
      <c r="I334" s="771">
        <f>P276</f>
        <v>0</v>
      </c>
      <c r="J334" s="667"/>
      <c r="K334" s="771">
        <f>L230</f>
        <v>0</v>
      </c>
      <c r="L334" s="541"/>
      <c r="Q334"/>
      <c r="R334"/>
      <c r="AF334"/>
      <c r="AG334"/>
      <c r="AH334"/>
      <c r="AI334"/>
      <c r="AM334"/>
      <c r="AN334"/>
      <c r="AO334"/>
      <c r="AP334"/>
      <c r="AQ334"/>
    </row>
    <row r="335" spans="1:43" ht="20.100000000000001" customHeight="1" x14ac:dyDescent="0.25">
      <c r="A335"/>
      <c r="B335"/>
      <c r="C335"/>
      <c r="D335"/>
      <c r="E335"/>
      <c r="F335"/>
      <c r="G335" s="595">
        <v>2</v>
      </c>
      <c r="H335" s="535"/>
      <c r="I335" s="772">
        <f t="shared" ref="I335:I345" si="106">P277</f>
        <v>0</v>
      </c>
      <c r="J335" s="539"/>
      <c r="K335" s="772">
        <f t="shared" ref="K335:K345" si="107">L231</f>
        <v>0</v>
      </c>
      <c r="L335" s="542"/>
      <c r="Q335"/>
      <c r="R335"/>
      <c r="AF335"/>
      <c r="AG335"/>
      <c r="AH335"/>
      <c r="AI335"/>
      <c r="AM335"/>
      <c r="AN335"/>
      <c r="AO335"/>
      <c r="AP335"/>
      <c r="AQ335"/>
    </row>
    <row r="336" spans="1:43" ht="20.100000000000001" customHeight="1" x14ac:dyDescent="0.25">
      <c r="A336"/>
      <c r="B336"/>
      <c r="C336"/>
      <c r="D336"/>
      <c r="E336"/>
      <c r="F336"/>
      <c r="G336" s="616">
        <v>3</v>
      </c>
      <c r="H336" s="536"/>
      <c r="I336" s="773">
        <f t="shared" si="106"/>
        <v>0</v>
      </c>
      <c r="J336" s="668"/>
      <c r="K336" s="773">
        <f t="shared" si="107"/>
        <v>0</v>
      </c>
      <c r="L336" s="543"/>
      <c r="Q336"/>
      <c r="R336"/>
      <c r="AF336"/>
      <c r="AG336"/>
      <c r="AH336"/>
      <c r="AI336"/>
      <c r="AM336"/>
      <c r="AN336"/>
      <c r="AO336"/>
      <c r="AP336"/>
      <c r="AQ336"/>
    </row>
    <row r="337" spans="1:43" ht="20.100000000000001" customHeight="1" x14ac:dyDescent="0.25">
      <c r="A337"/>
      <c r="B337"/>
      <c r="C337"/>
      <c r="D337"/>
      <c r="E337"/>
      <c r="F337"/>
      <c r="G337" s="595">
        <v>4</v>
      </c>
      <c r="H337" s="535"/>
      <c r="I337" s="772">
        <f t="shared" si="106"/>
        <v>0</v>
      </c>
      <c r="J337" s="539"/>
      <c r="K337" s="772">
        <f t="shared" si="107"/>
        <v>0</v>
      </c>
      <c r="L337" s="542"/>
      <c r="Q337"/>
      <c r="R337"/>
      <c r="AF337"/>
      <c r="AG337"/>
      <c r="AH337"/>
      <c r="AI337"/>
      <c r="AM337"/>
      <c r="AN337"/>
      <c r="AO337"/>
      <c r="AP337"/>
      <c r="AQ337"/>
    </row>
    <row r="338" spans="1:43" ht="20.100000000000001" customHeight="1" x14ac:dyDescent="0.25">
      <c r="A338"/>
      <c r="B338"/>
      <c r="C338"/>
      <c r="D338"/>
      <c r="E338"/>
      <c r="F338"/>
      <c r="G338" s="595">
        <v>5</v>
      </c>
      <c r="H338" s="535"/>
      <c r="I338" s="772">
        <f t="shared" si="106"/>
        <v>0</v>
      </c>
      <c r="J338" s="539"/>
      <c r="K338" s="772">
        <f t="shared" si="107"/>
        <v>0</v>
      </c>
      <c r="L338" s="542"/>
      <c r="Q338"/>
      <c r="R338"/>
      <c r="AF338"/>
      <c r="AG338"/>
      <c r="AH338"/>
      <c r="AI338"/>
      <c r="AM338"/>
      <c r="AN338"/>
      <c r="AO338"/>
      <c r="AP338"/>
      <c r="AQ338"/>
    </row>
    <row r="339" spans="1:43" ht="20.100000000000001" customHeight="1" x14ac:dyDescent="0.25">
      <c r="A339"/>
      <c r="B339"/>
      <c r="C339"/>
      <c r="D339"/>
      <c r="E339"/>
      <c r="F339"/>
      <c r="G339" s="616">
        <v>10</v>
      </c>
      <c r="H339" s="536"/>
      <c r="I339" s="773">
        <f t="shared" si="106"/>
        <v>0</v>
      </c>
      <c r="J339" s="668"/>
      <c r="K339" s="773">
        <f t="shared" si="107"/>
        <v>0</v>
      </c>
      <c r="L339" s="543"/>
      <c r="Q339"/>
      <c r="R339"/>
      <c r="AF339"/>
      <c r="AG339"/>
      <c r="AH339"/>
      <c r="AI339"/>
      <c r="AM339"/>
      <c r="AN339"/>
      <c r="AO339"/>
      <c r="AP339"/>
      <c r="AQ339"/>
    </row>
    <row r="340" spans="1:43" ht="20.100000000000001" customHeight="1" x14ac:dyDescent="0.25">
      <c r="A340"/>
      <c r="B340"/>
      <c r="C340"/>
      <c r="D340"/>
      <c r="E340"/>
      <c r="F340"/>
      <c r="G340" s="595">
        <v>20</v>
      </c>
      <c r="H340" s="535"/>
      <c r="I340" s="772">
        <f t="shared" si="106"/>
        <v>0.64917413330974283</v>
      </c>
      <c r="J340" s="539"/>
      <c r="K340" s="772">
        <f t="shared" si="107"/>
        <v>0.72859049754179905</v>
      </c>
      <c r="L340" s="542"/>
      <c r="Q340"/>
      <c r="R340"/>
      <c r="AF340"/>
      <c r="AG340"/>
      <c r="AH340"/>
      <c r="AI340"/>
      <c r="AM340"/>
      <c r="AN340"/>
      <c r="AO340"/>
      <c r="AP340"/>
      <c r="AQ340"/>
    </row>
    <row r="341" spans="1:43" ht="20.100000000000001" customHeight="1" x14ac:dyDescent="0.25">
      <c r="A341"/>
      <c r="B341"/>
      <c r="C341"/>
      <c r="D341"/>
      <c r="E341"/>
      <c r="F341"/>
      <c r="G341" s="616">
        <v>30</v>
      </c>
      <c r="H341" s="536"/>
      <c r="I341" s="773">
        <f t="shared" si="106"/>
        <v>0.64677511581783709</v>
      </c>
      <c r="J341" s="668"/>
      <c r="K341" s="773">
        <f t="shared" si="107"/>
        <v>0.72589799755088336</v>
      </c>
      <c r="L341" s="543"/>
      <c r="Q341"/>
      <c r="R341"/>
      <c r="AF341"/>
      <c r="AG341"/>
      <c r="AH341"/>
      <c r="AI341"/>
      <c r="AM341"/>
      <c r="AN341"/>
      <c r="AO341"/>
      <c r="AP341"/>
      <c r="AQ341"/>
    </row>
    <row r="342" spans="1:43" ht="20.100000000000001" customHeight="1" x14ac:dyDescent="0.25">
      <c r="A342"/>
      <c r="B342"/>
      <c r="C342"/>
      <c r="D342"/>
      <c r="E342"/>
      <c r="F342"/>
      <c r="G342" s="595">
        <v>40</v>
      </c>
      <c r="H342" s="535"/>
      <c r="I342" s="772">
        <f t="shared" si="106"/>
        <v>0.66212882776603499</v>
      </c>
      <c r="J342" s="539"/>
      <c r="K342" s="772">
        <f t="shared" si="107"/>
        <v>0.743129997492744</v>
      </c>
      <c r="L342" s="542"/>
      <c r="Q342"/>
      <c r="R342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:43" ht="20.100000000000001" customHeight="1" x14ac:dyDescent="0.25">
      <c r="A343"/>
      <c r="B343"/>
      <c r="C343"/>
      <c r="D343"/>
      <c r="E343"/>
      <c r="F343"/>
      <c r="G343" s="595">
        <v>50</v>
      </c>
      <c r="H343" s="535"/>
      <c r="I343" s="772">
        <f t="shared" si="106"/>
        <v>0.67652293271747044</v>
      </c>
      <c r="J343" s="539"/>
      <c r="K343" s="772">
        <f t="shared" si="107"/>
        <v>0.75928499743823863</v>
      </c>
      <c r="L343" s="542"/>
      <c r="Q343"/>
      <c r="R343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:43" ht="20.100000000000001" customHeight="1" x14ac:dyDescent="0.25">
      <c r="A344"/>
      <c r="B344"/>
      <c r="C344"/>
      <c r="D344"/>
      <c r="E344"/>
      <c r="F344"/>
      <c r="G344" s="595">
        <v>60</v>
      </c>
      <c r="H344" s="535"/>
      <c r="I344" s="772">
        <f t="shared" si="106"/>
        <v>0.68611900268509418</v>
      </c>
      <c r="J344" s="539"/>
      <c r="K344" s="772">
        <f t="shared" si="107"/>
        <v>0.77005499740190142</v>
      </c>
      <c r="L344" s="542"/>
      <c r="Q344"/>
      <c r="R344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:43" ht="20.100000000000001" customHeight="1" x14ac:dyDescent="0.25">
      <c r="A345"/>
      <c r="B345"/>
      <c r="C345"/>
      <c r="D345"/>
      <c r="E345"/>
      <c r="F345"/>
      <c r="G345" s="621">
        <v>70</v>
      </c>
      <c r="H345" s="540"/>
      <c r="I345" s="774">
        <f t="shared" si="106"/>
        <v>0.69996476078123704</v>
      </c>
      <c r="J345" s="669"/>
      <c r="K345" s="774">
        <f t="shared" si="107"/>
        <v>0.78559456877804368</v>
      </c>
      <c r="L345" s="544"/>
      <c r="Q345"/>
      <c r="R345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:43" ht="15" customHeight="1" x14ac:dyDescent="0.25">
      <c r="A346"/>
      <c r="B346"/>
      <c r="C346"/>
      <c r="D346"/>
      <c r="E346"/>
      <c r="F346"/>
      <c r="G346"/>
      <c r="H346"/>
      <c r="I346"/>
      <c r="J346"/>
      <c r="Q346"/>
      <c r="R346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:43" ht="15" customHeight="1" x14ac:dyDescent="0.25">
      <c r="A347"/>
      <c r="B347"/>
      <c r="C347"/>
      <c r="D347"/>
      <c r="E347"/>
      <c r="F347"/>
      <c r="G347"/>
      <c r="H347"/>
      <c r="I347"/>
      <c r="J347"/>
      <c r="Q347"/>
      <c r="R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:43" ht="15" customHeigh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:43" ht="15" customHeigh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:43" ht="15" customHeigh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:43" ht="15" customHeight="1" x14ac:dyDescent="0.25">
      <c r="A351"/>
      <c r="B351"/>
      <c r="C351"/>
      <c r="D351"/>
      <c r="E351"/>
      <c r="F351"/>
      <c r="G351"/>
      <c r="H351"/>
      <c r="I351"/>
      <c r="J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:43" ht="15" customHeight="1" x14ac:dyDescent="0.25">
      <c r="A352"/>
      <c r="B352"/>
      <c r="C352"/>
      <c r="D352"/>
      <c r="E352"/>
      <c r="F352"/>
      <c r="G352"/>
      <c r="H352"/>
      <c r="I352"/>
      <c r="J352"/>
      <c r="AF352" s="727"/>
      <c r="AG352"/>
      <c r="AH352"/>
      <c r="AI352"/>
      <c r="AJ352"/>
      <c r="AK352"/>
      <c r="AL352"/>
      <c r="AM352"/>
      <c r="AN352"/>
    </row>
    <row r="353" spans="1:10" ht="17.100000000000001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7.100000000000001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7.100000000000001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7.100000000000001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7.100000000000001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7.100000000000001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7.100000000000001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7.100000000000001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7.100000000000001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7.100000000000001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7.100000000000001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7.100000000000001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7.100000000000001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7.100000000000001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7.100000000000001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7.100000000000001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39" ht="17.100000000000001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39" ht="17.100000000000001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39" ht="17.100000000000001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39" ht="17.100000000000001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39" ht="15.95" customHeight="1" x14ac:dyDescent="0.25">
      <c r="A373"/>
      <c r="B373"/>
      <c r="C373"/>
      <c r="D373"/>
      <c r="E373"/>
      <c r="F373"/>
      <c r="G373"/>
      <c r="H373"/>
      <c r="I373"/>
      <c r="J373"/>
      <c r="AE373"/>
    </row>
    <row r="374" spans="1:39" ht="15.95" customHeight="1" x14ac:dyDescent="0.25">
      <c r="A374"/>
      <c r="B374"/>
      <c r="C374"/>
      <c r="D374"/>
      <c r="E374"/>
      <c r="F374"/>
      <c r="G374"/>
      <c r="H374"/>
      <c r="I374"/>
      <c r="J374"/>
      <c r="AE374"/>
    </row>
    <row r="375" spans="1:39" ht="15.95" customHeigh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AE375"/>
    </row>
    <row r="376" spans="1:39" ht="15.95" customHeigh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AE376"/>
    </row>
    <row r="377" spans="1:39" ht="15" customHeigh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AE377"/>
    </row>
    <row r="378" spans="1:39" ht="15" customHeigh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AE378"/>
    </row>
    <row r="379" spans="1:39" ht="15" customHeigh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AE379"/>
    </row>
    <row r="380" spans="1:39" ht="15" customHeigh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AE380"/>
    </row>
    <row r="381" spans="1:39" ht="15" customHeigh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AE381"/>
    </row>
    <row r="382" spans="1:39" ht="15" customHeigh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AE382"/>
      <c r="AF382"/>
      <c r="AG382"/>
      <c r="AH382"/>
      <c r="AI382"/>
      <c r="AJ382"/>
      <c r="AK382"/>
      <c r="AL382"/>
      <c r="AM382"/>
    </row>
    <row r="383" spans="1:39" ht="15" customHeigh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39" ht="15" customHeigh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ht="15" customHeigh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ht="15" customHeigh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ht="15" customHeigh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ht="15" customHeigh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ht="15" customHeigh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ht="15" customHeight="1" x14ac:dyDescent="0.25"/>
    <row r="391" spans="1:18" ht="15" customHeight="1" x14ac:dyDescent="0.25"/>
    <row r="392" spans="1:18" ht="15" customHeight="1" x14ac:dyDescent="0.25"/>
    <row r="393" spans="1:18" ht="15" customHeight="1" x14ac:dyDescent="0.25"/>
    <row r="394" spans="1:18" ht="15" customHeight="1" x14ac:dyDescent="0.25"/>
    <row r="395" spans="1:18" ht="15" customHeight="1" x14ac:dyDescent="0.25"/>
    <row r="396" spans="1:18" ht="15" customHeight="1" x14ac:dyDescent="0.25"/>
  </sheetData>
  <mergeCells count="33">
    <mergeCell ref="BF123:BJ123"/>
    <mergeCell ref="BE138:BF138"/>
    <mergeCell ref="BE139:BF139"/>
    <mergeCell ref="BE140:BF140"/>
    <mergeCell ref="AJ189:AK189"/>
    <mergeCell ref="AJ190:AK190"/>
    <mergeCell ref="AJ191:AK191"/>
    <mergeCell ref="AY123:BC123"/>
    <mergeCell ref="AX138:AY138"/>
    <mergeCell ref="AX139:AY139"/>
    <mergeCell ref="AX140:AY140"/>
    <mergeCell ref="AR123:AV123"/>
    <mergeCell ref="AQ138:AR138"/>
    <mergeCell ref="AQ139:AR139"/>
    <mergeCell ref="AQ140:AR140"/>
    <mergeCell ref="AD174:AH174"/>
    <mergeCell ref="AK174:AO174"/>
    <mergeCell ref="AF313:AG313"/>
    <mergeCell ref="AI313:AN313"/>
    <mergeCell ref="AD61:AH61"/>
    <mergeCell ref="AC77:AH77"/>
    <mergeCell ref="AC78:AD78"/>
    <mergeCell ref="AD123:AH123"/>
    <mergeCell ref="AC138:AD138"/>
    <mergeCell ref="AC139:AD139"/>
    <mergeCell ref="AC140:AD140"/>
    <mergeCell ref="AK123:AO123"/>
    <mergeCell ref="AJ138:AK138"/>
    <mergeCell ref="AJ139:AK139"/>
    <mergeCell ref="AJ140:AK140"/>
    <mergeCell ref="AC189:AD189"/>
    <mergeCell ref="AC190:AD190"/>
    <mergeCell ref="AC191:AD191"/>
  </mergeCells>
  <phoneticPr fontId="82" type="noConversion"/>
  <pageMargins left="0.2" right="0.2" top="0.5" bottom="0.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2F75-38FD-43FA-9296-D540662251B6}">
  <dimension ref="B3:Z3"/>
  <sheetViews>
    <sheetView zoomScale="80" zoomScaleNormal="80" workbookViewId="0">
      <selection activeCell="O26" sqref="O26"/>
    </sheetView>
  </sheetViews>
  <sheetFormatPr defaultRowHeight="12.75" x14ac:dyDescent="0.2"/>
  <sheetData>
    <row r="3" spans="2:26" ht="13.5" customHeight="1" x14ac:dyDescent="0.2">
      <c r="B3" s="728">
        <v>1</v>
      </c>
      <c r="C3" s="729">
        <v>2</v>
      </c>
      <c r="D3" s="730">
        <v>3</v>
      </c>
      <c r="E3" s="731">
        <v>4</v>
      </c>
      <c r="F3" s="728">
        <v>5</v>
      </c>
      <c r="G3" s="729">
        <v>6</v>
      </c>
      <c r="H3" s="730">
        <v>7</v>
      </c>
      <c r="I3" s="731">
        <v>8</v>
      </c>
      <c r="J3" s="728">
        <v>9</v>
      </c>
      <c r="K3" s="729">
        <v>10</v>
      </c>
      <c r="L3" s="730">
        <v>11</v>
      </c>
      <c r="M3" s="731">
        <v>12</v>
      </c>
      <c r="N3" s="728">
        <v>13</v>
      </c>
      <c r="O3" s="729">
        <v>14</v>
      </c>
      <c r="P3" s="730">
        <v>15</v>
      </c>
      <c r="Q3" s="731">
        <v>16</v>
      </c>
      <c r="R3" s="728">
        <v>17</v>
      </c>
      <c r="S3" s="729">
        <v>18</v>
      </c>
      <c r="T3" s="730">
        <v>19</v>
      </c>
      <c r="U3" s="731">
        <v>20</v>
      </c>
      <c r="V3" s="728">
        <v>21</v>
      </c>
      <c r="W3" s="729">
        <v>22</v>
      </c>
      <c r="X3" s="730">
        <v>23</v>
      </c>
      <c r="Y3" s="731">
        <v>24</v>
      </c>
      <c r="Z3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S170"/>
  <sheetViews>
    <sheetView showGridLines="0" zoomScale="90" zoomScaleNormal="90" workbookViewId="0"/>
  </sheetViews>
  <sheetFormatPr defaultRowHeight="12.75" x14ac:dyDescent="0.2"/>
  <cols>
    <col min="3" max="3" width="9.140625" customWidth="1"/>
    <col min="7" max="7" width="5.7109375" customWidth="1"/>
    <col min="9" max="9" width="9.140625" customWidth="1"/>
    <col min="11" max="12" width="9.140625" customWidth="1"/>
    <col min="13" max="13" width="5.7109375" customWidth="1"/>
    <col min="15" max="15" width="9.140625" customWidth="1"/>
    <col min="20" max="20" width="5.7109375" customWidth="1"/>
  </cols>
  <sheetData>
    <row r="1" spans="1:19" ht="15" customHeight="1" x14ac:dyDescent="0.2">
      <c r="A1" s="48" t="s">
        <v>38</v>
      </c>
      <c r="K1" t="s">
        <v>40</v>
      </c>
      <c r="R1" s="52" t="s">
        <v>49</v>
      </c>
    </row>
    <row r="2" spans="1:19" ht="15" customHeight="1" x14ac:dyDescent="0.2">
      <c r="A2" s="49" t="s">
        <v>52</v>
      </c>
    </row>
    <row r="3" spans="1:19" ht="15" customHeight="1" x14ac:dyDescent="0.2">
      <c r="A3" t="s">
        <v>13</v>
      </c>
      <c r="B3" s="50" t="s">
        <v>51</v>
      </c>
    </row>
    <row r="4" spans="1:19" ht="15" customHeight="1" x14ac:dyDescent="0.2">
      <c r="B4" s="50" t="s">
        <v>7</v>
      </c>
    </row>
    <row r="5" spans="1:19" ht="15" customHeight="1" x14ac:dyDescent="0.2">
      <c r="I5" t="s">
        <v>8</v>
      </c>
      <c r="P5" t="s">
        <v>205</v>
      </c>
    </row>
    <row r="6" spans="1:19" ht="15" customHeight="1" x14ac:dyDescent="0.2">
      <c r="B6" s="3">
        <v>0.9</v>
      </c>
      <c r="C6" s="1" t="s">
        <v>6</v>
      </c>
      <c r="E6" s="3"/>
      <c r="I6" s="3">
        <v>0.9</v>
      </c>
      <c r="J6" s="1" t="s">
        <v>6</v>
      </c>
      <c r="P6" s="3">
        <v>0.9</v>
      </c>
      <c r="Q6" s="1" t="s">
        <v>6</v>
      </c>
      <c r="S6" s="3"/>
    </row>
    <row r="7" spans="1:19" ht="15" customHeight="1" x14ac:dyDescent="0.2">
      <c r="B7" s="3">
        <v>0.96</v>
      </c>
      <c r="C7" t="s">
        <v>0</v>
      </c>
      <c r="I7" s="3">
        <v>0.96</v>
      </c>
      <c r="J7" t="s">
        <v>0</v>
      </c>
      <c r="P7" s="3">
        <v>1.02</v>
      </c>
      <c r="Q7" t="s">
        <v>0</v>
      </c>
    </row>
    <row r="8" spans="1:19" ht="15" customHeight="1" x14ac:dyDescent="0.2">
      <c r="B8" s="3">
        <v>85</v>
      </c>
      <c r="C8" s="1" t="s">
        <v>1</v>
      </c>
      <c r="I8" s="3">
        <v>85</v>
      </c>
      <c r="J8" s="1" t="s">
        <v>1</v>
      </c>
      <c r="P8" s="3">
        <v>85</v>
      </c>
      <c r="Q8" s="1" t="s">
        <v>1</v>
      </c>
    </row>
    <row r="9" spans="1:19" ht="15" customHeight="1" x14ac:dyDescent="0.2">
      <c r="B9" s="3"/>
      <c r="C9" s="1"/>
      <c r="I9" s="14">
        <v>0.7</v>
      </c>
      <c r="J9" s="1" t="s">
        <v>9</v>
      </c>
      <c r="P9" s="3"/>
      <c r="Q9" s="1"/>
    </row>
    <row r="10" spans="1:19" ht="15" customHeight="1" x14ac:dyDescent="0.2">
      <c r="F10" t="s">
        <v>10</v>
      </c>
      <c r="L10" t="s">
        <v>11</v>
      </c>
      <c r="R10" s="2" t="s">
        <v>206</v>
      </c>
    </row>
    <row r="11" spans="1:19" ht="15" customHeight="1" x14ac:dyDescent="0.2">
      <c r="B11" s="4" t="s">
        <v>2</v>
      </c>
      <c r="C11" s="4" t="s">
        <v>3</v>
      </c>
      <c r="D11" s="5" t="s">
        <v>5</v>
      </c>
      <c r="E11" s="4" t="s">
        <v>4</v>
      </c>
      <c r="I11" s="4" t="s">
        <v>2</v>
      </c>
      <c r="J11" s="5" t="s">
        <v>5</v>
      </c>
      <c r="K11" s="4" t="s">
        <v>3</v>
      </c>
      <c r="P11" s="4" t="s">
        <v>2</v>
      </c>
      <c r="Q11" s="4" t="s">
        <v>3</v>
      </c>
      <c r="R11" s="5" t="s">
        <v>5</v>
      </c>
      <c r="S11" s="4" t="s">
        <v>4</v>
      </c>
    </row>
    <row r="12" spans="1:19" ht="15" customHeight="1" x14ac:dyDescent="0.2">
      <c r="B12" s="2">
        <v>1</v>
      </c>
      <c r="C12" s="7">
        <v>-4.4000000000000004</v>
      </c>
      <c r="D12" s="12">
        <f>C12/B12</f>
        <v>-4.4000000000000004</v>
      </c>
      <c r="E12" s="9">
        <f>SQRT(12*32.2*D12^2/(4*$B$8*($B$7*56)*$B$6^2))</f>
        <v>0.71081999760175529</v>
      </c>
      <c r="I12" s="2">
        <v>1</v>
      </c>
      <c r="J12" s="12">
        <f t="shared" ref="J12:J21" si="0">K12/I12</f>
        <v>-25.45</v>
      </c>
      <c r="K12" s="7">
        <v>-25.45</v>
      </c>
      <c r="P12" s="2">
        <v>1</v>
      </c>
      <c r="Q12" s="265">
        <v>4.9000000000000004</v>
      </c>
      <c r="R12" s="12">
        <f>(Q12/P12)*2</f>
        <v>9.8000000000000007</v>
      </c>
      <c r="S12" s="9">
        <f>SQRT(12*32.2*R12^2/(4*$P$8*($P$7*56)*$P$6^2))</f>
        <v>1.5359198996230279</v>
      </c>
    </row>
    <row r="13" spans="1:19" ht="15" customHeight="1" x14ac:dyDescent="0.2">
      <c r="B13" s="6">
        <v>2</v>
      </c>
      <c r="C13" s="8">
        <f>-50.9</f>
        <v>-50.9</v>
      </c>
      <c r="D13" s="13">
        <f t="shared" ref="D13:D20" si="1">C13/B13</f>
        <v>-25.45</v>
      </c>
      <c r="E13" s="10">
        <f>SQRT(12*32.2*D13^2/(4*$B$8*($B$7*56)*$B$6^2))</f>
        <v>4.1114474861283341</v>
      </c>
      <c r="I13" s="6">
        <v>2</v>
      </c>
      <c r="J13" s="13">
        <f t="shared" si="0"/>
        <v>-25.45</v>
      </c>
      <c r="K13" s="8">
        <f>-50.9</f>
        <v>-50.9</v>
      </c>
      <c r="P13" s="6">
        <v>2</v>
      </c>
      <c r="Q13" s="266">
        <v>-6.3</v>
      </c>
      <c r="R13" s="12">
        <f t="shared" ref="R13:R23" si="2">(Q13/P13)*2</f>
        <v>-6.3</v>
      </c>
      <c r="S13" s="9">
        <f>SQRT(12*32.2*R13^2/(4*$P$8*($P$7*56)*$P$6^2))</f>
        <v>0.98737707832908916</v>
      </c>
    </row>
    <row r="14" spans="1:19" ht="15" customHeight="1" x14ac:dyDescent="0.2">
      <c r="B14" s="2">
        <v>3</v>
      </c>
      <c r="C14" s="7">
        <v>-76.36</v>
      </c>
      <c r="D14" s="12">
        <f t="shared" si="1"/>
        <v>-25.453333333333333</v>
      </c>
      <c r="E14" s="9">
        <f t="shared" ref="E14:E21" si="3">SQRT(12*32.2*D14^2/(4*$B$8*($B$7*56)*$B$6^2))</f>
        <v>4.1119859861265171</v>
      </c>
      <c r="I14" s="2">
        <v>3</v>
      </c>
      <c r="J14" s="12">
        <f t="shared" si="0"/>
        <v>-25.453333333333333</v>
      </c>
      <c r="K14" s="7">
        <v>-76.36</v>
      </c>
      <c r="P14" s="2">
        <v>3</v>
      </c>
      <c r="Q14" s="265">
        <v>-7.7</v>
      </c>
      <c r="R14" s="12">
        <f t="shared" si="2"/>
        <v>-5.1333333333333337</v>
      </c>
      <c r="S14" s="9">
        <f t="shared" ref="S14:S23" si="4">SQRT(12*32.2*R14^2/(4*$P$8*($P$7*56)*$P$6^2))</f>
        <v>0.80452947123110985</v>
      </c>
    </row>
    <row r="15" spans="1:19" ht="15" customHeight="1" x14ac:dyDescent="0.2">
      <c r="B15" s="2">
        <v>4</v>
      </c>
      <c r="C15" s="7">
        <v>-101.81</v>
      </c>
      <c r="D15" s="12">
        <f t="shared" si="1"/>
        <v>-25.452500000000001</v>
      </c>
      <c r="E15" s="9">
        <f t="shared" si="3"/>
        <v>4.1118513611269716</v>
      </c>
      <c r="I15" s="2">
        <v>4</v>
      </c>
      <c r="J15" s="12">
        <f t="shared" si="0"/>
        <v>-25.452500000000001</v>
      </c>
      <c r="K15" s="7">
        <v>-101.81</v>
      </c>
      <c r="P15" s="2">
        <v>4</v>
      </c>
      <c r="Q15" s="265">
        <v>-9.4</v>
      </c>
      <c r="R15" s="12">
        <f t="shared" si="2"/>
        <v>-4.7</v>
      </c>
      <c r="S15" s="9">
        <f t="shared" si="4"/>
        <v>0.73661464573757462</v>
      </c>
    </row>
    <row r="16" spans="1:19" ht="15" customHeight="1" x14ac:dyDescent="0.2">
      <c r="B16" s="6">
        <v>5</v>
      </c>
      <c r="C16" s="8">
        <v>-127.27</v>
      </c>
      <c r="D16" s="13">
        <f t="shared" si="1"/>
        <v>-25.454000000000001</v>
      </c>
      <c r="E16" s="10">
        <f t="shared" si="3"/>
        <v>4.1120936861261539</v>
      </c>
      <c r="I16" s="6">
        <v>5</v>
      </c>
      <c r="J16" s="13">
        <f t="shared" si="0"/>
        <v>-25.454000000000001</v>
      </c>
      <c r="K16" s="8">
        <v>-127.27</v>
      </c>
      <c r="P16" s="6">
        <v>5</v>
      </c>
      <c r="Q16" s="266">
        <v>-11.3</v>
      </c>
      <c r="R16" s="12">
        <f t="shared" si="2"/>
        <v>-4.5200000000000005</v>
      </c>
      <c r="S16" s="9">
        <f t="shared" si="4"/>
        <v>0.70840387207102917</v>
      </c>
    </row>
    <row r="17" spans="2:19" ht="15" customHeight="1" x14ac:dyDescent="0.2">
      <c r="B17" s="2">
        <v>10</v>
      </c>
      <c r="C17" s="7">
        <v>-254.53</v>
      </c>
      <c r="D17" s="12">
        <f t="shared" si="1"/>
        <v>-25.452999999999999</v>
      </c>
      <c r="E17" s="9">
        <f t="shared" si="3"/>
        <v>4.1119321361266987</v>
      </c>
      <c r="I17" s="2">
        <v>10</v>
      </c>
      <c r="J17" s="12">
        <f t="shared" si="0"/>
        <v>-25.452999999999999</v>
      </c>
      <c r="K17" s="7">
        <v>-254.53</v>
      </c>
      <c r="P17" s="2">
        <v>10</v>
      </c>
      <c r="Q17" s="265">
        <v>-21.6</v>
      </c>
      <c r="R17" s="12">
        <f t="shared" si="2"/>
        <v>-4.32</v>
      </c>
      <c r="S17" s="9">
        <f t="shared" si="4"/>
        <v>0.67705856799708986</v>
      </c>
    </row>
    <row r="18" spans="2:19" ht="15" customHeight="1" x14ac:dyDescent="0.2">
      <c r="B18" s="2">
        <v>20</v>
      </c>
      <c r="C18" s="7">
        <v>-509.05</v>
      </c>
      <c r="D18" s="12">
        <f t="shared" si="1"/>
        <v>-25.452500000000001</v>
      </c>
      <c r="E18" s="9">
        <f t="shared" si="3"/>
        <v>4.1118513611269716</v>
      </c>
      <c r="I18" s="2">
        <v>20</v>
      </c>
      <c r="J18" s="12">
        <f t="shared" si="0"/>
        <v>-25.452500000000001</v>
      </c>
      <c r="K18" s="7">
        <v>-509.05</v>
      </c>
      <c r="P18" s="2">
        <v>20</v>
      </c>
      <c r="Q18" s="265">
        <v>-42.5</v>
      </c>
      <c r="R18" s="12">
        <f t="shared" si="2"/>
        <v>-4.25</v>
      </c>
      <c r="S18" s="9">
        <f t="shared" si="4"/>
        <v>0.66608771157121094</v>
      </c>
    </row>
    <row r="19" spans="2:19" ht="15" customHeight="1" x14ac:dyDescent="0.2">
      <c r="B19" s="2">
        <v>30</v>
      </c>
      <c r="C19" s="7">
        <v>-763.6</v>
      </c>
      <c r="D19" s="12">
        <f t="shared" si="1"/>
        <v>-25.453333333333333</v>
      </c>
      <c r="E19" s="9">
        <f t="shared" si="3"/>
        <v>4.1119859861265171</v>
      </c>
      <c r="I19" s="2">
        <v>30</v>
      </c>
      <c r="J19" s="12">
        <f t="shared" si="0"/>
        <v>-25.453333333333333</v>
      </c>
      <c r="K19" s="7">
        <v>-763.6</v>
      </c>
      <c r="P19" s="2">
        <v>30</v>
      </c>
      <c r="Q19" s="265">
        <v>-63.4</v>
      </c>
      <c r="R19" s="12">
        <f t="shared" si="2"/>
        <v>-4.2266666666666666</v>
      </c>
      <c r="S19" s="9">
        <f t="shared" si="4"/>
        <v>0.66243075942925134</v>
      </c>
    </row>
    <row r="20" spans="2:19" ht="15" customHeight="1" x14ac:dyDescent="0.2">
      <c r="B20" s="6">
        <v>40</v>
      </c>
      <c r="C20" s="8">
        <v>-1018.1</v>
      </c>
      <c r="D20" s="13">
        <f t="shared" si="1"/>
        <v>-25.452500000000001</v>
      </c>
      <c r="E20" s="10">
        <f t="shared" si="3"/>
        <v>4.1118513611269716</v>
      </c>
      <c r="I20" s="6">
        <v>40</v>
      </c>
      <c r="J20" s="13">
        <f t="shared" si="0"/>
        <v>-25.452500000000001</v>
      </c>
      <c r="K20" s="8">
        <v>-1018.1</v>
      </c>
      <c r="P20" s="6">
        <v>40</v>
      </c>
      <c r="Q20" s="266">
        <v>-85.5</v>
      </c>
      <c r="R20" s="12">
        <f t="shared" si="2"/>
        <v>-4.2750000000000004</v>
      </c>
      <c r="S20" s="9">
        <f t="shared" si="4"/>
        <v>0.67000587458045346</v>
      </c>
    </row>
    <row r="21" spans="2:19" ht="15" customHeight="1" x14ac:dyDescent="0.2">
      <c r="B21" s="2">
        <v>50</v>
      </c>
      <c r="C21" s="7">
        <v>-216</v>
      </c>
      <c r="D21" s="12">
        <f>C21/B21</f>
        <v>-4.32</v>
      </c>
      <c r="E21" s="9">
        <f t="shared" si="3"/>
        <v>0.6978959976453597</v>
      </c>
      <c r="I21" s="2">
        <v>50</v>
      </c>
      <c r="J21" s="12">
        <f t="shared" si="0"/>
        <v>-25.452199999999998</v>
      </c>
      <c r="K21" s="7">
        <v>-1272.6099999999999</v>
      </c>
      <c r="P21" s="2">
        <v>50</v>
      </c>
      <c r="Q21" s="265">
        <v>-109.4</v>
      </c>
      <c r="R21" s="12">
        <f t="shared" si="2"/>
        <v>-4.3760000000000003</v>
      </c>
      <c r="S21" s="9">
        <f t="shared" si="4"/>
        <v>0.68583525313779281</v>
      </c>
    </row>
    <row r="22" spans="2:19" ht="15" customHeight="1" x14ac:dyDescent="0.2">
      <c r="P22" s="2">
        <v>60</v>
      </c>
      <c r="Q22" s="265">
        <v>-133.74</v>
      </c>
      <c r="R22" s="12">
        <f t="shared" si="2"/>
        <v>-4.4580000000000002</v>
      </c>
      <c r="S22" s="9">
        <f t="shared" si="4"/>
        <v>0.69868682780810798</v>
      </c>
    </row>
    <row r="23" spans="2:19" ht="15" customHeight="1" x14ac:dyDescent="0.2">
      <c r="B23" s="45" t="s">
        <v>34</v>
      </c>
      <c r="P23" s="2">
        <v>70</v>
      </c>
      <c r="Q23" s="265">
        <v>-158.80000000000001</v>
      </c>
      <c r="R23" s="12">
        <f t="shared" si="2"/>
        <v>-4.5371428571428574</v>
      </c>
      <c r="S23" s="9">
        <f t="shared" si="4"/>
        <v>0.71109061242022398</v>
      </c>
    </row>
    <row r="24" spans="2:19" ht="15" customHeight="1" x14ac:dyDescent="0.2"/>
    <row r="25" spans="2:19" ht="15" customHeight="1" x14ac:dyDescent="0.2">
      <c r="B25" s="15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2:19" ht="15" customHeight="1" x14ac:dyDescent="0.2"/>
    <row r="27" spans="2:19" ht="15" customHeight="1" x14ac:dyDescent="0.2">
      <c r="B27" s="18" t="s">
        <v>15</v>
      </c>
      <c r="C27" s="19"/>
      <c r="D27" s="20"/>
      <c r="F27" s="27" t="s">
        <v>21</v>
      </c>
      <c r="G27" s="28"/>
      <c r="I27" s="30" t="s">
        <v>23</v>
      </c>
      <c r="J27" s="31"/>
      <c r="K27" s="31"/>
      <c r="L27" s="32"/>
    </row>
    <row r="28" spans="2:19" ht="15" customHeight="1" x14ac:dyDescent="0.2">
      <c r="B28" s="21" t="s">
        <v>16</v>
      </c>
      <c r="C28" s="22" t="s">
        <v>19</v>
      </c>
      <c r="D28" s="23">
        <v>0.9</v>
      </c>
      <c r="F28" s="24" t="s">
        <v>22</v>
      </c>
      <c r="G28" s="26">
        <v>0.7</v>
      </c>
      <c r="I28" s="33" t="s">
        <v>24</v>
      </c>
      <c r="J28" s="34" t="s">
        <v>26</v>
      </c>
      <c r="K28" s="19"/>
      <c r="L28" s="20"/>
    </row>
    <row r="29" spans="2:19" ht="15" customHeight="1" x14ac:dyDescent="0.2">
      <c r="B29" s="21" t="s">
        <v>17</v>
      </c>
      <c r="C29" s="22" t="s">
        <v>20</v>
      </c>
      <c r="D29" s="23">
        <v>0.96</v>
      </c>
      <c r="I29" s="35" t="s">
        <v>25</v>
      </c>
      <c r="J29" s="36" t="s">
        <v>27</v>
      </c>
      <c r="L29" s="37"/>
    </row>
    <row r="30" spans="2:19" ht="15" customHeight="1" x14ac:dyDescent="0.2">
      <c r="B30" s="24" t="s">
        <v>18</v>
      </c>
      <c r="C30" s="25" t="s">
        <v>28</v>
      </c>
      <c r="D30" s="26">
        <v>85</v>
      </c>
      <c r="I30" s="38">
        <f>D29*2.20462*25.4*12</f>
        <v>645.0894489599998</v>
      </c>
      <c r="J30" s="39">
        <f>(G28*D28*SQRT(4*D30*I30/32.2)/12)/2</f>
        <v>2.1664606226104683</v>
      </c>
      <c r="K30" s="40" t="s">
        <v>37</v>
      </c>
      <c r="L30" s="29"/>
    </row>
    <row r="31" spans="2:19" ht="15" customHeight="1" x14ac:dyDescent="0.2"/>
    <row r="32" spans="2:19" ht="15" customHeight="1" x14ac:dyDescent="0.2">
      <c r="I32" s="30" t="s">
        <v>29</v>
      </c>
      <c r="J32" s="31"/>
      <c r="K32" s="32"/>
    </row>
    <row r="33" spans="9:12" ht="15" customHeight="1" x14ac:dyDescent="0.2">
      <c r="I33" s="33" t="s">
        <v>30</v>
      </c>
      <c r="J33" s="34" t="s">
        <v>32</v>
      </c>
      <c r="K33" s="41"/>
    </row>
    <row r="34" spans="9:12" ht="15" customHeight="1" x14ac:dyDescent="0.2">
      <c r="I34" s="35" t="s">
        <v>31</v>
      </c>
      <c r="J34" s="36" t="s">
        <v>33</v>
      </c>
      <c r="K34" s="23"/>
    </row>
    <row r="35" spans="9:12" ht="15" customHeight="1" x14ac:dyDescent="0.2">
      <c r="I35" s="42">
        <v>1</v>
      </c>
      <c r="J35" s="12">
        <f>I35*J$30</f>
        <v>2.1664606226104683</v>
      </c>
      <c r="K35" s="23"/>
      <c r="L35" s="47">
        <v>2.1664606226104683</v>
      </c>
    </row>
    <row r="36" spans="9:12" ht="15" customHeight="1" x14ac:dyDescent="0.2">
      <c r="I36" s="44">
        <v>2</v>
      </c>
      <c r="J36" s="46">
        <f t="shared" ref="J36:J46" si="5">I36*J$30</f>
        <v>4.3329212452209367</v>
      </c>
      <c r="K36" s="23"/>
      <c r="L36" s="47">
        <v>4.3329212452209367</v>
      </c>
    </row>
    <row r="37" spans="9:12" ht="15" customHeight="1" x14ac:dyDescent="0.2">
      <c r="I37" s="42">
        <v>3</v>
      </c>
      <c r="J37" s="12">
        <f t="shared" si="5"/>
        <v>6.4993818678314046</v>
      </c>
      <c r="K37" s="23"/>
      <c r="L37" s="47">
        <v>6.4993818678314046</v>
      </c>
    </row>
    <row r="38" spans="9:12" ht="15" customHeight="1" x14ac:dyDescent="0.2">
      <c r="I38" s="42">
        <v>4</v>
      </c>
      <c r="J38" s="12">
        <f t="shared" si="5"/>
        <v>8.6658424904418734</v>
      </c>
      <c r="K38" s="23"/>
      <c r="L38" s="47">
        <v>8.6658424904418734</v>
      </c>
    </row>
    <row r="39" spans="9:12" ht="15" customHeight="1" x14ac:dyDescent="0.2">
      <c r="I39" s="44">
        <v>5</v>
      </c>
      <c r="J39" s="46">
        <f t="shared" si="5"/>
        <v>10.832303113052342</v>
      </c>
      <c r="K39" s="23"/>
      <c r="L39" s="47">
        <v>10.832303113052342</v>
      </c>
    </row>
    <row r="40" spans="9:12" ht="15" customHeight="1" x14ac:dyDescent="0.2">
      <c r="I40" s="42">
        <v>10</v>
      </c>
      <c r="J40" s="12">
        <f t="shared" si="5"/>
        <v>21.664606226104684</v>
      </c>
      <c r="K40" s="23"/>
      <c r="L40" s="47">
        <v>21.664606226104684</v>
      </c>
    </row>
    <row r="41" spans="9:12" ht="15" customHeight="1" x14ac:dyDescent="0.2">
      <c r="I41" s="42">
        <v>20</v>
      </c>
      <c r="J41" s="12">
        <f t="shared" si="5"/>
        <v>43.329212452209369</v>
      </c>
      <c r="K41" s="23"/>
      <c r="L41" s="47">
        <v>43.329212452209369</v>
      </c>
    </row>
    <row r="42" spans="9:12" ht="15" customHeight="1" x14ac:dyDescent="0.2">
      <c r="I42" s="42">
        <v>30</v>
      </c>
      <c r="J42" s="12">
        <f t="shared" si="5"/>
        <v>64.993818678314057</v>
      </c>
      <c r="K42" s="23"/>
      <c r="L42" s="47">
        <v>64.993818678314057</v>
      </c>
    </row>
    <row r="43" spans="9:12" ht="15" customHeight="1" x14ac:dyDescent="0.2">
      <c r="I43" s="44">
        <v>40</v>
      </c>
      <c r="J43" s="46">
        <f t="shared" si="5"/>
        <v>86.658424904418737</v>
      </c>
      <c r="K43" s="23"/>
      <c r="L43" s="47">
        <v>86.658424904418737</v>
      </c>
    </row>
    <row r="44" spans="9:12" ht="15" customHeight="1" x14ac:dyDescent="0.2">
      <c r="I44" s="42">
        <v>50</v>
      </c>
      <c r="J44" s="12">
        <f t="shared" si="5"/>
        <v>108.32303113052342</v>
      </c>
      <c r="K44" s="23"/>
      <c r="L44" s="47">
        <v>108.32303113052342</v>
      </c>
    </row>
    <row r="45" spans="9:12" ht="15" customHeight="1" x14ac:dyDescent="0.2">
      <c r="I45" s="42">
        <v>60</v>
      </c>
      <c r="J45" s="12">
        <f t="shared" si="5"/>
        <v>129.98763735662811</v>
      </c>
      <c r="K45" s="23"/>
      <c r="L45" s="47">
        <v>129.98763735662811</v>
      </c>
    </row>
    <row r="46" spans="9:12" ht="15" customHeight="1" x14ac:dyDescent="0.2">
      <c r="I46" s="42">
        <v>70</v>
      </c>
      <c r="J46" s="12">
        <f t="shared" si="5"/>
        <v>151.65224358273278</v>
      </c>
      <c r="K46" s="23"/>
      <c r="L46" s="47">
        <v>151.65224358273278</v>
      </c>
    </row>
    <row r="47" spans="9:12" ht="15" customHeight="1" x14ac:dyDescent="0.2">
      <c r="I47" s="43"/>
      <c r="J47" s="39"/>
      <c r="K47" s="26"/>
    </row>
    <row r="48" spans="9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</sheetData>
  <pageMargins left="0.45" right="0.45" top="0.5" bottom="0.5" header="0.3" footer="0.3"/>
  <pageSetup scale="5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Sheet2">
    <pageSetUpPr fitToPage="1"/>
  </sheetPr>
  <dimension ref="A1:AX209"/>
  <sheetViews>
    <sheetView showGridLines="0" topLeftCell="A78" zoomScale="90" zoomScaleNormal="90" workbookViewId="0">
      <selection activeCell="T11" sqref="T11"/>
    </sheetView>
  </sheetViews>
  <sheetFormatPr defaultRowHeight="15" x14ac:dyDescent="0.25"/>
  <cols>
    <col min="1" max="2" width="9.140625" style="55"/>
    <col min="3" max="3" width="9.140625" style="55" customWidth="1"/>
    <col min="4" max="6" width="9.140625" style="55"/>
    <col min="7" max="7" width="9.140625" style="55" customWidth="1"/>
    <col min="8" max="8" width="9.140625" style="55"/>
    <col min="9" max="9" width="9.140625" style="55" customWidth="1"/>
    <col min="10" max="10" width="9.140625" style="55"/>
    <col min="11" max="12" width="9.140625" style="55" customWidth="1"/>
    <col min="13" max="13" width="8.42578125" style="55" customWidth="1"/>
    <col min="14" max="14" width="9.140625" style="55"/>
    <col min="15" max="15" width="9.140625" style="55" customWidth="1"/>
    <col min="16" max="19" width="9.140625" style="55"/>
    <col min="20" max="20" width="9.140625" style="55" customWidth="1"/>
    <col min="21" max="23" width="9.140625" style="55"/>
    <col min="24" max="24" width="1.42578125" style="55" customWidth="1"/>
    <col min="25" max="25" width="8.5703125" style="55" customWidth="1"/>
    <col min="26" max="26" width="4.28515625" style="55" customWidth="1"/>
    <col min="27" max="27" width="4.7109375" style="55" customWidth="1"/>
    <col min="28" max="28" width="1.85546875" style="55" customWidth="1"/>
    <col min="29" max="29" width="5.7109375" style="55" customWidth="1"/>
    <col min="30" max="30" width="6.5703125" style="55" customWidth="1"/>
    <col min="31" max="31" width="1.85546875" style="55" customWidth="1"/>
    <col min="32" max="32" width="7" style="55" customWidth="1"/>
    <col min="33" max="33" width="7.7109375" style="55" customWidth="1"/>
    <col min="34" max="34" width="6.140625" style="55" customWidth="1"/>
    <col min="35" max="35" width="8.85546875" style="55" customWidth="1"/>
    <col min="36" max="37" width="1.28515625" style="55" customWidth="1"/>
    <col min="38" max="39" width="10.7109375" style="55" customWidth="1"/>
    <col min="40" max="40" width="6.7109375" style="55" customWidth="1"/>
    <col min="41" max="41" width="7.85546875" style="55" customWidth="1"/>
    <col min="42" max="42" width="1.42578125" style="55" customWidth="1"/>
    <col min="43" max="16384" width="9.140625" style="55"/>
  </cols>
  <sheetData>
    <row r="1" spans="1:30" ht="18" customHeight="1" x14ac:dyDescent="0.25">
      <c r="B1" s="65" t="s">
        <v>119</v>
      </c>
      <c r="O1" s="195" t="s">
        <v>49</v>
      </c>
    </row>
    <row r="2" spans="1:30" ht="15" customHeight="1" x14ac:dyDescent="0.25">
      <c r="A2" s="55" t="s">
        <v>73</v>
      </c>
      <c r="B2" s="57" t="s">
        <v>99</v>
      </c>
      <c r="AB2" s="58" t="s">
        <v>100</v>
      </c>
    </row>
    <row r="3" spans="1:30" ht="15" customHeight="1" x14ac:dyDescent="0.25">
      <c r="A3" s="195" t="s">
        <v>50</v>
      </c>
      <c r="B3" s="59"/>
    </row>
    <row r="4" spans="1:30" ht="15" customHeight="1" x14ac:dyDescent="0.25">
      <c r="A4" s="58" t="s">
        <v>126</v>
      </c>
      <c r="B4" s="59"/>
    </row>
    <row r="5" spans="1:30" ht="15" customHeight="1" x14ac:dyDescent="0.25">
      <c r="A5" s="58"/>
      <c r="B5" s="59"/>
    </row>
    <row r="6" spans="1:30" ht="15" customHeight="1" x14ac:dyDescent="0.25">
      <c r="A6" s="261" t="s">
        <v>198</v>
      </c>
      <c r="B6" s="59"/>
    </row>
    <row r="7" spans="1:30" ht="15" customHeight="1" x14ac:dyDescent="0.25">
      <c r="A7" s="58"/>
      <c r="B7" s="59"/>
      <c r="AB7" s="60" t="s">
        <v>79</v>
      </c>
      <c r="AC7" s="61"/>
      <c r="AD7" s="61"/>
    </row>
    <row r="8" spans="1:30" ht="15" customHeight="1" x14ac:dyDescent="0.25">
      <c r="A8" s="58"/>
      <c r="B8" s="62" t="s">
        <v>102</v>
      </c>
      <c r="C8" s="63"/>
      <c r="D8" s="63"/>
      <c r="E8" s="63"/>
      <c r="F8" s="63"/>
      <c r="G8" s="63"/>
      <c r="H8" s="63"/>
      <c r="I8" s="63"/>
      <c r="J8" s="63"/>
      <c r="K8" s="63"/>
      <c r="L8" s="64"/>
      <c r="AD8" s="58"/>
    </row>
    <row r="9" spans="1:30" ht="15" customHeight="1" x14ac:dyDescent="0.25">
      <c r="A9" s="58"/>
      <c r="B9" s="65"/>
      <c r="C9" s="84" t="s">
        <v>131</v>
      </c>
      <c r="D9" s="58" t="s">
        <v>147</v>
      </c>
      <c r="AD9" s="58"/>
    </row>
    <row r="10" spans="1:30" ht="15" customHeight="1" x14ac:dyDescent="0.25">
      <c r="A10" s="58"/>
      <c r="D10" s="55" t="s">
        <v>148</v>
      </c>
      <c r="AD10" s="58"/>
    </row>
    <row r="11" spans="1:30" ht="15" customHeight="1" x14ac:dyDescent="0.25">
      <c r="A11" s="58"/>
      <c r="B11" s="65"/>
      <c r="C11" s="66" t="s">
        <v>43</v>
      </c>
      <c r="D11" s="67" t="s">
        <v>101</v>
      </c>
      <c r="AC11" s="68" t="s">
        <v>72</v>
      </c>
    </row>
    <row r="12" spans="1:30" ht="15" customHeight="1" x14ac:dyDescent="0.25">
      <c r="A12" s="58"/>
      <c r="B12" s="65"/>
      <c r="C12" s="66" t="s">
        <v>44</v>
      </c>
      <c r="D12" s="67" t="s">
        <v>103</v>
      </c>
      <c r="AC12" s="68"/>
    </row>
    <row r="13" spans="1:30" ht="15" customHeight="1" x14ac:dyDescent="0.25">
      <c r="A13" s="58"/>
      <c r="B13" s="65"/>
      <c r="C13" s="66" t="s">
        <v>45</v>
      </c>
      <c r="D13" s="67" t="s">
        <v>104</v>
      </c>
    </row>
    <row r="14" spans="1:30" ht="15" customHeight="1" x14ac:dyDescent="0.25">
      <c r="A14" s="58"/>
      <c r="B14" s="65"/>
      <c r="C14" s="66" t="s">
        <v>46</v>
      </c>
      <c r="D14" s="67" t="s">
        <v>105</v>
      </c>
    </row>
    <row r="15" spans="1:30" ht="15" customHeight="1" x14ac:dyDescent="0.25">
      <c r="A15" s="58"/>
      <c r="B15" s="65"/>
      <c r="C15" s="66"/>
      <c r="D15" s="67" t="s">
        <v>106</v>
      </c>
    </row>
    <row r="16" spans="1:30" ht="15" customHeight="1" x14ac:dyDescent="0.25">
      <c r="A16" s="58"/>
      <c r="B16" s="65"/>
      <c r="C16" s="66" t="s">
        <v>47</v>
      </c>
      <c r="D16" s="67" t="s">
        <v>107</v>
      </c>
    </row>
    <row r="17" spans="1:37" ht="15" customHeight="1" x14ac:dyDescent="0.25">
      <c r="A17" s="58"/>
      <c r="B17" s="65"/>
      <c r="C17" s="66" t="s">
        <v>48</v>
      </c>
      <c r="D17" s="67" t="s">
        <v>149</v>
      </c>
    </row>
    <row r="18" spans="1:37" ht="15" customHeight="1" x14ac:dyDescent="0.25">
      <c r="A18" s="58"/>
      <c r="B18" s="65"/>
      <c r="D18" s="67" t="s">
        <v>154</v>
      </c>
    </row>
    <row r="19" spans="1:37" ht="15" customHeight="1" x14ac:dyDescent="0.25">
      <c r="A19" s="58"/>
      <c r="B19" s="65"/>
      <c r="D19" s="67" t="s">
        <v>109</v>
      </c>
    </row>
    <row r="20" spans="1:37" ht="15" customHeight="1" x14ac:dyDescent="0.25">
      <c r="A20" s="58"/>
      <c r="B20" s="65"/>
      <c r="D20" s="67"/>
    </row>
    <row r="21" spans="1:37" ht="15" customHeight="1" x14ac:dyDescent="0.25">
      <c r="A21" s="58"/>
      <c r="B21" s="65" t="s">
        <v>145</v>
      </c>
      <c r="C21" s="66"/>
      <c r="D21" s="67" t="s">
        <v>146</v>
      </c>
    </row>
    <row r="22" spans="1:37" ht="15" customHeight="1" x14ac:dyDescent="0.25">
      <c r="A22" s="58"/>
      <c r="B22" s="65"/>
      <c r="C22" s="66"/>
    </row>
    <row r="23" spans="1:37" ht="15" customHeight="1" x14ac:dyDescent="0.25">
      <c r="A23" s="58"/>
      <c r="B23" s="65"/>
      <c r="C23" s="66"/>
      <c r="D23" s="67"/>
      <c r="H23" s="215" t="s">
        <v>158</v>
      </c>
      <c r="J23" s="216" t="s">
        <v>159</v>
      </c>
      <c r="N23" s="217" t="s">
        <v>161</v>
      </c>
      <c r="V23" s="214" t="s">
        <v>156</v>
      </c>
      <c r="W23" s="214"/>
    </row>
    <row r="24" spans="1:37" ht="15" customHeight="1" x14ac:dyDescent="0.25">
      <c r="A24" s="58"/>
      <c r="B24" s="65"/>
      <c r="C24" s="66"/>
      <c r="D24" s="67"/>
      <c r="AI24" s="58" t="s">
        <v>96</v>
      </c>
      <c r="AJ24" s="58"/>
    </row>
    <row r="25" spans="1:37" ht="15" customHeight="1" x14ac:dyDescent="0.25">
      <c r="A25" s="58"/>
      <c r="B25" s="65"/>
      <c r="C25" s="66"/>
      <c r="D25" s="67"/>
      <c r="I25" s="60" t="s">
        <v>94</v>
      </c>
      <c r="J25" s="69"/>
      <c r="X25" s="216" t="s">
        <v>160</v>
      </c>
    </row>
    <row r="26" spans="1:37" ht="15" customHeight="1" x14ac:dyDescent="0.25">
      <c r="A26" s="58"/>
      <c r="B26" s="65"/>
      <c r="V26" s="216" t="s">
        <v>159</v>
      </c>
      <c r="W26" s="216"/>
      <c r="AB26" s="71" t="s">
        <v>36</v>
      </c>
      <c r="AC26" s="72"/>
      <c r="AI26" s="71" t="s">
        <v>36</v>
      </c>
      <c r="AJ26" s="329"/>
      <c r="AK26" s="72"/>
    </row>
    <row r="27" spans="1:37" ht="15" customHeight="1" x14ac:dyDescent="0.25">
      <c r="A27" s="58"/>
      <c r="B27" s="59"/>
      <c r="C27" s="77" t="s">
        <v>15</v>
      </c>
      <c r="D27" s="78"/>
      <c r="E27" s="79"/>
      <c r="G27" s="73"/>
      <c r="H27" s="73"/>
      <c r="I27" s="74" t="s">
        <v>95</v>
      </c>
      <c r="J27" s="162" t="s">
        <v>111</v>
      </c>
      <c r="K27" s="73"/>
      <c r="AB27" s="75" t="s">
        <v>60</v>
      </c>
      <c r="AC27" s="76"/>
      <c r="AI27" s="75" t="s">
        <v>60</v>
      </c>
      <c r="AJ27" s="75"/>
      <c r="AK27" s="76">
        <v>0.90359999999999996</v>
      </c>
    </row>
    <row r="28" spans="1:37" ht="15" customHeight="1" x14ac:dyDescent="0.25">
      <c r="A28" s="58"/>
      <c r="B28" s="59"/>
      <c r="C28" s="86" t="s">
        <v>61</v>
      </c>
      <c r="D28" s="87" t="s">
        <v>19</v>
      </c>
      <c r="E28" s="88">
        <v>0.9</v>
      </c>
      <c r="F28" s="80"/>
      <c r="G28" s="81" t="s">
        <v>2</v>
      </c>
      <c r="H28" s="82" t="s">
        <v>91</v>
      </c>
      <c r="I28" s="83">
        <v>2</v>
      </c>
      <c r="J28" s="82" t="s">
        <v>26</v>
      </c>
      <c r="K28" s="82" t="s">
        <v>58</v>
      </c>
      <c r="N28"/>
      <c r="P28"/>
      <c r="Q28"/>
      <c r="R28"/>
      <c r="S28"/>
      <c r="T28"/>
      <c r="U28"/>
      <c r="V28" s="82" t="s">
        <v>91</v>
      </c>
      <c r="W28" s="82"/>
      <c r="X28" s="82" t="s">
        <v>91</v>
      </c>
      <c r="AB28" s="84" t="s">
        <v>60</v>
      </c>
      <c r="AC28" s="85"/>
      <c r="AI28" s="84" t="s">
        <v>60</v>
      </c>
      <c r="AJ28" s="84"/>
      <c r="AK28" s="85">
        <v>0.55759999999999998</v>
      </c>
    </row>
    <row r="29" spans="1:37" ht="15" customHeight="1" x14ac:dyDescent="0.25">
      <c r="A29" s="58"/>
      <c r="B29" s="59"/>
      <c r="C29" s="86" t="s">
        <v>62</v>
      </c>
      <c r="D29" s="87" t="s">
        <v>20</v>
      </c>
      <c r="E29" s="96">
        <v>0.96</v>
      </c>
      <c r="F29" s="80"/>
      <c r="G29" s="89">
        <v>1</v>
      </c>
      <c r="H29" s="90">
        <v>2.9160956938633196</v>
      </c>
      <c r="I29" s="91">
        <f>H29-I$28</f>
        <v>0.91609569386331957</v>
      </c>
      <c r="J29" s="92">
        <f>(I29/G29)</f>
        <v>0.91609569386331957</v>
      </c>
      <c r="K29" s="93">
        <f t="shared" ref="K29:K40" si="0">SQRT(12*32.2*J29^2/(4*$E$30*($E$29*56)*$E$28^2))</f>
        <v>0.14799525884429615</v>
      </c>
      <c r="N29"/>
      <c r="P29"/>
      <c r="Q29"/>
      <c r="R29"/>
      <c r="S29"/>
      <c r="T29"/>
      <c r="U29"/>
      <c r="V29" s="90">
        <v>2.9160956938633196</v>
      </c>
      <c r="W29" s="90"/>
      <c r="X29" s="90">
        <v>2.9122538354253837</v>
      </c>
      <c r="Y29" s="264">
        <f>X29/V29</f>
        <v>0.99868253348269032</v>
      </c>
      <c r="AB29" s="94" t="s">
        <v>60</v>
      </c>
      <c r="AC29" s="95"/>
      <c r="AI29" s="94" t="s">
        <v>60</v>
      </c>
      <c r="AJ29" s="94"/>
      <c r="AK29" s="95">
        <v>0.43940000000000001</v>
      </c>
    </row>
    <row r="30" spans="1:37" ht="15" customHeight="1" x14ac:dyDescent="0.25">
      <c r="A30" s="58"/>
      <c r="B30" s="59"/>
      <c r="C30" s="102" t="s">
        <v>59</v>
      </c>
      <c r="D30" s="103" t="s">
        <v>28</v>
      </c>
      <c r="E30" s="104">
        <v>85</v>
      </c>
      <c r="F30" s="80"/>
      <c r="G30" s="97">
        <v>2</v>
      </c>
      <c r="H30" s="98">
        <v>3.6693729602510459</v>
      </c>
      <c r="I30" s="99">
        <f t="shared" ref="I30:I40" si="1">H30-I$28</f>
        <v>1.6693729602510459</v>
      </c>
      <c r="J30" s="100">
        <f t="shared" ref="J30:J40" si="2">(I30/G30)</f>
        <v>0.83468648012552293</v>
      </c>
      <c r="K30" s="101">
        <f t="shared" si="0"/>
        <v>0.13484360040932766</v>
      </c>
      <c r="N30"/>
      <c r="P30"/>
      <c r="Q30"/>
      <c r="R30"/>
      <c r="S30"/>
      <c r="T30"/>
      <c r="U30"/>
      <c r="V30" s="98">
        <v>3.6693729602510459</v>
      </c>
      <c r="W30" s="98"/>
      <c r="X30" s="98">
        <v>4.1269623430962339</v>
      </c>
      <c r="Y30" s="264">
        <f t="shared" ref="Y30:Y43" si="3">X30/V30</f>
        <v>1.1247050620915573</v>
      </c>
      <c r="AB30" s="84" t="s">
        <v>60</v>
      </c>
      <c r="AC30" s="85"/>
      <c r="AI30" s="84" t="s">
        <v>60</v>
      </c>
      <c r="AJ30" s="84"/>
      <c r="AK30" s="85">
        <v>0.378</v>
      </c>
    </row>
    <row r="31" spans="1:37" ht="15" customHeight="1" x14ac:dyDescent="0.25">
      <c r="A31" s="58"/>
      <c r="B31" s="59"/>
      <c r="F31" s="80"/>
      <c r="G31" s="105">
        <v>3</v>
      </c>
      <c r="H31" s="106">
        <v>4.3910232217573215</v>
      </c>
      <c r="I31" s="107">
        <f t="shared" si="1"/>
        <v>2.3910232217573215</v>
      </c>
      <c r="J31" s="108">
        <f t="shared" si="2"/>
        <v>0.79700774058577384</v>
      </c>
      <c r="K31" s="109">
        <f t="shared" si="0"/>
        <v>0.1287566000572182</v>
      </c>
      <c r="N31"/>
      <c r="P31"/>
      <c r="Q31"/>
      <c r="R31"/>
      <c r="S31"/>
      <c r="T31"/>
      <c r="U31"/>
      <c r="V31" s="106">
        <v>4.3910232217573215</v>
      </c>
      <c r="W31" s="106"/>
      <c r="X31" s="106">
        <v>5.2407364016736393</v>
      </c>
      <c r="Y31" s="264">
        <f t="shared" si="3"/>
        <v>1.193511429342033</v>
      </c>
      <c r="AB31" s="84" t="s">
        <v>60</v>
      </c>
      <c r="AC31" s="85"/>
      <c r="AI31" s="84" t="s">
        <v>60</v>
      </c>
      <c r="AJ31" s="84"/>
      <c r="AK31" s="85">
        <v>0.33939999999999998</v>
      </c>
    </row>
    <row r="32" spans="1:37" ht="15" customHeight="1" x14ac:dyDescent="0.25">
      <c r="A32" s="58"/>
      <c r="B32" s="59"/>
      <c r="G32" s="97">
        <v>4</v>
      </c>
      <c r="H32" s="98">
        <v>5.081046478382147</v>
      </c>
      <c r="I32" s="99">
        <f t="shared" si="1"/>
        <v>3.081046478382147</v>
      </c>
      <c r="J32" s="100">
        <f t="shared" si="2"/>
        <v>0.77026161959553674</v>
      </c>
      <c r="K32" s="101">
        <f t="shared" si="0"/>
        <v>0.12443576422582353</v>
      </c>
      <c r="N32"/>
      <c r="P32"/>
      <c r="Q32"/>
      <c r="R32"/>
      <c r="S32"/>
      <c r="T32"/>
      <c r="U32"/>
      <c r="V32" s="98">
        <v>5.081046478382147</v>
      </c>
      <c r="W32" s="98"/>
      <c r="X32" s="98">
        <v>6.2535760111576</v>
      </c>
      <c r="Y32" s="264">
        <f t="shared" si="3"/>
        <v>1.2307653625614536</v>
      </c>
      <c r="AB32" s="94" t="s">
        <v>60</v>
      </c>
      <c r="AC32" s="95"/>
      <c r="AI32" s="94" t="s">
        <v>60</v>
      </c>
      <c r="AJ32" s="94"/>
      <c r="AK32" s="95">
        <v>0.24879999999999999</v>
      </c>
    </row>
    <row r="33" spans="1:37" ht="15" customHeight="1" x14ac:dyDescent="0.25">
      <c r="A33" s="58"/>
      <c r="B33" s="59"/>
      <c r="G33" s="97">
        <v>5</v>
      </c>
      <c r="H33" s="98">
        <v>5.7394427301255231</v>
      </c>
      <c r="I33" s="99">
        <f t="shared" si="1"/>
        <v>3.7394427301255231</v>
      </c>
      <c r="J33" s="100">
        <f t="shared" si="2"/>
        <v>0.74788854602510457</v>
      </c>
      <c r="K33" s="101">
        <f t="shared" si="0"/>
        <v>0.12082139420271477</v>
      </c>
      <c r="N33"/>
      <c r="P33"/>
      <c r="Q33"/>
      <c r="R33"/>
      <c r="S33"/>
      <c r="T33"/>
      <c r="U33"/>
      <c r="V33" s="98">
        <v>5.7394427301255231</v>
      </c>
      <c r="W33" s="98"/>
      <c r="X33" s="98">
        <v>7.1654811715481159</v>
      </c>
      <c r="Y33" s="264">
        <f t="shared" si="3"/>
        <v>1.2484628749647624</v>
      </c>
      <c r="AB33" s="84" t="s">
        <v>60</v>
      </c>
      <c r="AC33" s="85"/>
      <c r="AI33" s="84" t="s">
        <v>60</v>
      </c>
      <c r="AJ33" s="84"/>
      <c r="AK33" s="85">
        <v>0.18279999999999999</v>
      </c>
    </row>
    <row r="34" spans="1:37" ht="15" customHeight="1" x14ac:dyDescent="0.25">
      <c r="A34" s="58"/>
      <c r="B34" s="59"/>
      <c r="G34" s="105">
        <v>10</v>
      </c>
      <c r="H34" s="106">
        <v>8.5570189156206418</v>
      </c>
      <c r="I34" s="107">
        <f t="shared" si="1"/>
        <v>6.5570189156206418</v>
      </c>
      <c r="J34" s="108">
        <f t="shared" si="2"/>
        <v>0.65570189156206415</v>
      </c>
      <c r="K34" s="109">
        <f>SQRT(12*32.2*J34^2/(4*$E$30*($E$29*56)*$E$28^2))</f>
        <v>0.10592864022445746</v>
      </c>
      <c r="N34"/>
      <c r="P34"/>
      <c r="Q34"/>
      <c r="R34"/>
      <c r="S34"/>
      <c r="T34"/>
      <c r="U34"/>
      <c r="V34" s="106">
        <v>8.5570189156206418</v>
      </c>
      <c r="W34" s="106"/>
      <c r="X34" s="106">
        <v>10.210990237099024</v>
      </c>
      <c r="Y34" s="264">
        <f t="shared" si="3"/>
        <v>1.1932882628620927</v>
      </c>
      <c r="AB34" s="84" t="s">
        <v>60</v>
      </c>
      <c r="AC34" s="85"/>
      <c r="AI34" s="84" t="s">
        <v>60</v>
      </c>
      <c r="AJ34" s="84"/>
      <c r="AK34" s="85">
        <v>0.16239999999999999</v>
      </c>
    </row>
    <row r="35" spans="1:37" ht="15" customHeight="1" x14ac:dyDescent="0.25">
      <c r="A35" s="58"/>
      <c r="B35" s="59"/>
      <c r="G35" s="97">
        <v>20</v>
      </c>
      <c r="H35" s="98">
        <v>12.70754545454545</v>
      </c>
      <c r="I35" s="99">
        <f t="shared" si="1"/>
        <v>10.70754545454545</v>
      </c>
      <c r="J35" s="100">
        <f t="shared" si="2"/>
        <v>0.53537727272727254</v>
      </c>
      <c r="K35" s="101">
        <f t="shared" si="0"/>
        <v>8.6490198117280481E-2</v>
      </c>
      <c r="N35"/>
      <c r="P35"/>
      <c r="Q35"/>
      <c r="R35"/>
      <c r="S35"/>
      <c r="T35"/>
      <c r="U35"/>
      <c r="V35" s="98">
        <v>12.70754545454545</v>
      </c>
      <c r="W35" s="98"/>
      <c r="X35" s="98">
        <v>15.026969696969696</v>
      </c>
      <c r="Y35" s="264">
        <f t="shared" si="3"/>
        <v>1.1825233874410102</v>
      </c>
      <c r="AB35" s="84" t="s">
        <v>60</v>
      </c>
      <c r="AC35" s="85"/>
      <c r="AI35" s="84" t="s">
        <v>60</v>
      </c>
      <c r="AJ35" s="84"/>
      <c r="AK35" s="85">
        <v>0.1552</v>
      </c>
    </row>
    <row r="36" spans="1:37" ht="15" customHeight="1" x14ac:dyDescent="0.25">
      <c r="A36" s="58"/>
      <c r="B36" s="59"/>
      <c r="G36" s="97">
        <v>30</v>
      </c>
      <c r="H36" s="98">
        <v>17.041303030303027</v>
      </c>
      <c r="I36" s="99">
        <f t="shared" si="1"/>
        <v>15.041303030303027</v>
      </c>
      <c r="J36" s="100">
        <f t="shared" si="2"/>
        <v>0.50137676767676753</v>
      </c>
      <c r="K36" s="101">
        <f t="shared" si="0"/>
        <v>8.0997416544903569E-2</v>
      </c>
      <c r="N36"/>
      <c r="P36"/>
      <c r="Q36"/>
      <c r="R36"/>
      <c r="S36"/>
      <c r="T36"/>
      <c r="U36"/>
      <c r="V36" s="98">
        <v>17.041303030303027</v>
      </c>
      <c r="W36" s="98"/>
      <c r="X36" s="98">
        <v>20.100909090909088</v>
      </c>
      <c r="Y36" s="264">
        <f t="shared" si="3"/>
        <v>1.179540617003608</v>
      </c>
      <c r="AB36" s="84" t="s">
        <v>60</v>
      </c>
      <c r="AC36" s="85"/>
      <c r="AI36" s="84" t="s">
        <v>60</v>
      </c>
      <c r="AJ36" s="84"/>
      <c r="AK36" s="85">
        <v>0.153</v>
      </c>
    </row>
    <row r="37" spans="1:37" ht="15" customHeight="1" x14ac:dyDescent="0.25">
      <c r="A37" s="58"/>
      <c r="B37" s="59"/>
      <c r="G37" s="97">
        <v>40</v>
      </c>
      <c r="H37" s="98">
        <v>21.78353463203463</v>
      </c>
      <c r="I37" s="99">
        <f t="shared" si="1"/>
        <v>19.78353463203463</v>
      </c>
      <c r="J37" s="100">
        <f t="shared" si="2"/>
        <v>0.49458836580086574</v>
      </c>
      <c r="K37" s="101">
        <f t="shared" si="0"/>
        <v>7.9900750225551681E-2</v>
      </c>
      <c r="N37"/>
      <c r="P37"/>
      <c r="Q37"/>
      <c r="R37"/>
      <c r="S37"/>
      <c r="T37"/>
      <c r="U37"/>
      <c r="V37" s="98">
        <v>21.78353463203463</v>
      </c>
      <c r="W37" s="98"/>
      <c r="X37" s="98">
        <v>25.152770562770556</v>
      </c>
      <c r="Y37" s="264">
        <f t="shared" si="3"/>
        <v>1.1546689271345874</v>
      </c>
      <c r="AB37" s="84" t="s">
        <v>60</v>
      </c>
      <c r="AC37" s="85"/>
      <c r="AI37" s="84" t="s">
        <v>60</v>
      </c>
      <c r="AJ37" s="84"/>
      <c r="AK37" s="85">
        <v>0.15359999999999999</v>
      </c>
    </row>
    <row r="38" spans="1:37" ht="15" customHeight="1" x14ac:dyDescent="0.25">
      <c r="A38" s="58"/>
      <c r="B38" s="59"/>
      <c r="G38" s="97">
        <v>50</v>
      </c>
      <c r="H38" s="98">
        <v>26.934240259740257</v>
      </c>
      <c r="I38" s="99">
        <f t="shared" si="1"/>
        <v>24.934240259740257</v>
      </c>
      <c r="J38" s="100">
        <f t="shared" si="2"/>
        <v>0.49868480519480513</v>
      </c>
      <c r="K38" s="101">
        <f t="shared" si="0"/>
        <v>8.0562530007409802E-2</v>
      </c>
      <c r="N38"/>
      <c r="P38"/>
      <c r="Q38"/>
      <c r="R38"/>
      <c r="S38"/>
      <c r="T38"/>
      <c r="U38"/>
      <c r="V38" s="98">
        <v>26.934240259740257</v>
      </c>
      <c r="W38" s="98"/>
      <c r="X38" s="98">
        <v>30.182554112554108</v>
      </c>
      <c r="Y38" s="264">
        <f t="shared" si="3"/>
        <v>1.1206016513363193</v>
      </c>
      <c r="AB38" s="110" t="s">
        <v>60</v>
      </c>
      <c r="AC38" s="111"/>
      <c r="AI38" s="110" t="s">
        <v>60</v>
      </c>
      <c r="AJ38" s="110"/>
      <c r="AK38" s="111">
        <v>0.15559999999999999</v>
      </c>
    </row>
    <row r="39" spans="1:37" ht="15" customHeight="1" x14ac:dyDescent="0.25">
      <c r="A39" s="58"/>
      <c r="B39" s="59"/>
      <c r="G39" s="97">
        <v>60</v>
      </c>
      <c r="H39" s="98">
        <v>32.493419913419906</v>
      </c>
      <c r="I39" s="99">
        <f t="shared" si="1"/>
        <v>30.493419913419906</v>
      </c>
      <c r="J39" s="100">
        <f t="shared" si="2"/>
        <v>0.50822366522366513</v>
      </c>
      <c r="K39" s="101">
        <f t="shared" si="0"/>
        <v>8.2103532839872928E-2</v>
      </c>
      <c r="N39"/>
      <c r="P39"/>
      <c r="Q39"/>
      <c r="R39"/>
      <c r="S39"/>
      <c r="T39"/>
      <c r="U39"/>
      <c r="V39" s="98">
        <v>32.493419913419906</v>
      </c>
      <c r="W39" s="98"/>
      <c r="X39" s="98">
        <v>35.190259740259741</v>
      </c>
      <c r="Y39" s="264">
        <f t="shared" si="3"/>
        <v>1.0829964907980041</v>
      </c>
    </row>
    <row r="40" spans="1:37" ht="15" customHeight="1" x14ac:dyDescent="0.25">
      <c r="A40" s="58"/>
      <c r="B40" s="62" t="s">
        <v>71</v>
      </c>
      <c r="C40" s="63"/>
      <c r="D40" s="64"/>
      <c r="G40" s="105">
        <v>70</v>
      </c>
      <c r="H40" s="106">
        <v>38.461073593073593</v>
      </c>
      <c r="I40" s="107">
        <f t="shared" si="1"/>
        <v>36.461073593073593</v>
      </c>
      <c r="J40" s="108">
        <f t="shared" si="2"/>
        <v>0.52087247990105134</v>
      </c>
      <c r="K40" s="109">
        <f t="shared" si="0"/>
        <v>8.4146948844110364E-2</v>
      </c>
      <c r="N40"/>
      <c r="P40"/>
      <c r="Q40"/>
      <c r="R40"/>
      <c r="S40"/>
      <c r="T40"/>
      <c r="U40"/>
      <c r="V40" s="106">
        <v>38.461073593073593</v>
      </c>
      <c r="W40" s="106"/>
      <c r="X40" s="106">
        <v>40.175887445887447</v>
      </c>
      <c r="Y40" s="264">
        <f t="shared" si="3"/>
        <v>1.0445856990617826</v>
      </c>
    </row>
    <row r="41" spans="1:37" ht="15" customHeight="1" x14ac:dyDescent="0.25">
      <c r="A41" s="58"/>
      <c r="V41" s="98">
        <v>44.837201298701295</v>
      </c>
      <c r="W41" s="98"/>
      <c r="X41" s="98">
        <v>45.139437229437235</v>
      </c>
      <c r="Y41" s="264">
        <f t="shared" si="3"/>
        <v>1.0067407403223603</v>
      </c>
    </row>
    <row r="42" spans="1:37" ht="15" customHeight="1" x14ac:dyDescent="0.25">
      <c r="A42" s="58"/>
      <c r="B42" s="59"/>
      <c r="C42" s="112" t="s">
        <v>43</v>
      </c>
      <c r="D42" s="65" t="s">
        <v>74</v>
      </c>
      <c r="U42"/>
      <c r="V42" s="98">
        <v>51.62180303030302</v>
      </c>
      <c r="W42" s="98"/>
      <c r="X42" s="98">
        <v>50.080909090909095</v>
      </c>
      <c r="Y42" s="264">
        <f t="shared" si="3"/>
        <v>0.97015032701416126</v>
      </c>
    </row>
    <row r="43" spans="1:37" ht="15" customHeight="1" x14ac:dyDescent="0.25">
      <c r="V43" s="98">
        <v>58.814878787878783</v>
      </c>
      <c r="W43" s="98"/>
      <c r="X43" s="98">
        <v>55.000303030303037</v>
      </c>
      <c r="Y43" s="264">
        <f t="shared" si="3"/>
        <v>0.93514267416356733</v>
      </c>
    </row>
    <row r="44" spans="1:37" ht="15" customHeight="1" x14ac:dyDescent="0.25">
      <c r="B44" s="113" t="s">
        <v>14</v>
      </c>
      <c r="C44" s="63"/>
      <c r="D44" s="63"/>
      <c r="E44" s="63"/>
      <c r="F44" s="63"/>
      <c r="G44" s="63"/>
      <c r="H44" s="63"/>
      <c r="I44" s="63"/>
      <c r="J44" s="63"/>
      <c r="K44" s="63"/>
      <c r="L44" s="64"/>
    </row>
    <row r="45" spans="1:37" ht="15" customHeight="1" x14ac:dyDescent="0.25">
      <c r="B45" s="66" t="s">
        <v>43</v>
      </c>
      <c r="C45" s="67" t="s">
        <v>53</v>
      </c>
      <c r="V45" s="287"/>
      <c r="W45" s="287"/>
    </row>
    <row r="46" spans="1:37" ht="15" customHeight="1" x14ac:dyDescent="0.25">
      <c r="B46" s="66" t="s">
        <v>44</v>
      </c>
      <c r="C46" s="67" t="s">
        <v>54</v>
      </c>
    </row>
    <row r="47" spans="1:37" ht="15" customHeight="1" x14ac:dyDescent="0.25">
      <c r="C47" s="67" t="s">
        <v>56</v>
      </c>
    </row>
    <row r="48" spans="1:37" ht="15" customHeight="1" x14ac:dyDescent="0.25">
      <c r="C48" s="67" t="s">
        <v>57</v>
      </c>
    </row>
    <row r="49" spans="2:50" ht="15" customHeight="1" x14ac:dyDescent="0.25">
      <c r="B49" s="66" t="s">
        <v>45</v>
      </c>
      <c r="C49" s="67" t="s">
        <v>55</v>
      </c>
      <c r="Y49" t="s">
        <v>207</v>
      </c>
    </row>
    <row r="50" spans="2:50" ht="15" customHeight="1" x14ac:dyDescent="0.25">
      <c r="B50" s="66"/>
      <c r="C50" s="67"/>
      <c r="S50" s="59" t="s">
        <v>90</v>
      </c>
      <c r="Y50" t="s">
        <v>208</v>
      </c>
    </row>
    <row r="51" spans="2:50" ht="15" customHeight="1" x14ac:dyDescent="0.25">
      <c r="B51" s="66"/>
      <c r="C51" s="67"/>
      <c r="Y51" t="s">
        <v>209</v>
      </c>
      <c r="AX51" s="267" t="s">
        <v>210</v>
      </c>
    </row>
    <row r="52" spans="2:50" ht="15" customHeight="1" x14ac:dyDescent="0.25">
      <c r="B52" s="66"/>
      <c r="C52" s="67"/>
      <c r="G52" s="209" t="s">
        <v>157</v>
      </c>
      <c r="H52" s="61"/>
      <c r="I52" s="61"/>
      <c r="J52" s="69"/>
      <c r="AO52" s="328" t="s">
        <v>219</v>
      </c>
    </row>
    <row r="53" spans="2:50" ht="15" customHeight="1" x14ac:dyDescent="0.25">
      <c r="B53" s="66"/>
      <c r="C53" s="67"/>
      <c r="G53" s="60" t="s">
        <v>110</v>
      </c>
      <c r="H53" s="61"/>
      <c r="I53" s="61"/>
      <c r="J53" s="69"/>
      <c r="O53" s="195" t="s">
        <v>151</v>
      </c>
    </row>
    <row r="54" spans="2:50" ht="15" customHeight="1" x14ac:dyDescent="0.25">
      <c r="B54" s="66"/>
      <c r="C54" s="67"/>
      <c r="H54" s="68"/>
      <c r="O54" s="195" t="s">
        <v>150</v>
      </c>
      <c r="R54" s="114"/>
      <c r="AA54"/>
      <c r="AB54"/>
      <c r="AC54"/>
    </row>
    <row r="55" spans="2:50" ht="15" customHeight="1" x14ac:dyDescent="0.25">
      <c r="B55" s="115"/>
      <c r="H55" s="68"/>
      <c r="X55" s="332"/>
      <c r="Y55" s="78"/>
      <c r="Z55" s="19"/>
      <c r="AA55" s="19"/>
      <c r="AB55" s="19"/>
      <c r="AC55" s="19"/>
      <c r="AD55" s="78"/>
      <c r="AE55" s="78"/>
      <c r="AF55" s="78"/>
      <c r="AG55" s="333"/>
      <c r="AH55" s="333"/>
      <c r="AI55" s="350" t="s">
        <v>223</v>
      </c>
      <c r="AJ55" s="334"/>
      <c r="AK55" s="338"/>
      <c r="AL55" s="78"/>
      <c r="AM55" s="333"/>
      <c r="AN55" s="350" t="s">
        <v>219</v>
      </c>
      <c r="AO55" s="78"/>
      <c r="AP55" s="79"/>
    </row>
    <row r="56" spans="2:50" ht="16.5" customHeight="1" x14ac:dyDescent="0.35">
      <c r="B56" s="62" t="s">
        <v>139</v>
      </c>
      <c r="C56" s="63"/>
      <c r="D56" s="63"/>
      <c r="E56" s="64"/>
      <c r="I56" s="58" t="s">
        <v>112</v>
      </c>
      <c r="K56" s="58" t="s">
        <v>83</v>
      </c>
      <c r="O56" s="116" t="s">
        <v>152</v>
      </c>
      <c r="X56" s="335"/>
      <c r="Y56" s="316" t="s">
        <v>211</v>
      </c>
      <c r="Z56" s="317"/>
      <c r="AA56" s="317"/>
      <c r="AB56" s="317"/>
      <c r="AC56" s="317"/>
      <c r="AD56" s="318"/>
      <c r="AE56" s="270"/>
      <c r="AF56" s="342" t="s">
        <v>220</v>
      </c>
      <c r="AG56" s="342"/>
      <c r="AH56" s="343"/>
      <c r="AI56" s="342"/>
      <c r="AJ56" s="345"/>
      <c r="AK56" s="344"/>
      <c r="AL56" s="342" t="s">
        <v>221</v>
      </c>
      <c r="AM56" s="342"/>
      <c r="AN56" s="339"/>
      <c r="AP56" s="337"/>
    </row>
    <row r="57" spans="2:50" ht="18" customHeight="1" x14ac:dyDescent="0.35">
      <c r="B57" s="117"/>
      <c r="I57" s="58" t="s">
        <v>113</v>
      </c>
      <c r="K57" s="58" t="s">
        <v>84</v>
      </c>
      <c r="O57" s="195" t="s">
        <v>153</v>
      </c>
      <c r="X57" s="335"/>
      <c r="Y57" s="336"/>
      <c r="Z57" s="270"/>
      <c r="AA57" s="270"/>
      <c r="AB57" s="270"/>
      <c r="AC57" s="270"/>
      <c r="AD57" s="270"/>
      <c r="AE57" s="270"/>
      <c r="AF57" s="347" t="s">
        <v>222</v>
      </c>
      <c r="AG57" s="346"/>
      <c r="AH57" s="347"/>
      <c r="AI57" s="346"/>
      <c r="AJ57" s="348"/>
      <c r="AK57" s="349"/>
      <c r="AL57" s="346" t="s">
        <v>236</v>
      </c>
      <c r="AM57" s="342"/>
      <c r="AN57" s="339"/>
      <c r="AP57" s="337"/>
    </row>
    <row r="58" spans="2:50" ht="16.5" customHeight="1" x14ac:dyDescent="0.35">
      <c r="B58" s="77" t="s">
        <v>15</v>
      </c>
      <c r="C58" s="78"/>
      <c r="D58" s="79"/>
      <c r="F58" s="171"/>
      <c r="G58" s="172"/>
      <c r="H58"/>
      <c r="I58" s="118" t="s">
        <v>76</v>
      </c>
      <c r="J58" s="119"/>
      <c r="K58" s="118" t="s">
        <v>81</v>
      </c>
      <c r="L58" s="120"/>
      <c r="M58" s="53" t="s">
        <v>97</v>
      </c>
      <c r="O58" s="121" t="s">
        <v>87</v>
      </c>
      <c r="P58" s="122"/>
      <c r="Q58" s="120"/>
      <c r="R58" s="123" t="s">
        <v>85</v>
      </c>
      <c r="S58" s="122"/>
      <c r="T58" s="120"/>
      <c r="U58" s="124" t="s">
        <v>98</v>
      </c>
      <c r="X58" s="335"/>
      <c r="Y58" s="327" t="s">
        <v>15</v>
      </c>
      <c r="Z58" s="272"/>
      <c r="AA58" s="273"/>
      <c r="AB58" s="270"/>
      <c r="AC58" s="305" t="s">
        <v>217</v>
      </c>
      <c r="AD58" s="291"/>
      <c r="AE58" s="270"/>
      <c r="AF58" s="292" t="s">
        <v>76</v>
      </c>
      <c r="AG58" s="273"/>
      <c r="AH58" s="292" t="s">
        <v>214</v>
      </c>
      <c r="AI58" s="273"/>
      <c r="AJ58" s="337"/>
      <c r="AK58" s="335"/>
      <c r="AL58" s="314" t="s">
        <v>218</v>
      </c>
      <c r="AM58" s="268"/>
      <c r="AN58" s="268"/>
      <c r="AO58" s="269"/>
      <c r="AP58" s="337"/>
    </row>
    <row r="59" spans="2:50" ht="16.5" customHeight="1" x14ac:dyDescent="0.35">
      <c r="B59" s="86" t="s">
        <v>61</v>
      </c>
      <c r="C59" s="87" t="s">
        <v>19</v>
      </c>
      <c r="D59" s="88">
        <v>0.9</v>
      </c>
      <c r="F59" s="173" t="s">
        <v>35</v>
      </c>
      <c r="G59" s="174" t="s">
        <v>202</v>
      </c>
      <c r="H59"/>
      <c r="I59" s="125" t="s">
        <v>80</v>
      </c>
      <c r="J59" s="126"/>
      <c r="K59" s="127" t="s">
        <v>82</v>
      </c>
      <c r="L59" s="128"/>
      <c r="M59" s="54" t="s">
        <v>41</v>
      </c>
      <c r="O59" s="263" t="s">
        <v>203</v>
      </c>
      <c r="P59" s="129"/>
      <c r="Q59" s="128"/>
      <c r="R59" s="263" t="s">
        <v>204</v>
      </c>
      <c r="S59" s="129"/>
      <c r="T59" s="128"/>
      <c r="U59" s="183">
        <f>I28</f>
        <v>2</v>
      </c>
      <c r="X59" s="335"/>
      <c r="Y59" s="274" t="s">
        <v>61</v>
      </c>
      <c r="Z59" s="288" t="s">
        <v>19</v>
      </c>
      <c r="AA59" s="275">
        <v>0.9</v>
      </c>
      <c r="AB59" s="270"/>
      <c r="AC59" s="304" t="s">
        <v>82</v>
      </c>
      <c r="AD59" s="293"/>
      <c r="AE59" s="270"/>
      <c r="AF59" s="294" t="s">
        <v>80</v>
      </c>
      <c r="AG59" s="295"/>
      <c r="AH59" s="294" t="s">
        <v>213</v>
      </c>
      <c r="AI59" s="296"/>
      <c r="AJ59" s="337"/>
      <c r="AK59" s="335"/>
      <c r="AL59" s="315"/>
      <c r="AM59" s="312"/>
      <c r="AN59" s="312"/>
      <c r="AO59" s="313"/>
      <c r="AP59" s="337"/>
    </row>
    <row r="60" spans="2:50" ht="16.5" customHeight="1" x14ac:dyDescent="0.35">
      <c r="B60" s="86" t="s">
        <v>62</v>
      </c>
      <c r="C60" s="87" t="s">
        <v>20</v>
      </c>
      <c r="D60" s="96">
        <v>0.96</v>
      </c>
      <c r="F60" s="163"/>
      <c r="G60" s="164"/>
      <c r="H60"/>
      <c r="I60" s="130" t="s">
        <v>24</v>
      </c>
      <c r="J60" s="175" t="s">
        <v>26</v>
      </c>
      <c r="K60" s="130" t="s">
        <v>30</v>
      </c>
      <c r="L60" s="134" t="s">
        <v>32</v>
      </c>
      <c r="M60" s="189" t="s">
        <v>98</v>
      </c>
      <c r="O60" s="132"/>
      <c r="P60" s="133" t="s">
        <v>64</v>
      </c>
      <c r="Q60" s="79"/>
      <c r="R60" s="132"/>
      <c r="S60" s="133" t="s">
        <v>64</v>
      </c>
      <c r="T60" s="79"/>
      <c r="U60" s="134" t="s">
        <v>89</v>
      </c>
      <c r="X60" s="335"/>
      <c r="Y60" s="274" t="s">
        <v>62</v>
      </c>
      <c r="Z60" s="290" t="s">
        <v>215</v>
      </c>
      <c r="AA60" s="276">
        <v>0.94</v>
      </c>
      <c r="AB60" s="270"/>
      <c r="AC60" s="323"/>
      <c r="AD60" s="324"/>
      <c r="AE60" s="270"/>
      <c r="AF60" s="297"/>
      <c r="AG60" s="298"/>
      <c r="AH60" s="319"/>
      <c r="AI60" s="320" t="s">
        <v>216</v>
      </c>
      <c r="AJ60" s="337"/>
      <c r="AK60" s="340"/>
      <c r="AO60" s="379" t="s">
        <v>216</v>
      </c>
      <c r="AP60" s="337"/>
    </row>
    <row r="61" spans="2:50" ht="16.5" customHeight="1" x14ac:dyDescent="0.35">
      <c r="B61" s="102" t="s">
        <v>59</v>
      </c>
      <c r="C61" s="103" t="s">
        <v>28</v>
      </c>
      <c r="D61" s="104">
        <v>85</v>
      </c>
      <c r="F61" s="165"/>
      <c r="G61" s="166"/>
      <c r="H61"/>
      <c r="I61" s="135" t="s">
        <v>25</v>
      </c>
      <c r="J61" s="136" t="s">
        <v>27</v>
      </c>
      <c r="K61" s="135" t="s">
        <v>31</v>
      </c>
      <c r="L61" s="185" t="s">
        <v>33</v>
      </c>
      <c r="M61" s="88">
        <f>I28</f>
        <v>2</v>
      </c>
      <c r="O61" s="137"/>
      <c r="P61" s="138" t="s">
        <v>27</v>
      </c>
      <c r="Q61" s="139" t="s">
        <v>86</v>
      </c>
      <c r="R61" s="137"/>
      <c r="S61" s="138" t="s">
        <v>27</v>
      </c>
      <c r="T61" s="140" t="s">
        <v>88</v>
      </c>
      <c r="U61" s="140" t="s">
        <v>135</v>
      </c>
      <c r="X61" s="335"/>
      <c r="Y61" s="277" t="s">
        <v>212</v>
      </c>
      <c r="Z61" s="289" t="s">
        <v>28</v>
      </c>
      <c r="AA61" s="278">
        <v>85</v>
      </c>
      <c r="AB61" s="270"/>
      <c r="AC61" s="325" t="s">
        <v>35</v>
      </c>
      <c r="AD61" s="326" t="s">
        <v>128</v>
      </c>
      <c r="AE61" s="270"/>
      <c r="AF61" s="306" t="s">
        <v>24</v>
      </c>
      <c r="AG61" s="307" t="s">
        <v>26</v>
      </c>
      <c r="AH61" s="331" t="s">
        <v>35</v>
      </c>
      <c r="AI61" s="330" t="s">
        <v>33</v>
      </c>
      <c r="AJ61" s="337"/>
      <c r="AK61" s="340"/>
      <c r="AO61" s="380" t="s">
        <v>142</v>
      </c>
      <c r="AP61" s="337"/>
    </row>
    <row r="62" spans="2:50" ht="16.5" customHeight="1" x14ac:dyDescent="0.35">
      <c r="F62" s="143">
        <v>1</v>
      </c>
      <c r="G62" s="167">
        <f t="shared" ref="G62:G73" si="4">K29</f>
        <v>0.14799525884429615</v>
      </c>
      <c r="H62"/>
      <c r="I62" s="141">
        <f>D60*2.20462*25.4*12</f>
        <v>645.0894489599998</v>
      </c>
      <c r="J62" s="142">
        <f t="shared" ref="J62:J73" si="5">($G62*$D$59*SQRT(4*$D$61*$I$62/32.2)/12)</f>
        <v>0.91607400176917497</v>
      </c>
      <c r="K62" s="143">
        <v>1</v>
      </c>
      <c r="L62" s="145">
        <f t="shared" ref="L62:L73" si="6">K62*J62</f>
        <v>0.91607400176917497</v>
      </c>
      <c r="M62" s="145">
        <f>L62+M$61</f>
        <v>2.9160740017691751</v>
      </c>
      <c r="O62" s="210">
        <v>0.12839462216094999</v>
      </c>
      <c r="P62" s="142">
        <f t="shared" ref="P62:P73" si="7">($O62*$D$59*SQRT(4*$D$61*$I$62/32.2)/12)</f>
        <v>0.79474826590470726</v>
      </c>
      <c r="Q62" s="145">
        <f>$K62*P62</f>
        <v>0.79474826590470726</v>
      </c>
      <c r="R62" s="210">
        <v>1.9600636683346145E-2</v>
      </c>
      <c r="S62" s="142">
        <f t="shared" ref="S62:S73" si="8">($R62*$D$59*SQRT(4*$D$61*$I$62/32.2)/12)</f>
        <v>0.12132573586446761</v>
      </c>
      <c r="T62" s="145">
        <f>$K62*S62</f>
        <v>0.12132573586446761</v>
      </c>
      <c r="U62" s="145">
        <f>Q62+T62+U$59</f>
        <v>2.9160740017691751</v>
      </c>
      <c r="X62" s="335"/>
      <c r="Y62" s="270"/>
      <c r="Z62" s="270"/>
      <c r="AA62" s="270"/>
      <c r="AB62" s="270"/>
      <c r="AC62" s="352">
        <v>1</v>
      </c>
      <c r="AD62" s="351">
        <v>2.1880000000000002</v>
      </c>
      <c r="AE62" s="270"/>
      <c r="AF62" s="308">
        <f>AA60*2.20462*25.4*12</f>
        <v>631.65008543999977</v>
      </c>
      <c r="AG62" s="356">
        <f t="shared" ref="AG62:AG73" si="9">($AD62*$AA$59*SQRT(4*$AA$61*$AF$62/32.2)/12)</f>
        <v>13.401653447031142</v>
      </c>
      <c r="AH62" s="353">
        <v>1</v>
      </c>
      <c r="AI62" s="354">
        <f>AH62*AG62/2</f>
        <v>6.7008267235155712</v>
      </c>
      <c r="AJ62" s="337"/>
      <c r="AK62" s="340"/>
      <c r="AO62" s="367"/>
      <c r="AP62" s="337"/>
    </row>
    <row r="63" spans="2:50" ht="16.5" customHeight="1" x14ac:dyDescent="0.35">
      <c r="F63" s="147">
        <v>2</v>
      </c>
      <c r="G63" s="168">
        <f t="shared" si="4"/>
        <v>0.13484360040932766</v>
      </c>
      <c r="I63" s="147"/>
      <c r="J63" s="148">
        <f t="shared" si="5"/>
        <v>0.83466671570808348</v>
      </c>
      <c r="K63" s="147">
        <v>2</v>
      </c>
      <c r="L63" s="150">
        <f t="shared" si="6"/>
        <v>1.669333431416167</v>
      </c>
      <c r="M63" s="150">
        <f t="shared" ref="M63:M73" si="10">L63+M$61</f>
        <v>3.6693334314161667</v>
      </c>
      <c r="O63" s="211">
        <v>0.11958485231619637</v>
      </c>
      <c r="P63" s="148">
        <f t="shared" si="7"/>
        <v>0.74021678172493621</v>
      </c>
      <c r="Q63" s="150">
        <f t="shared" ref="Q63:Q73" si="11">$K63*P63</f>
        <v>1.4804335634498724</v>
      </c>
      <c r="R63" s="211">
        <v>1.525874809313128E-2</v>
      </c>
      <c r="S63" s="148">
        <f t="shared" si="8"/>
        <v>9.4449933983147105E-2</v>
      </c>
      <c r="T63" s="150">
        <f t="shared" ref="T63:T73" si="12">$K63*S63</f>
        <v>0.18889986796629421</v>
      </c>
      <c r="U63" s="150">
        <f t="shared" ref="U63:U73" si="13">Q63+T63+U$59</f>
        <v>3.6693334314161667</v>
      </c>
      <c r="X63" s="335"/>
      <c r="Z63" s="270"/>
      <c r="AA63" s="355" t="s">
        <v>229</v>
      </c>
      <c r="AB63" s="270"/>
      <c r="AC63" s="352">
        <v>2</v>
      </c>
      <c r="AD63" s="351">
        <v>1.2569999999999999</v>
      </c>
      <c r="AE63" s="270"/>
      <c r="AF63" s="286"/>
      <c r="AG63" s="356">
        <f t="shared" si="9"/>
        <v>7.6992131548986018</v>
      </c>
      <c r="AH63" s="353">
        <v>2</v>
      </c>
      <c r="AI63" s="354">
        <f t="shared" ref="AI63:AI73" si="14">AH63*AG63/2</f>
        <v>7.6992131548986018</v>
      </c>
      <c r="AJ63" s="337"/>
      <c r="AK63" s="340"/>
      <c r="AO63" s="367"/>
      <c r="AP63" s="337"/>
    </row>
    <row r="64" spans="2:50" ht="16.5" customHeight="1" x14ac:dyDescent="0.35">
      <c r="F64" s="152">
        <v>3</v>
      </c>
      <c r="G64" s="169">
        <f t="shared" si="4"/>
        <v>0.1287566000572182</v>
      </c>
      <c r="I64" s="147"/>
      <c r="J64" s="153">
        <f t="shared" si="5"/>
        <v>0.79698886835762284</v>
      </c>
      <c r="K64" s="152">
        <v>3</v>
      </c>
      <c r="L64" s="155">
        <f t="shared" si="6"/>
        <v>2.3909666050728684</v>
      </c>
      <c r="M64" s="155">
        <f t="shared" si="10"/>
        <v>4.3909666050728688</v>
      </c>
      <c r="O64" s="212">
        <v>0.11466174563824581</v>
      </c>
      <c r="P64" s="153">
        <f t="shared" si="7"/>
        <v>0.70974330527153473</v>
      </c>
      <c r="Q64" s="155">
        <f t="shared" si="11"/>
        <v>2.1292299158146042</v>
      </c>
      <c r="R64" s="212">
        <v>1.4094854418972383E-2</v>
      </c>
      <c r="S64" s="153">
        <f t="shared" si="8"/>
        <v>8.7245563086088052E-2</v>
      </c>
      <c r="T64" s="155">
        <f t="shared" si="12"/>
        <v>0.26173668925826415</v>
      </c>
      <c r="U64" s="155">
        <f t="shared" si="13"/>
        <v>4.3909666050728688</v>
      </c>
      <c r="X64" s="335"/>
      <c r="Y64" s="270"/>
      <c r="Z64" s="270"/>
      <c r="AA64" s="270"/>
      <c r="AB64" s="270"/>
      <c r="AC64" s="280">
        <v>3</v>
      </c>
      <c r="AD64" s="281">
        <v>0.99</v>
      </c>
      <c r="AE64" s="270"/>
      <c r="AF64" s="286"/>
      <c r="AG64" s="309">
        <f t="shared" si="9"/>
        <v>6.0638194298724075</v>
      </c>
      <c r="AH64" s="321">
        <v>3</v>
      </c>
      <c r="AI64" s="300">
        <f t="shared" si="14"/>
        <v>9.0957291448086117</v>
      </c>
      <c r="AJ64" s="337"/>
      <c r="AK64" s="340"/>
      <c r="AO64" s="368">
        <f>AI64/AQ64</f>
        <v>0.99953067525369366</v>
      </c>
      <c r="AP64" s="337"/>
      <c r="AQ64" s="373">
        <v>9.1</v>
      </c>
      <c r="AR64" s="357">
        <f>AI64/AQ64</f>
        <v>0.99953067525369366</v>
      </c>
      <c r="AS64" s="362">
        <f>1-AR64</f>
        <v>4.6932474630634324E-4</v>
      </c>
    </row>
    <row r="65" spans="2:45" ht="16.5" customHeight="1" x14ac:dyDescent="0.35">
      <c r="F65" s="147">
        <v>4</v>
      </c>
      <c r="G65" s="168">
        <f t="shared" si="4"/>
        <v>0.12443576422582353</v>
      </c>
      <c r="I65" s="147"/>
      <c r="J65" s="148">
        <f t="shared" si="5"/>
        <v>0.77024338068482023</v>
      </c>
      <c r="K65" s="147">
        <v>4</v>
      </c>
      <c r="L65" s="150">
        <f t="shared" si="6"/>
        <v>3.0809735227392809</v>
      </c>
      <c r="M65" s="150">
        <f t="shared" si="10"/>
        <v>5.0809735227392814</v>
      </c>
      <c r="O65" s="211">
        <v>0.11071030475199607</v>
      </c>
      <c r="P65" s="148">
        <f t="shared" si="7"/>
        <v>0.68528433074972595</v>
      </c>
      <c r="Q65" s="150">
        <f t="shared" si="11"/>
        <v>2.7411373229989038</v>
      </c>
      <c r="R65" s="211">
        <v>1.3725459473827476E-2</v>
      </c>
      <c r="S65" s="148">
        <f t="shared" si="8"/>
        <v>8.4959049935094344E-2</v>
      </c>
      <c r="T65" s="150">
        <f t="shared" si="12"/>
        <v>0.33983619974037738</v>
      </c>
      <c r="U65" s="150">
        <f t="shared" si="13"/>
        <v>5.0809735227392814</v>
      </c>
      <c r="X65" s="335"/>
      <c r="Y65" s="270"/>
      <c r="Z65" s="270"/>
      <c r="AA65" s="270"/>
      <c r="AB65" s="270"/>
      <c r="AC65" s="271">
        <v>4</v>
      </c>
      <c r="AD65" s="279">
        <v>0.86499999999999999</v>
      </c>
      <c r="AE65" s="270"/>
      <c r="AF65" s="286"/>
      <c r="AG65" s="309">
        <f t="shared" si="9"/>
        <v>5.298185663474376</v>
      </c>
      <c r="AH65" s="321">
        <v>4</v>
      </c>
      <c r="AI65" s="299">
        <f t="shared" si="14"/>
        <v>10.596371326948752</v>
      </c>
      <c r="AJ65" s="337"/>
      <c r="AK65" s="340"/>
      <c r="AO65" s="369"/>
      <c r="AP65" s="337"/>
      <c r="AQ65" s="374">
        <v>10.6</v>
      </c>
      <c r="AR65" s="358">
        <f t="shared" ref="AR65:AR73" si="15">AI65/AQ65</f>
        <v>0.99965767235365588</v>
      </c>
      <c r="AS65" s="363">
        <f t="shared" ref="AS65:AS67" si="16">1-AR65</f>
        <v>3.423276463441205E-4</v>
      </c>
    </row>
    <row r="66" spans="2:45" ht="16.5" customHeight="1" x14ac:dyDescent="0.35">
      <c r="F66" s="147">
        <v>5</v>
      </c>
      <c r="G66" s="168">
        <f t="shared" si="4"/>
        <v>0.12082139420271477</v>
      </c>
      <c r="I66" s="147"/>
      <c r="J66" s="148">
        <f t="shared" si="5"/>
        <v>0.74787083688308076</v>
      </c>
      <c r="K66" s="147">
        <v>5</v>
      </c>
      <c r="L66" s="150">
        <f t="shared" si="6"/>
        <v>3.7393541844154039</v>
      </c>
      <c r="M66" s="150">
        <f t="shared" si="10"/>
        <v>5.7393541844154043</v>
      </c>
      <c r="O66" s="211">
        <v>0.10714753018242659</v>
      </c>
      <c r="P66" s="148">
        <f t="shared" si="7"/>
        <v>0.66323115700055391</v>
      </c>
      <c r="Q66" s="150">
        <f t="shared" si="11"/>
        <v>3.3161557850027696</v>
      </c>
      <c r="R66" s="211">
        <v>1.3673864020288166E-2</v>
      </c>
      <c r="S66" s="148">
        <f t="shared" si="8"/>
        <v>8.4639679882526797E-2</v>
      </c>
      <c r="T66" s="150">
        <f t="shared" si="12"/>
        <v>0.42319839941263399</v>
      </c>
      <c r="U66" s="150">
        <f t="shared" si="13"/>
        <v>5.7393541844154035</v>
      </c>
      <c r="X66" s="335"/>
      <c r="Y66" s="270"/>
      <c r="Z66" s="270"/>
      <c r="AA66" s="270"/>
      <c r="AB66" s="270"/>
      <c r="AC66" s="271">
        <v>5</v>
      </c>
      <c r="AD66" s="279">
        <v>0.82899999999999996</v>
      </c>
      <c r="AE66" s="270"/>
      <c r="AF66" s="286"/>
      <c r="AG66" s="309">
        <f t="shared" si="9"/>
        <v>5.0776831387517438</v>
      </c>
      <c r="AH66" s="321">
        <v>5</v>
      </c>
      <c r="AI66" s="299">
        <f t="shared" si="14"/>
        <v>12.69420784687936</v>
      </c>
      <c r="AJ66" s="337"/>
      <c r="AK66" s="340"/>
      <c r="AO66" s="369"/>
      <c r="AP66" s="337"/>
      <c r="AQ66" s="374">
        <v>12.7</v>
      </c>
      <c r="AR66" s="358">
        <f t="shared" si="15"/>
        <v>0.99954392495113076</v>
      </c>
      <c r="AS66" s="363">
        <f t="shared" si="16"/>
        <v>4.5607504886924222E-4</v>
      </c>
    </row>
    <row r="67" spans="2:45" ht="16.5" customHeight="1" x14ac:dyDescent="0.35">
      <c r="F67" s="152">
        <v>10</v>
      </c>
      <c r="G67" s="169">
        <f t="shared" si="4"/>
        <v>0.10592864022445746</v>
      </c>
      <c r="I67" s="147"/>
      <c r="J67" s="153">
        <f t="shared" si="5"/>
        <v>0.6556863652941668</v>
      </c>
      <c r="K67" s="152">
        <v>10</v>
      </c>
      <c r="L67" s="155">
        <f t="shared" si="6"/>
        <v>6.5568636529416677</v>
      </c>
      <c r="M67" s="155">
        <f t="shared" si="10"/>
        <v>8.5568636529416686</v>
      </c>
      <c r="O67" s="212">
        <v>9.1082655759640682E-2</v>
      </c>
      <c r="P67" s="153">
        <f t="shared" si="7"/>
        <v>0.56379139173156023</v>
      </c>
      <c r="Q67" s="155">
        <f t="shared" si="11"/>
        <v>5.6379139173156023</v>
      </c>
      <c r="R67" s="212">
        <v>1.4845984464816803E-2</v>
      </c>
      <c r="S67" s="153">
        <f t="shared" si="8"/>
        <v>9.1894973562606716E-2</v>
      </c>
      <c r="T67" s="155">
        <f t="shared" si="12"/>
        <v>0.91894973562606719</v>
      </c>
      <c r="U67" s="155">
        <f t="shared" si="13"/>
        <v>8.5568636529416686</v>
      </c>
      <c r="X67" s="335"/>
      <c r="Y67" s="270"/>
      <c r="Z67" s="270"/>
      <c r="AA67" s="270"/>
      <c r="AB67" s="270"/>
      <c r="AC67" s="280">
        <v>10</v>
      </c>
      <c r="AD67" s="281">
        <v>0.78700000000000003</v>
      </c>
      <c r="AE67" s="270"/>
      <c r="AF67" s="286"/>
      <c r="AG67" s="309">
        <f t="shared" si="9"/>
        <v>4.8204301932420046</v>
      </c>
      <c r="AH67" s="321">
        <v>10</v>
      </c>
      <c r="AI67" s="301">
        <f t="shared" si="14"/>
        <v>24.102150966210022</v>
      </c>
      <c r="AJ67" s="337"/>
      <c r="AK67" s="340"/>
      <c r="AO67" s="370">
        <f t="shared" ref="AO67:AO73" si="17">AI67/AQ67</f>
        <v>1.0000892517099593</v>
      </c>
      <c r="AP67" s="337"/>
      <c r="AQ67" s="375">
        <v>24.1</v>
      </c>
      <c r="AR67" s="359">
        <f t="shared" si="15"/>
        <v>1.0000892517099593</v>
      </c>
      <c r="AS67" s="364">
        <f t="shared" si="16"/>
        <v>-8.9251709959325964E-5</v>
      </c>
    </row>
    <row r="68" spans="2:45" ht="16.5" customHeight="1" x14ac:dyDescent="0.35">
      <c r="F68" s="147">
        <v>20</v>
      </c>
      <c r="G68" s="168">
        <f t="shared" si="4"/>
        <v>8.6490198117280481E-2</v>
      </c>
      <c r="I68" s="147"/>
      <c r="J68" s="148">
        <f t="shared" si="5"/>
        <v>0.53536459560818928</v>
      </c>
      <c r="K68" s="147">
        <v>20</v>
      </c>
      <c r="L68" s="150">
        <f t="shared" si="6"/>
        <v>10.707291912163786</v>
      </c>
      <c r="M68" s="150">
        <f t="shared" si="10"/>
        <v>12.707291912163786</v>
      </c>
      <c r="O68" s="211">
        <v>6.9437616583905307E-2</v>
      </c>
      <c r="P68" s="148">
        <f t="shared" si="7"/>
        <v>0.42981103444844132</v>
      </c>
      <c r="Q68" s="150">
        <f t="shared" si="11"/>
        <v>8.5962206889688257</v>
      </c>
      <c r="R68" s="211">
        <v>1.7052581533375157E-2</v>
      </c>
      <c r="S68" s="148">
        <f t="shared" si="8"/>
        <v>0.10555356115974775</v>
      </c>
      <c r="T68" s="150">
        <f t="shared" si="12"/>
        <v>2.1110712231949549</v>
      </c>
      <c r="U68" s="150">
        <f t="shared" si="13"/>
        <v>12.707291912163781</v>
      </c>
      <c r="X68" s="335"/>
      <c r="Y68" s="270"/>
      <c r="Z68" s="270"/>
      <c r="AA68" s="270"/>
      <c r="AB68" s="270"/>
      <c r="AC68" s="282">
        <v>20</v>
      </c>
      <c r="AD68" s="283">
        <v>0.74</v>
      </c>
      <c r="AE68" s="270"/>
      <c r="AF68" s="286"/>
      <c r="AG68" s="309">
        <f t="shared" si="9"/>
        <v>4.5325518970763454</v>
      </c>
      <c r="AH68" s="321">
        <v>20</v>
      </c>
      <c r="AI68" s="302">
        <f t="shared" si="14"/>
        <v>45.325518970763454</v>
      </c>
      <c r="AJ68" s="337"/>
      <c r="AK68" s="340"/>
      <c r="AO68" s="371"/>
      <c r="AP68" s="337"/>
      <c r="AQ68" s="376">
        <v>45.3</v>
      </c>
      <c r="AR68" s="360">
        <f t="shared" si="15"/>
        <v>1.0005633326879351</v>
      </c>
      <c r="AS68" s="365">
        <f>1-AR68</f>
        <v>-5.6333268793506974E-4</v>
      </c>
    </row>
    <row r="69" spans="2:45" ht="16.5" customHeight="1" x14ac:dyDescent="0.35">
      <c r="F69" s="147">
        <v>30</v>
      </c>
      <c r="G69" s="168">
        <f t="shared" si="4"/>
        <v>8.0997416544903569E-2</v>
      </c>
      <c r="I69" s="147"/>
      <c r="J69" s="148">
        <f t="shared" si="5"/>
        <v>0.50136489565060349</v>
      </c>
      <c r="K69" s="147">
        <v>30</v>
      </c>
      <c r="L69" s="150">
        <f t="shared" si="6"/>
        <v>15.040946869518105</v>
      </c>
      <c r="M69" s="150">
        <f t="shared" si="10"/>
        <v>17.040946869518105</v>
      </c>
      <c r="O69" s="211">
        <v>5.6036880947300069E-2</v>
      </c>
      <c r="P69" s="148">
        <f t="shared" si="7"/>
        <v>0.34686198853210398</v>
      </c>
      <c r="Q69" s="150">
        <f t="shared" si="11"/>
        <v>10.40585965596312</v>
      </c>
      <c r="R69" s="211">
        <v>2.4960535597603497E-2</v>
      </c>
      <c r="S69" s="148">
        <f t="shared" si="8"/>
        <v>0.15450290711849948</v>
      </c>
      <c r="T69" s="150">
        <f t="shared" si="12"/>
        <v>4.6350872135549848</v>
      </c>
      <c r="U69" s="150">
        <f t="shared" si="13"/>
        <v>17.040946869518105</v>
      </c>
      <c r="X69" s="335"/>
      <c r="Y69" s="270"/>
      <c r="Z69" s="270"/>
      <c r="AA69" s="270"/>
      <c r="AB69" s="270"/>
      <c r="AC69" s="271">
        <v>30</v>
      </c>
      <c r="AD69" s="279">
        <v>0.72099999999999997</v>
      </c>
      <c r="AE69" s="270"/>
      <c r="AF69" s="286"/>
      <c r="AG69" s="309">
        <f t="shared" si="9"/>
        <v>4.4161755645838445</v>
      </c>
      <c r="AH69" s="321">
        <v>30</v>
      </c>
      <c r="AI69" s="299">
        <f t="shared" si="14"/>
        <v>66.242633468757674</v>
      </c>
      <c r="AJ69" s="337"/>
      <c r="AK69" s="340"/>
      <c r="AO69" s="369"/>
      <c r="AP69" s="337"/>
      <c r="AQ69" s="374">
        <v>66.2</v>
      </c>
      <c r="AR69" s="358">
        <f t="shared" si="15"/>
        <v>1.0006440101020797</v>
      </c>
      <c r="AS69" s="363">
        <f t="shared" ref="AS69:AS73" si="18">1-AR69</f>
        <v>-6.4401010207970621E-4</v>
      </c>
    </row>
    <row r="70" spans="2:45" ht="16.5" customHeight="1" x14ac:dyDescent="0.35">
      <c r="F70" s="147">
        <v>40</v>
      </c>
      <c r="G70" s="168">
        <f t="shared" si="4"/>
        <v>7.9900750225551681E-2</v>
      </c>
      <c r="I70" s="147"/>
      <c r="J70" s="148">
        <f t="shared" si="5"/>
        <v>0.49457665451626348</v>
      </c>
      <c r="K70" s="147">
        <v>40</v>
      </c>
      <c r="L70" s="150">
        <f t="shared" si="6"/>
        <v>19.78306618065054</v>
      </c>
      <c r="M70" s="150">
        <f t="shared" si="10"/>
        <v>21.78306618065054</v>
      </c>
      <c r="O70" s="211">
        <v>4.904195537836787E-2</v>
      </c>
      <c r="P70" s="148">
        <f t="shared" si="7"/>
        <v>0.30356418623729614</v>
      </c>
      <c r="Q70" s="150">
        <f t="shared" si="11"/>
        <v>12.142567449491846</v>
      </c>
      <c r="R70" s="211">
        <v>3.0858794847183811E-2</v>
      </c>
      <c r="S70" s="148">
        <f t="shared" si="8"/>
        <v>0.19101246827896726</v>
      </c>
      <c r="T70" s="150">
        <f t="shared" si="12"/>
        <v>7.64049873115869</v>
      </c>
      <c r="U70" s="150">
        <f t="shared" si="13"/>
        <v>21.783066180650536</v>
      </c>
      <c r="X70" s="335"/>
      <c r="Y70" s="270"/>
      <c r="Z70" s="270"/>
      <c r="AA70" s="270"/>
      <c r="AB70" s="270"/>
      <c r="AC70" s="271">
        <v>40</v>
      </c>
      <c r="AD70" s="279">
        <v>0.70799999999999996</v>
      </c>
      <c r="AE70" s="270"/>
      <c r="AF70" s="286"/>
      <c r="AG70" s="309">
        <f t="shared" si="9"/>
        <v>4.3365496528784488</v>
      </c>
      <c r="AH70" s="321">
        <v>40</v>
      </c>
      <c r="AI70" s="299">
        <f t="shared" si="14"/>
        <v>86.73099305756898</v>
      </c>
      <c r="AJ70" s="337"/>
      <c r="AK70" s="340"/>
      <c r="AO70" s="369"/>
      <c r="AP70" s="337"/>
      <c r="AQ70" s="374">
        <v>86.7</v>
      </c>
      <c r="AR70" s="358">
        <f t="shared" si="15"/>
        <v>1.0003574747124448</v>
      </c>
      <c r="AS70" s="363">
        <f t="shared" si="18"/>
        <v>-3.5747471244484963E-4</v>
      </c>
    </row>
    <row r="71" spans="2:45" ht="16.5" customHeight="1" x14ac:dyDescent="0.35">
      <c r="F71" s="147">
        <v>50</v>
      </c>
      <c r="G71" s="168">
        <f t="shared" si="4"/>
        <v>8.0562530007409802E-2</v>
      </c>
      <c r="I71" s="147"/>
      <c r="J71" s="148">
        <f t="shared" si="5"/>
        <v>0.49867299691122163</v>
      </c>
      <c r="K71" s="147">
        <v>50</v>
      </c>
      <c r="L71" s="150">
        <f t="shared" si="6"/>
        <v>24.933649845561082</v>
      </c>
      <c r="M71" s="150">
        <f t="shared" si="10"/>
        <v>26.933649845561082</v>
      </c>
      <c r="O71" s="211">
        <v>4.4609353836504904E-2</v>
      </c>
      <c r="P71" s="148">
        <f t="shared" si="7"/>
        <v>0.27612688139110025</v>
      </c>
      <c r="Q71" s="150">
        <f t="shared" si="11"/>
        <v>13.806344069555013</v>
      </c>
      <c r="R71" s="211">
        <v>3.5953176170904905E-2</v>
      </c>
      <c r="S71" s="148">
        <f t="shared" si="8"/>
        <v>0.22254611552012138</v>
      </c>
      <c r="T71" s="150">
        <f t="shared" si="12"/>
        <v>11.127305776006068</v>
      </c>
      <c r="U71" s="150">
        <f t="shared" si="13"/>
        <v>26.933649845561082</v>
      </c>
      <c r="X71" s="335"/>
      <c r="Y71" s="270"/>
      <c r="Z71" s="270"/>
      <c r="AA71" s="270"/>
      <c r="AB71" s="270"/>
      <c r="AC71" s="271">
        <v>50</v>
      </c>
      <c r="AD71" s="279">
        <v>0.70499999999999996</v>
      </c>
      <c r="AE71" s="270"/>
      <c r="AF71" s="286"/>
      <c r="AG71" s="309">
        <f t="shared" si="9"/>
        <v>4.3181744424848958</v>
      </c>
      <c r="AH71" s="321">
        <v>50</v>
      </c>
      <c r="AI71" s="299">
        <f t="shared" si="14"/>
        <v>107.95436106212239</v>
      </c>
      <c r="AJ71" s="337"/>
      <c r="AK71" s="340"/>
      <c r="AO71" s="369"/>
      <c r="AP71" s="337"/>
      <c r="AQ71" s="374">
        <v>107.9</v>
      </c>
      <c r="AR71" s="358">
        <f t="shared" si="15"/>
        <v>1.0005038096582242</v>
      </c>
      <c r="AS71" s="363">
        <f t="shared" si="18"/>
        <v>-5.0380965822416357E-4</v>
      </c>
    </row>
    <row r="72" spans="2:45" ht="16.5" customHeight="1" x14ac:dyDescent="0.35">
      <c r="F72" s="147">
        <v>60</v>
      </c>
      <c r="G72" s="168">
        <f t="shared" si="4"/>
        <v>8.2103532839872928E-2</v>
      </c>
      <c r="I72" s="147"/>
      <c r="J72" s="148">
        <f t="shared" si="5"/>
        <v>0.5082116310708289</v>
      </c>
      <c r="K72" s="147">
        <v>60</v>
      </c>
      <c r="L72" s="150">
        <f t="shared" si="6"/>
        <v>30.492697864249735</v>
      </c>
      <c r="M72" s="150">
        <f t="shared" si="10"/>
        <v>32.492697864249735</v>
      </c>
      <c r="O72" s="211">
        <v>4.1457914308176545E-2</v>
      </c>
      <c r="P72" s="148">
        <f t="shared" si="7"/>
        <v>0.25661982526921029</v>
      </c>
      <c r="Q72" s="150">
        <f t="shared" si="11"/>
        <v>15.397189516152617</v>
      </c>
      <c r="R72" s="211">
        <v>4.0645618531696383E-2</v>
      </c>
      <c r="S72" s="148">
        <f t="shared" si="8"/>
        <v>0.25159180580161861</v>
      </c>
      <c r="T72" s="150">
        <f t="shared" si="12"/>
        <v>15.095508348097116</v>
      </c>
      <c r="U72" s="150">
        <f t="shared" si="13"/>
        <v>32.492697864249735</v>
      </c>
      <c r="X72" s="335"/>
      <c r="Y72" s="270"/>
      <c r="Z72" s="270"/>
      <c r="AA72" s="270"/>
      <c r="AB72" s="270"/>
      <c r="AC72" s="271">
        <v>60</v>
      </c>
      <c r="AD72" s="279">
        <v>0.71</v>
      </c>
      <c r="AE72" s="270"/>
      <c r="AF72" s="286"/>
      <c r="AG72" s="309">
        <f t="shared" si="9"/>
        <v>4.3487997931408175</v>
      </c>
      <c r="AH72" s="321">
        <v>60</v>
      </c>
      <c r="AI72" s="299">
        <f t="shared" si="14"/>
        <v>130.46399379422454</v>
      </c>
      <c r="AJ72" s="337"/>
      <c r="AK72" s="340"/>
      <c r="AO72" s="369"/>
      <c r="AP72" s="337"/>
      <c r="AQ72" s="374">
        <v>130.4</v>
      </c>
      <c r="AR72" s="358">
        <f t="shared" si="15"/>
        <v>1.0004907499557096</v>
      </c>
      <c r="AS72" s="363">
        <f t="shared" si="18"/>
        <v>-4.9074995570963509E-4</v>
      </c>
    </row>
    <row r="73" spans="2:45" ht="16.5" customHeight="1" x14ac:dyDescent="0.35">
      <c r="F73" s="157">
        <v>70</v>
      </c>
      <c r="G73" s="170">
        <f t="shared" si="4"/>
        <v>8.4146948844110364E-2</v>
      </c>
      <c r="I73" s="176"/>
      <c r="J73" s="158">
        <f t="shared" si="5"/>
        <v>0.52086014623880728</v>
      </c>
      <c r="K73" s="157">
        <v>70</v>
      </c>
      <c r="L73" s="160">
        <f t="shared" si="6"/>
        <v>36.460210236716506</v>
      </c>
      <c r="M73" s="160">
        <f t="shared" si="10"/>
        <v>38.460210236716506</v>
      </c>
      <c r="O73" s="213">
        <v>3.9038567359010824E-2</v>
      </c>
      <c r="P73" s="158">
        <f t="shared" si="7"/>
        <v>0.24164433984692368</v>
      </c>
      <c r="Q73" s="160">
        <f t="shared" si="11"/>
        <v>16.915103789284657</v>
      </c>
      <c r="R73" s="213">
        <v>4.5108381485099526E-2</v>
      </c>
      <c r="S73" s="158">
        <f t="shared" si="8"/>
        <v>0.27921580639188354</v>
      </c>
      <c r="T73" s="160">
        <f t="shared" si="12"/>
        <v>19.545106447431849</v>
      </c>
      <c r="U73" s="160">
        <f t="shared" si="13"/>
        <v>38.460210236716506</v>
      </c>
      <c r="X73" s="335"/>
      <c r="Y73" s="270"/>
      <c r="Z73" s="270"/>
      <c r="AA73" s="270"/>
      <c r="AB73" s="270"/>
      <c r="AC73" s="284">
        <v>70</v>
      </c>
      <c r="AD73" s="285">
        <v>0.71399999999999997</v>
      </c>
      <c r="AE73" s="270"/>
      <c r="AF73" s="310"/>
      <c r="AG73" s="311">
        <f t="shared" si="9"/>
        <v>4.3733000736655541</v>
      </c>
      <c r="AH73" s="322">
        <v>70</v>
      </c>
      <c r="AI73" s="303">
        <f t="shared" si="14"/>
        <v>153.0655025782944</v>
      </c>
      <c r="AJ73" s="337"/>
      <c r="AK73" s="340"/>
      <c r="AO73" s="372">
        <f t="shared" si="17"/>
        <v>0.99977467392746178</v>
      </c>
      <c r="AP73" s="337"/>
      <c r="AQ73" s="377">
        <v>153.1</v>
      </c>
      <c r="AR73" s="361">
        <f t="shared" si="15"/>
        <v>0.99977467392746178</v>
      </c>
      <c r="AS73" s="366">
        <f t="shared" si="18"/>
        <v>2.2532607253822334E-4</v>
      </c>
    </row>
    <row r="74" spans="2:45" ht="6.75" customHeight="1" x14ac:dyDescent="0.35">
      <c r="X74" s="197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9"/>
      <c r="AK74" s="341"/>
      <c r="AL74" s="198"/>
      <c r="AM74" s="198"/>
      <c r="AN74" s="198"/>
      <c r="AO74" s="198"/>
      <c r="AP74" s="199"/>
    </row>
    <row r="75" spans="2:45" ht="15" customHeight="1" x14ac:dyDescent="0.35">
      <c r="B75" s="62" t="s">
        <v>65</v>
      </c>
      <c r="C75" s="63"/>
      <c r="D75" s="63"/>
      <c r="E75" s="63"/>
      <c r="F75" s="63"/>
      <c r="G75" s="63"/>
      <c r="H75" s="63"/>
      <c r="I75" s="63"/>
      <c r="J75" s="63"/>
      <c r="K75" s="63"/>
      <c r="L75" s="64"/>
      <c r="Q75" s="196" t="s">
        <v>116</v>
      </c>
      <c r="R75" s="78"/>
      <c r="S75" s="78"/>
      <c r="T75" s="78"/>
      <c r="U75" s="79"/>
      <c r="AK75" s="270"/>
    </row>
    <row r="76" spans="2:45" ht="15" customHeight="1" x14ac:dyDescent="0.25">
      <c r="Q76" s="197"/>
      <c r="R76" s="208" t="s">
        <v>155</v>
      </c>
      <c r="S76" s="198"/>
      <c r="T76" s="198"/>
      <c r="U76" s="199"/>
    </row>
    <row r="77" spans="2:45" ht="15" customHeight="1" x14ac:dyDescent="0.25">
      <c r="C77" s="112" t="s">
        <v>43</v>
      </c>
      <c r="D77" s="58" t="s">
        <v>66</v>
      </c>
      <c r="Q77" s="200" t="s">
        <v>42</v>
      </c>
      <c r="R77" s="201" t="s">
        <v>42</v>
      </c>
      <c r="S77" s="202"/>
      <c r="T77" s="201" t="s">
        <v>42</v>
      </c>
      <c r="U77" s="203" t="s">
        <v>42</v>
      </c>
      <c r="X77" s="332"/>
      <c r="Y77" s="78"/>
      <c r="Z77" s="19"/>
      <c r="AA77" s="19"/>
      <c r="AB77" s="19"/>
      <c r="AC77" s="19"/>
      <c r="AD77" s="78"/>
      <c r="AE77" s="78"/>
      <c r="AF77" s="78"/>
      <c r="AG77" s="333"/>
      <c r="AH77" s="333"/>
      <c r="AI77" s="350" t="s">
        <v>230</v>
      </c>
      <c r="AJ77" s="334"/>
      <c r="AK77" s="338"/>
      <c r="AL77" s="78"/>
      <c r="AM77" s="333"/>
      <c r="AN77" s="350" t="s">
        <v>219</v>
      </c>
      <c r="AO77" s="78"/>
      <c r="AP77" s="79"/>
    </row>
    <row r="78" spans="2:45" ht="17.25" customHeight="1" x14ac:dyDescent="0.35">
      <c r="C78" s="112" t="s">
        <v>44</v>
      </c>
      <c r="D78" s="58" t="s">
        <v>77</v>
      </c>
      <c r="Q78" s="204" t="s">
        <v>114</v>
      </c>
      <c r="R78" s="205" t="s">
        <v>115</v>
      </c>
      <c r="S78" s="206"/>
      <c r="T78" s="205" t="s">
        <v>117</v>
      </c>
      <c r="U78" s="207" t="s">
        <v>118</v>
      </c>
      <c r="X78" s="335"/>
      <c r="Y78" s="316" t="s">
        <v>211</v>
      </c>
      <c r="Z78" s="317"/>
      <c r="AA78" s="317"/>
      <c r="AB78" s="317"/>
      <c r="AC78" s="317"/>
      <c r="AD78" s="318"/>
      <c r="AE78" s="270"/>
      <c r="AF78" s="342" t="s">
        <v>224</v>
      </c>
      <c r="AG78" s="342"/>
      <c r="AH78" s="343"/>
      <c r="AI78" s="342"/>
      <c r="AJ78" s="345"/>
      <c r="AK78" s="344"/>
      <c r="AL78" s="343" t="s">
        <v>227</v>
      </c>
      <c r="AM78" s="342"/>
      <c r="AN78" s="339"/>
      <c r="AP78" s="337"/>
    </row>
    <row r="79" spans="2:45" ht="18" customHeight="1" x14ac:dyDescent="0.35">
      <c r="D79" s="65" t="s">
        <v>78</v>
      </c>
      <c r="Q79" s="177">
        <v>0.12839462216094999</v>
      </c>
      <c r="R79" s="177">
        <v>0.14257136688299338</v>
      </c>
      <c r="S79" s="178"/>
      <c r="T79" s="177">
        <v>1.9600636683346145E-2</v>
      </c>
      <c r="U79" s="177">
        <v>4.803239732748257E-3</v>
      </c>
      <c r="X79" s="335"/>
      <c r="Y79" s="336"/>
      <c r="Z79" s="270"/>
      <c r="AA79" s="270"/>
      <c r="AB79" s="270"/>
      <c r="AC79" s="270"/>
      <c r="AD79" s="270"/>
      <c r="AE79" s="270"/>
      <c r="AF79" s="347" t="s">
        <v>226</v>
      </c>
      <c r="AG79" s="346"/>
      <c r="AH79" s="347"/>
      <c r="AI79" s="346"/>
      <c r="AJ79" s="348"/>
      <c r="AK79" s="349"/>
      <c r="AL79" s="347" t="s">
        <v>228</v>
      </c>
      <c r="AM79" s="342"/>
      <c r="AN79" s="339"/>
      <c r="AP79" s="337"/>
    </row>
    <row r="80" spans="2:45" ht="16.5" customHeight="1" x14ac:dyDescent="0.35">
      <c r="C80" s="112" t="s">
        <v>45</v>
      </c>
      <c r="D80" s="58" t="s">
        <v>75</v>
      </c>
      <c r="Q80" s="177">
        <v>0.11958485231619637</v>
      </c>
      <c r="R80" s="177">
        <v>0.15822842331552342</v>
      </c>
      <c r="S80" s="178"/>
      <c r="T80" s="177">
        <v>1.525874809313128E-2</v>
      </c>
      <c r="U80" s="177">
        <v>1.3576959368418457E-2</v>
      </c>
      <c r="X80" s="335"/>
      <c r="Y80" s="327" t="s">
        <v>15</v>
      </c>
      <c r="Z80" s="272"/>
      <c r="AA80" s="273"/>
      <c r="AB80" s="270"/>
      <c r="AC80" s="305" t="s">
        <v>217</v>
      </c>
      <c r="AD80" s="291"/>
      <c r="AE80" s="270"/>
      <c r="AF80" s="292" t="s">
        <v>76</v>
      </c>
      <c r="AG80" s="273"/>
      <c r="AH80" s="292" t="s">
        <v>214</v>
      </c>
      <c r="AI80" s="273"/>
      <c r="AJ80" s="337"/>
      <c r="AK80" s="335"/>
      <c r="AL80" s="314" t="s">
        <v>218</v>
      </c>
      <c r="AM80" s="268"/>
      <c r="AN80" s="268"/>
      <c r="AO80" s="269"/>
      <c r="AP80" s="337"/>
      <c r="AQ80" s="267" t="s">
        <v>225</v>
      </c>
    </row>
    <row r="81" spans="3:45" ht="16.5" customHeight="1" x14ac:dyDescent="0.35">
      <c r="D81" s="65" t="s">
        <v>67</v>
      </c>
      <c r="Q81" s="177">
        <v>0.11466174563824581</v>
      </c>
      <c r="R81" s="177">
        <v>0.15768091076506943</v>
      </c>
      <c r="S81" s="178"/>
      <c r="T81" s="177">
        <v>1.4094854418972383E-2</v>
      </c>
      <c r="U81" s="177">
        <v>1.6832743876262171E-2</v>
      </c>
      <c r="X81" s="335"/>
      <c r="Y81" s="274" t="s">
        <v>61</v>
      </c>
      <c r="Z81" s="288" t="s">
        <v>19</v>
      </c>
      <c r="AA81" s="275">
        <v>0.9</v>
      </c>
      <c r="AB81" s="270"/>
      <c r="AC81" s="304" t="s">
        <v>82</v>
      </c>
      <c r="AD81" s="293"/>
      <c r="AE81" s="270"/>
      <c r="AF81" s="294" t="s">
        <v>80</v>
      </c>
      <c r="AG81" s="295"/>
      <c r="AH81" s="294" t="s">
        <v>213</v>
      </c>
      <c r="AI81" s="296"/>
      <c r="AJ81" s="337"/>
      <c r="AK81" s="335"/>
      <c r="AL81" s="315"/>
      <c r="AM81" s="312"/>
      <c r="AN81" s="312"/>
      <c r="AO81" s="313"/>
      <c r="AP81" s="337"/>
    </row>
    <row r="82" spans="3:45" ht="16.5" customHeight="1" x14ac:dyDescent="0.35">
      <c r="C82" s="112" t="s">
        <v>46</v>
      </c>
      <c r="D82" s="58" t="s">
        <v>76</v>
      </c>
      <c r="Q82" s="177">
        <v>0.11071030475199607</v>
      </c>
      <c r="R82" s="177">
        <v>0.1530822559688694</v>
      </c>
      <c r="S82" s="178"/>
      <c r="T82" s="177">
        <v>1.3725459473827476E-2</v>
      </c>
      <c r="U82" s="177">
        <v>1.8709044602149272E-2</v>
      </c>
      <c r="X82" s="335"/>
      <c r="Y82" s="274" t="s">
        <v>62</v>
      </c>
      <c r="Z82" s="290" t="s">
        <v>215</v>
      </c>
      <c r="AA82" s="276">
        <v>0.94</v>
      </c>
      <c r="AB82" s="270"/>
      <c r="AC82" s="323"/>
      <c r="AD82" s="324"/>
      <c r="AE82" s="270"/>
      <c r="AF82" s="297"/>
      <c r="AG82" s="298"/>
      <c r="AH82" s="319"/>
      <c r="AI82" s="320" t="s">
        <v>216</v>
      </c>
      <c r="AJ82" s="337"/>
      <c r="AK82" s="340"/>
      <c r="AO82" s="379" t="s">
        <v>216</v>
      </c>
      <c r="AP82" s="337"/>
    </row>
    <row r="83" spans="3:45" ht="16.5" customHeight="1" x14ac:dyDescent="0.35">
      <c r="D83" s="65" t="s">
        <v>68</v>
      </c>
      <c r="Q83" s="177">
        <v>0.10714753018242659</v>
      </c>
      <c r="R83" s="177">
        <v>0.14686314427437097</v>
      </c>
      <c r="S83" s="178"/>
      <c r="T83" s="177">
        <v>1.3673864020288166E-2</v>
      </c>
      <c r="U83" s="177">
        <v>2.0033551815253722E-2</v>
      </c>
      <c r="X83" s="335"/>
      <c r="Y83" s="277" t="s">
        <v>212</v>
      </c>
      <c r="Z83" s="289" t="s">
        <v>28</v>
      </c>
      <c r="AA83" s="278">
        <v>85</v>
      </c>
      <c r="AB83" s="270"/>
      <c r="AC83" s="325" t="s">
        <v>35</v>
      </c>
      <c r="AD83" s="326" t="s">
        <v>128</v>
      </c>
      <c r="AE83" s="270"/>
      <c r="AF83" s="306" t="s">
        <v>24</v>
      </c>
      <c r="AG83" s="307" t="s">
        <v>26</v>
      </c>
      <c r="AH83" s="331" t="s">
        <v>35</v>
      </c>
      <c r="AI83" s="330" t="s">
        <v>33</v>
      </c>
      <c r="AJ83" s="337"/>
      <c r="AK83" s="340"/>
      <c r="AO83" s="380" t="s">
        <v>142</v>
      </c>
      <c r="AP83" s="337"/>
    </row>
    <row r="84" spans="3:45" ht="16.5" customHeight="1" x14ac:dyDescent="0.35">
      <c r="C84" s="112" t="s">
        <v>47</v>
      </c>
      <c r="D84" s="58" t="s">
        <v>69</v>
      </c>
      <c r="Q84" s="177">
        <v>9.1082655759640682E-2</v>
      </c>
      <c r="R84" s="177">
        <v>0.10847552975953602</v>
      </c>
      <c r="S84" s="178"/>
      <c r="T84" s="177">
        <v>1.4845984464816803E-2</v>
      </c>
      <c r="U84" s="177">
        <v>2.4173017073254071E-2</v>
      </c>
      <c r="X84" s="335"/>
      <c r="Y84" s="270"/>
      <c r="Z84" s="270"/>
      <c r="AA84" s="270"/>
      <c r="AB84" s="270"/>
      <c r="AC84" s="352">
        <v>1</v>
      </c>
      <c r="AD84" s="351">
        <v>1.3580000000000001</v>
      </c>
      <c r="AE84" s="270"/>
      <c r="AF84" s="308">
        <f>AA82*2.20462*25.4*12</f>
        <v>631.65008543999977</v>
      </c>
      <c r="AG84" s="356">
        <f t="shared" ref="AG84:AG95" si="19">($AD84*$AA$59*SQRT(4*$AA$61*$AF$62/32.2)/12)</f>
        <v>8.3178452381482124</v>
      </c>
      <c r="AH84" s="353">
        <v>1</v>
      </c>
      <c r="AI84" s="354">
        <f>AH84*AG84/2</f>
        <v>4.1589226190741062</v>
      </c>
      <c r="AJ84" s="337"/>
      <c r="AK84" s="340"/>
      <c r="AO84" s="367"/>
      <c r="AP84" s="337"/>
      <c r="AR84" s="264"/>
    </row>
    <row r="85" spans="3:45" ht="16.5" customHeight="1" x14ac:dyDescent="0.35">
      <c r="D85" s="65" t="s">
        <v>70</v>
      </c>
      <c r="Q85" s="177">
        <v>6.9437616583905307E-2</v>
      </c>
      <c r="R85" s="177">
        <v>7.5776740653426766E-2</v>
      </c>
      <c r="S85" s="178"/>
      <c r="T85" s="177">
        <v>1.7052581533375157E-2</v>
      </c>
      <c r="U85" s="177">
        <v>2.944860671882479E-2</v>
      </c>
      <c r="X85" s="335"/>
      <c r="Y85" s="270"/>
      <c r="Z85" s="270"/>
      <c r="AA85" s="270"/>
      <c r="AB85" s="270"/>
      <c r="AC85" s="352">
        <v>2</v>
      </c>
      <c r="AD85" s="351">
        <v>0.95899999999999996</v>
      </c>
      <c r="AE85" s="270"/>
      <c r="AF85" s="286"/>
      <c r="AG85" s="356">
        <f t="shared" si="19"/>
        <v>5.8739422558056953</v>
      </c>
      <c r="AH85" s="353">
        <v>2</v>
      </c>
      <c r="AI85" s="354">
        <f t="shared" ref="AI85:AI95" si="20">AH85*AG85/2</f>
        <v>5.8739422558056953</v>
      </c>
      <c r="AJ85" s="337"/>
      <c r="AK85" s="340"/>
      <c r="AO85" s="367"/>
      <c r="AP85" s="337"/>
      <c r="AR85" s="264"/>
    </row>
    <row r="86" spans="3:45" ht="16.5" customHeight="1" x14ac:dyDescent="0.35">
      <c r="Q86" s="177">
        <v>5.6036880947300069E-2</v>
      </c>
      <c r="R86" s="177">
        <v>6.0672631613477641E-2</v>
      </c>
      <c r="S86" s="178"/>
      <c r="T86" s="177">
        <v>2.4960535597603497E-2</v>
      </c>
      <c r="U86" s="177">
        <v>3.680076351220106E-2</v>
      </c>
      <c r="X86" s="335"/>
      <c r="Y86" s="270"/>
      <c r="Z86" s="270"/>
      <c r="AA86" s="270"/>
      <c r="AB86" s="270"/>
      <c r="AC86" s="280">
        <v>3</v>
      </c>
      <c r="AD86" s="281">
        <v>0.81299999999999994</v>
      </c>
      <c r="AE86" s="270"/>
      <c r="AF86" s="286"/>
      <c r="AG86" s="309">
        <f t="shared" si="19"/>
        <v>4.979682016652796</v>
      </c>
      <c r="AH86" s="321">
        <v>3</v>
      </c>
      <c r="AI86" s="300">
        <f t="shared" si="20"/>
        <v>7.4695230249791944</v>
      </c>
      <c r="AJ86" s="337"/>
      <c r="AK86" s="340"/>
      <c r="AO86" s="368">
        <f>AI86/AQ86</f>
        <v>0.82082670604166974</v>
      </c>
      <c r="AP86" s="337"/>
      <c r="AQ86" s="373">
        <v>9.1</v>
      </c>
      <c r="AR86" s="357">
        <f t="shared" ref="AR86:AR95" si="21">AI86/AQ86</f>
        <v>0.82082670604166974</v>
      </c>
      <c r="AS86" s="362">
        <f>1-AR86</f>
        <v>0.17917329395833026</v>
      </c>
    </row>
    <row r="87" spans="3:45" ht="16.5" customHeight="1" x14ac:dyDescent="0.35">
      <c r="Q87" s="177">
        <v>4.904195537836787E-2</v>
      </c>
      <c r="R87" s="177">
        <v>5.2523506478634414E-2</v>
      </c>
      <c r="S87" s="178"/>
      <c r="T87" s="177">
        <v>3.0858794847183811E-2</v>
      </c>
      <c r="U87" s="177">
        <v>4.0984745316266481E-2</v>
      </c>
      <c r="X87" s="335"/>
      <c r="Y87" s="270"/>
      <c r="Z87" s="270"/>
      <c r="AA87" s="270"/>
      <c r="AB87" s="270"/>
      <c r="AC87" s="271">
        <v>4</v>
      </c>
      <c r="AD87" s="279">
        <v>0.745</v>
      </c>
      <c r="AE87" s="270"/>
      <c r="AF87" s="286"/>
      <c r="AG87" s="309">
        <f t="shared" si="19"/>
        <v>4.5631772477322663</v>
      </c>
      <c r="AH87" s="321">
        <v>4</v>
      </c>
      <c r="AI87" s="299">
        <f t="shared" si="20"/>
        <v>9.1263544954645326</v>
      </c>
      <c r="AJ87" s="337"/>
      <c r="AK87" s="340"/>
      <c r="AO87" s="369"/>
      <c r="AP87" s="337"/>
      <c r="AQ87" s="374">
        <v>10.6</v>
      </c>
      <c r="AR87" s="358">
        <f t="shared" si="21"/>
        <v>0.86097683919476731</v>
      </c>
      <c r="AS87" s="363">
        <f t="shared" ref="AS87:AS89" si="22">1-AR87</f>
        <v>0.13902316080523269</v>
      </c>
    </row>
    <row r="88" spans="3:45" ht="16.5" customHeight="1" x14ac:dyDescent="0.35">
      <c r="C88" s="112" t="s">
        <v>44</v>
      </c>
      <c r="D88" s="58" t="s">
        <v>66</v>
      </c>
      <c r="Q88" s="177">
        <v>4.4609353836504904E-2</v>
      </c>
      <c r="R88" s="177">
        <v>4.7156374905833548E-2</v>
      </c>
      <c r="S88" s="178"/>
      <c r="T88" s="177">
        <v>3.5953176170904905E-2</v>
      </c>
      <c r="U88" s="177">
        <v>4.3901457124607579E-2</v>
      </c>
      <c r="X88" s="335"/>
      <c r="Y88" s="270"/>
      <c r="Z88" s="270"/>
      <c r="AA88" s="270"/>
      <c r="AB88" s="270"/>
      <c r="AC88" s="271">
        <v>5</v>
      </c>
      <c r="AD88" s="279">
        <v>0.70399999999999996</v>
      </c>
      <c r="AE88" s="270"/>
      <c r="AF88" s="286"/>
      <c r="AG88" s="309">
        <f t="shared" si="19"/>
        <v>4.3120493723537114</v>
      </c>
      <c r="AH88" s="321">
        <v>5</v>
      </c>
      <c r="AI88" s="299">
        <f t="shared" si="20"/>
        <v>10.780123430884279</v>
      </c>
      <c r="AJ88" s="337"/>
      <c r="AK88" s="340"/>
      <c r="AO88" s="369"/>
      <c r="AP88" s="337"/>
      <c r="AQ88" s="374">
        <v>12.7</v>
      </c>
      <c r="AR88" s="358">
        <f t="shared" si="21"/>
        <v>0.84882861660506137</v>
      </c>
      <c r="AS88" s="363">
        <f t="shared" si="22"/>
        <v>0.15117138339493863</v>
      </c>
    </row>
    <row r="89" spans="3:45" ht="16.5" customHeight="1" x14ac:dyDescent="0.35">
      <c r="Q89" s="177">
        <v>4.1457914308176545E-2</v>
      </c>
      <c r="R89" s="177">
        <v>4.3180240114053893E-2</v>
      </c>
      <c r="S89" s="178"/>
      <c r="T89" s="177">
        <v>4.0645618531696383E-2</v>
      </c>
      <c r="U89" s="177">
        <v>4.6184533935086487E-2</v>
      </c>
      <c r="X89" s="335"/>
      <c r="Y89" s="270"/>
      <c r="Z89" s="270"/>
      <c r="AA89" s="270"/>
      <c r="AB89" s="270"/>
      <c r="AC89" s="280">
        <v>10</v>
      </c>
      <c r="AD89" s="281">
        <v>0.623</v>
      </c>
      <c r="AE89" s="270"/>
      <c r="AF89" s="286"/>
      <c r="AG89" s="309">
        <f t="shared" si="19"/>
        <v>3.8159186917277879</v>
      </c>
      <c r="AH89" s="321">
        <v>10</v>
      </c>
      <c r="AI89" s="301">
        <f t="shared" si="20"/>
        <v>19.079593458638939</v>
      </c>
      <c r="AJ89" s="337"/>
      <c r="AK89" s="340"/>
      <c r="AO89" s="370">
        <f t="shared" ref="AO89:AO95" si="23">AI89/AQ89</f>
        <v>0.79168437587713436</v>
      </c>
      <c r="AP89" s="337"/>
      <c r="AQ89" s="375">
        <v>24.1</v>
      </c>
      <c r="AR89" s="359">
        <f t="shared" si="21"/>
        <v>0.79168437587713436</v>
      </c>
      <c r="AS89" s="364">
        <f t="shared" si="22"/>
        <v>0.20831562412286564</v>
      </c>
    </row>
    <row r="90" spans="3:45" ht="16.5" customHeight="1" x14ac:dyDescent="0.35">
      <c r="Q90" s="177">
        <v>3.9038567359010824E-2</v>
      </c>
      <c r="R90" s="177">
        <v>3.9998960625714897E-2</v>
      </c>
      <c r="S90" s="178"/>
      <c r="T90" s="177">
        <v>4.5108381485099526E-2</v>
      </c>
      <c r="U90" s="177">
        <v>4.8105533603929877E-2</v>
      </c>
      <c r="X90" s="335"/>
      <c r="Y90" s="270"/>
      <c r="Z90" s="270"/>
      <c r="AA90" s="270"/>
      <c r="AB90" s="270"/>
      <c r="AC90" s="282">
        <v>20</v>
      </c>
      <c r="AD90" s="283">
        <v>0.58199999999999996</v>
      </c>
      <c r="AE90" s="270"/>
      <c r="AF90" s="286"/>
      <c r="AG90" s="309">
        <f t="shared" si="19"/>
        <v>3.5647908163492334</v>
      </c>
      <c r="AH90" s="321">
        <v>20</v>
      </c>
      <c r="AI90" s="302">
        <f t="shared" si="20"/>
        <v>35.647908163492332</v>
      </c>
      <c r="AJ90" s="337"/>
      <c r="AK90" s="340"/>
      <c r="AO90" s="371"/>
      <c r="AP90" s="337"/>
      <c r="AQ90" s="376">
        <v>45.3</v>
      </c>
      <c r="AR90" s="360">
        <f t="shared" si="21"/>
        <v>0.78692954003294335</v>
      </c>
      <c r="AS90" s="365">
        <f>1-AR90</f>
        <v>0.21307045996705665</v>
      </c>
    </row>
    <row r="91" spans="3:45" ht="16.5" customHeight="1" x14ac:dyDescent="0.35">
      <c r="X91" s="335"/>
      <c r="Y91" s="270"/>
      <c r="Z91" s="270"/>
      <c r="AA91" s="270"/>
      <c r="AB91" s="270"/>
      <c r="AC91" s="271">
        <v>30</v>
      </c>
      <c r="AD91" s="279">
        <v>0.56799999999999995</v>
      </c>
      <c r="AE91" s="270"/>
      <c r="AF91" s="286"/>
      <c r="AG91" s="309">
        <f t="shared" si="19"/>
        <v>3.4790398345126543</v>
      </c>
      <c r="AH91" s="321">
        <v>30</v>
      </c>
      <c r="AI91" s="299">
        <f t="shared" si="20"/>
        <v>52.185597517689814</v>
      </c>
      <c r="AJ91" s="337"/>
      <c r="AK91" s="340"/>
      <c r="AO91" s="369"/>
      <c r="AP91" s="337"/>
      <c r="AQ91" s="374">
        <v>66.2</v>
      </c>
      <c r="AR91" s="358">
        <f t="shared" si="21"/>
        <v>0.7883020773064926</v>
      </c>
      <c r="AS91" s="363">
        <f t="shared" ref="AS91:AS95" si="24">1-AR91</f>
        <v>0.2116979226935074</v>
      </c>
    </row>
    <row r="92" spans="3:45" ht="16.5" customHeight="1" x14ac:dyDescent="0.35">
      <c r="X92" s="335"/>
      <c r="Y92" s="270"/>
      <c r="Z92" s="270"/>
      <c r="AA92" s="270"/>
      <c r="AB92" s="270"/>
      <c r="AC92" s="271">
        <v>40</v>
      </c>
      <c r="AD92" s="279">
        <v>0.56200000000000006</v>
      </c>
      <c r="AE92" s="270"/>
      <c r="AF92" s="286"/>
      <c r="AG92" s="309">
        <f t="shared" si="19"/>
        <v>3.4422894137255486</v>
      </c>
      <c r="AH92" s="321">
        <v>40</v>
      </c>
      <c r="AI92" s="299">
        <f t="shared" si="20"/>
        <v>68.845788274510966</v>
      </c>
      <c r="AJ92" s="337"/>
      <c r="AK92" s="340"/>
      <c r="AO92" s="369"/>
      <c r="AP92" s="337"/>
      <c r="AQ92" s="374">
        <v>86.7</v>
      </c>
      <c r="AR92" s="358">
        <f t="shared" si="21"/>
        <v>0.79406906891016105</v>
      </c>
      <c r="AS92" s="363">
        <f t="shared" si="24"/>
        <v>0.20593093108983895</v>
      </c>
    </row>
    <row r="93" spans="3:45" ht="16.5" customHeight="1" x14ac:dyDescent="0.35">
      <c r="Q93" s="196" t="s">
        <v>116</v>
      </c>
      <c r="R93" s="78"/>
      <c r="S93" s="78"/>
      <c r="T93" s="78"/>
      <c r="U93" s="79"/>
      <c r="X93" s="335"/>
      <c r="Y93" s="270"/>
      <c r="Z93" s="270"/>
      <c r="AA93" s="270"/>
      <c r="AB93" s="270"/>
      <c r="AC93" s="271">
        <v>50</v>
      </c>
      <c r="AD93" s="279">
        <v>0.55800000000000005</v>
      </c>
      <c r="AE93" s="270"/>
      <c r="AF93" s="286"/>
      <c r="AG93" s="309">
        <f t="shared" si="19"/>
        <v>3.4177891332008126</v>
      </c>
      <c r="AH93" s="321">
        <v>50</v>
      </c>
      <c r="AI93" s="299">
        <f t="shared" si="20"/>
        <v>85.444728330020311</v>
      </c>
      <c r="AJ93" s="337"/>
      <c r="AK93" s="340"/>
      <c r="AO93" s="369"/>
      <c r="AP93" s="337"/>
      <c r="AQ93" s="374">
        <v>107.9</v>
      </c>
      <c r="AR93" s="358">
        <f t="shared" si="21"/>
        <v>0.79188812168693523</v>
      </c>
      <c r="AS93" s="363">
        <f t="shared" si="24"/>
        <v>0.20811187831306477</v>
      </c>
    </row>
    <row r="94" spans="3:45" ht="16.5" customHeight="1" x14ac:dyDescent="0.35">
      <c r="Q94" s="197"/>
      <c r="R94" s="208" t="s">
        <v>155</v>
      </c>
      <c r="S94" s="198"/>
      <c r="T94" s="198"/>
      <c r="U94" s="199"/>
      <c r="X94" s="335"/>
      <c r="Y94" s="270"/>
      <c r="Z94" s="270"/>
      <c r="AA94" s="270"/>
      <c r="AB94" s="270"/>
      <c r="AC94" s="271">
        <v>60</v>
      </c>
      <c r="AD94" s="279">
        <v>0.55500000000000005</v>
      </c>
      <c r="AE94" s="270"/>
      <c r="AF94" s="286"/>
      <c r="AG94" s="309">
        <f t="shared" si="19"/>
        <v>3.3994139228072591</v>
      </c>
      <c r="AH94" s="321">
        <v>60</v>
      </c>
      <c r="AI94" s="299">
        <f t="shared" si="20"/>
        <v>101.98241768421778</v>
      </c>
      <c r="AJ94" s="337"/>
      <c r="AK94" s="340"/>
      <c r="AO94" s="369"/>
      <c r="AP94" s="337"/>
      <c r="AQ94" s="374">
        <v>130.4</v>
      </c>
      <c r="AR94" s="358">
        <f t="shared" si="21"/>
        <v>0.78207375524706879</v>
      </c>
      <c r="AS94" s="363">
        <f t="shared" si="24"/>
        <v>0.21792624475293121</v>
      </c>
    </row>
    <row r="95" spans="3:45" ht="16.5" customHeight="1" x14ac:dyDescent="0.35">
      <c r="Q95" s="200" t="s">
        <v>42</v>
      </c>
      <c r="R95" s="201" t="s">
        <v>42</v>
      </c>
      <c r="S95" s="202"/>
      <c r="T95" s="201" t="s">
        <v>42</v>
      </c>
      <c r="U95" s="203" t="s">
        <v>42</v>
      </c>
      <c r="X95" s="335"/>
      <c r="Y95" s="270"/>
      <c r="Z95" s="270"/>
      <c r="AA95" s="270"/>
      <c r="AB95" s="270"/>
      <c r="AC95" s="284">
        <v>70</v>
      </c>
      <c r="AD95" s="285">
        <v>0.55300000000000005</v>
      </c>
      <c r="AE95" s="270"/>
      <c r="AF95" s="310"/>
      <c r="AG95" s="311">
        <f t="shared" si="19"/>
        <v>3.3871637825448904</v>
      </c>
      <c r="AH95" s="322">
        <v>70</v>
      </c>
      <c r="AI95" s="303">
        <f t="shared" si="20"/>
        <v>118.55073238907116</v>
      </c>
      <c r="AJ95" s="337"/>
      <c r="AK95" s="340"/>
      <c r="AO95" s="372">
        <f t="shared" si="23"/>
        <v>0.77433528666930873</v>
      </c>
      <c r="AP95" s="337"/>
      <c r="AQ95" s="377">
        <v>153.1</v>
      </c>
      <c r="AR95" s="361">
        <f t="shared" si="21"/>
        <v>0.77433528666930873</v>
      </c>
      <c r="AS95" s="366">
        <f t="shared" si="24"/>
        <v>0.22566471333069127</v>
      </c>
    </row>
    <row r="96" spans="3:45" ht="6.75" customHeight="1" x14ac:dyDescent="0.35">
      <c r="Q96" s="204" t="s">
        <v>114</v>
      </c>
      <c r="R96" s="205" t="s">
        <v>115</v>
      </c>
      <c r="S96" s="206"/>
      <c r="T96" s="205" t="s">
        <v>117</v>
      </c>
      <c r="U96" s="207" t="s">
        <v>118</v>
      </c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9"/>
      <c r="AK96" s="341"/>
      <c r="AL96" s="198"/>
      <c r="AM96" s="198"/>
      <c r="AN96" s="198"/>
      <c r="AO96" s="378"/>
      <c r="AP96" s="199"/>
    </row>
    <row r="97" spans="17:45" ht="15" customHeight="1" x14ac:dyDescent="0.25">
      <c r="Q97" s="177">
        <v>0.12839462216094999</v>
      </c>
      <c r="R97" s="177">
        <v>0.14257136688299338</v>
      </c>
      <c r="S97" s="178"/>
      <c r="T97" s="177">
        <v>1.9600636683346145E-2</v>
      </c>
      <c r="U97" s="177">
        <v>4.803239732748257E-3</v>
      </c>
    </row>
    <row r="98" spans="17:45" ht="15" customHeight="1" x14ac:dyDescent="0.25">
      <c r="Q98" s="177">
        <v>0.11958485231619637</v>
      </c>
      <c r="R98" s="177">
        <v>0.15822842331552342</v>
      </c>
      <c r="S98" s="178"/>
      <c r="T98" s="177">
        <v>1.525874809313128E-2</v>
      </c>
      <c r="U98" s="177">
        <v>1.3576959368418457E-2</v>
      </c>
    </row>
    <row r="99" spans="17:45" ht="11.25" customHeight="1" x14ac:dyDescent="0.25">
      <c r="Q99" s="177">
        <v>0.11466174563824581</v>
      </c>
      <c r="R99" s="177">
        <v>0.15768091076506943</v>
      </c>
      <c r="S99" s="178"/>
      <c r="T99" s="177">
        <v>1.4094854418972383E-2</v>
      </c>
      <c r="U99" s="177">
        <v>1.6832743876262171E-2</v>
      </c>
      <c r="X99" s="332"/>
      <c r="Y99" s="78"/>
      <c r="Z99" s="19"/>
      <c r="AA99" s="19"/>
      <c r="AB99" s="19"/>
      <c r="AC99" s="19"/>
      <c r="AD99" s="78"/>
      <c r="AE99" s="78"/>
      <c r="AF99" s="78"/>
      <c r="AG99" s="333"/>
      <c r="AH99" s="333"/>
      <c r="AI99" s="350" t="s">
        <v>231</v>
      </c>
      <c r="AJ99" s="334"/>
      <c r="AK99" s="338"/>
      <c r="AL99" s="78"/>
      <c r="AM99" s="333"/>
      <c r="AN99" s="350" t="s">
        <v>219</v>
      </c>
      <c r="AO99" s="78"/>
      <c r="AP99" s="79"/>
    </row>
    <row r="100" spans="17:45" ht="16.5" customHeight="1" x14ac:dyDescent="0.35">
      <c r="Q100" s="177">
        <v>0.11071030475199607</v>
      </c>
      <c r="R100" s="177">
        <v>0.1530822559688694</v>
      </c>
      <c r="S100" s="178"/>
      <c r="T100" s="177">
        <v>1.3725459473827476E-2</v>
      </c>
      <c r="U100" s="177">
        <v>1.8709044602149272E-2</v>
      </c>
      <c r="X100" s="335"/>
      <c r="Y100" s="316" t="s">
        <v>211</v>
      </c>
      <c r="Z100" s="317"/>
      <c r="AA100" s="317"/>
      <c r="AB100" s="317"/>
      <c r="AC100" s="317"/>
      <c r="AD100" s="318"/>
      <c r="AE100" s="270"/>
      <c r="AF100" s="343" t="s">
        <v>232</v>
      </c>
      <c r="AG100" s="342"/>
      <c r="AH100" s="343"/>
      <c r="AI100" s="342"/>
      <c r="AJ100" s="345"/>
      <c r="AK100" s="344"/>
      <c r="AL100" s="343" t="s">
        <v>233</v>
      </c>
      <c r="AM100" s="342"/>
      <c r="AN100" s="339"/>
      <c r="AP100" s="337"/>
    </row>
    <row r="101" spans="17:45" ht="18" customHeight="1" x14ac:dyDescent="0.35">
      <c r="Q101" s="177">
        <v>0.10714753018242659</v>
      </c>
      <c r="R101" s="177">
        <v>0.14686314427437097</v>
      </c>
      <c r="S101" s="178"/>
      <c r="T101" s="177">
        <v>1.3673864020288166E-2</v>
      </c>
      <c r="U101" s="177">
        <v>2.0033551815253722E-2</v>
      </c>
      <c r="X101" s="335"/>
      <c r="Y101" s="336"/>
      <c r="Z101" s="270"/>
      <c r="AA101" s="270"/>
      <c r="AB101" s="270"/>
      <c r="AC101" s="270"/>
      <c r="AD101" s="270"/>
      <c r="AE101" s="270"/>
      <c r="AF101" s="347" t="s">
        <v>235</v>
      </c>
      <c r="AG101" s="346"/>
      <c r="AH101" s="347"/>
      <c r="AI101" s="346"/>
      <c r="AJ101" s="348"/>
      <c r="AK101" s="349"/>
      <c r="AL101" s="347" t="s">
        <v>234</v>
      </c>
      <c r="AM101" s="342"/>
      <c r="AN101" s="339"/>
      <c r="AP101" s="337"/>
    </row>
    <row r="102" spans="17:45" ht="16.5" customHeight="1" x14ac:dyDescent="0.35">
      <c r="Q102" s="177">
        <v>9.1082655759640682E-2</v>
      </c>
      <c r="R102" s="177">
        <v>0.10847552975953602</v>
      </c>
      <c r="S102" s="178"/>
      <c r="T102" s="177">
        <v>1.4845984464816803E-2</v>
      </c>
      <c r="U102" s="177">
        <v>2.4173017073254071E-2</v>
      </c>
      <c r="X102" s="335"/>
      <c r="Y102" s="327" t="s">
        <v>15</v>
      </c>
      <c r="Z102" s="272"/>
      <c r="AA102" s="273"/>
      <c r="AB102" s="270"/>
      <c r="AC102" s="305" t="s">
        <v>217</v>
      </c>
      <c r="AD102" s="291"/>
      <c r="AE102" s="270"/>
      <c r="AF102" s="292" t="s">
        <v>76</v>
      </c>
      <c r="AG102" s="273"/>
      <c r="AH102" s="292" t="s">
        <v>214</v>
      </c>
      <c r="AI102" s="273"/>
      <c r="AJ102" s="337"/>
      <c r="AK102" s="335"/>
      <c r="AL102" s="314" t="s">
        <v>218</v>
      </c>
      <c r="AM102" s="268"/>
      <c r="AN102" s="268"/>
      <c r="AO102" s="269"/>
      <c r="AP102" s="337"/>
    </row>
    <row r="103" spans="17:45" ht="16.5" customHeight="1" x14ac:dyDescent="0.35">
      <c r="Q103" s="177">
        <v>6.9437616583905307E-2</v>
      </c>
      <c r="R103" s="177">
        <v>7.5776740653426766E-2</v>
      </c>
      <c r="S103" s="178"/>
      <c r="T103" s="177">
        <v>1.7052581533375157E-2</v>
      </c>
      <c r="U103" s="177">
        <v>2.944860671882479E-2</v>
      </c>
      <c r="X103" s="335"/>
      <c r="Y103" s="274" t="s">
        <v>61</v>
      </c>
      <c r="Z103" s="288" t="s">
        <v>19</v>
      </c>
      <c r="AA103" s="275">
        <v>0.9</v>
      </c>
      <c r="AB103" s="270"/>
      <c r="AC103" s="304" t="s">
        <v>82</v>
      </c>
      <c r="AD103" s="293"/>
      <c r="AE103" s="270"/>
      <c r="AF103" s="294" t="s">
        <v>80</v>
      </c>
      <c r="AG103" s="295"/>
      <c r="AH103" s="294" t="s">
        <v>213</v>
      </c>
      <c r="AI103" s="296"/>
      <c r="AJ103" s="337"/>
      <c r="AK103" s="335"/>
      <c r="AL103" s="315"/>
      <c r="AM103" s="312"/>
      <c r="AN103" s="312"/>
      <c r="AO103" s="313"/>
      <c r="AP103" s="337"/>
    </row>
    <row r="104" spans="17:45" ht="16.5" customHeight="1" x14ac:dyDescent="0.35">
      <c r="Q104" s="177">
        <v>5.6036880947300069E-2</v>
      </c>
      <c r="R104" s="177">
        <v>6.0672631613477641E-2</v>
      </c>
      <c r="S104" s="178"/>
      <c r="T104" s="177">
        <v>2.4960535597603497E-2</v>
      </c>
      <c r="U104" s="177">
        <v>3.680076351220106E-2</v>
      </c>
      <c r="X104" s="335"/>
      <c r="Y104" s="274" t="s">
        <v>62</v>
      </c>
      <c r="Z104" s="290" t="s">
        <v>215</v>
      </c>
      <c r="AA104" s="276">
        <v>0.94</v>
      </c>
      <c r="AB104" s="270"/>
      <c r="AC104" s="323"/>
      <c r="AD104" s="324"/>
      <c r="AE104" s="270"/>
      <c r="AF104" s="297"/>
      <c r="AG104" s="298"/>
      <c r="AH104" s="319"/>
      <c r="AI104" s="320" t="s">
        <v>216</v>
      </c>
      <c r="AJ104" s="337"/>
      <c r="AK104" s="340"/>
      <c r="AO104" s="379" t="s">
        <v>216</v>
      </c>
      <c r="AP104" s="337"/>
    </row>
    <row r="105" spans="17:45" ht="16.5" customHeight="1" x14ac:dyDescent="0.35">
      <c r="Q105" s="177">
        <v>4.904195537836787E-2</v>
      </c>
      <c r="R105" s="177">
        <v>5.2523506478634414E-2</v>
      </c>
      <c r="S105" s="178"/>
      <c r="T105" s="177">
        <v>3.0858794847183811E-2</v>
      </c>
      <c r="U105" s="177">
        <v>4.0984745316266481E-2</v>
      </c>
      <c r="X105" s="335"/>
      <c r="Y105" s="277" t="s">
        <v>212</v>
      </c>
      <c r="Z105" s="289" t="s">
        <v>28</v>
      </c>
      <c r="AA105" s="278">
        <v>85</v>
      </c>
      <c r="AB105" s="270"/>
      <c r="AC105" s="325" t="s">
        <v>35</v>
      </c>
      <c r="AD105" s="326" t="s">
        <v>128</v>
      </c>
      <c r="AE105" s="270"/>
      <c r="AF105" s="306" t="s">
        <v>24</v>
      </c>
      <c r="AG105" s="307" t="s">
        <v>26</v>
      </c>
      <c r="AH105" s="331" t="s">
        <v>35</v>
      </c>
      <c r="AI105" s="330" t="s">
        <v>33</v>
      </c>
      <c r="AJ105" s="337"/>
      <c r="AK105" s="340"/>
      <c r="AO105" s="380" t="s">
        <v>142</v>
      </c>
      <c r="AP105" s="337"/>
    </row>
    <row r="106" spans="17:45" ht="16.5" customHeight="1" x14ac:dyDescent="0.35">
      <c r="Q106" s="177">
        <v>4.4609353836504904E-2</v>
      </c>
      <c r="R106" s="177">
        <v>4.7156374905833548E-2</v>
      </c>
      <c r="S106" s="178"/>
      <c r="T106" s="177">
        <v>3.5953176170904905E-2</v>
      </c>
      <c r="U106" s="177">
        <v>4.3901457124607579E-2</v>
      </c>
      <c r="X106" s="335"/>
      <c r="Y106" s="270"/>
      <c r="Z106" s="270"/>
      <c r="AA106" s="270"/>
      <c r="AB106" s="270"/>
      <c r="AC106" s="352">
        <v>1</v>
      </c>
      <c r="AD106" s="351">
        <v>1.2010000000000001</v>
      </c>
      <c r="AE106" s="270"/>
      <c r="AF106" s="308">
        <f>AA104*2.20462*25.4*12</f>
        <v>631.65008543999977</v>
      </c>
      <c r="AG106" s="356">
        <f t="shared" ref="AG106:AG117" si="25">($AD106*$AA$59*SQRT(4*$AA$61*$AF$62/32.2)/12)</f>
        <v>7.3562092275522852</v>
      </c>
      <c r="AH106" s="353">
        <v>1</v>
      </c>
      <c r="AI106" s="354">
        <f>AH106*AG106/2</f>
        <v>3.6781046137761426</v>
      </c>
      <c r="AJ106" s="337"/>
      <c r="AK106" s="340"/>
      <c r="AO106" s="367"/>
      <c r="AP106" s="337"/>
    </row>
    <row r="107" spans="17:45" ht="16.5" customHeight="1" x14ac:dyDescent="0.35">
      <c r="Q107" s="177">
        <v>4.1457914308176545E-2</v>
      </c>
      <c r="R107" s="177">
        <v>4.3180240114053893E-2</v>
      </c>
      <c r="S107" s="178"/>
      <c r="T107" s="177">
        <v>4.0645618531696383E-2</v>
      </c>
      <c r="U107" s="177">
        <v>4.6184533935086487E-2</v>
      </c>
      <c r="X107" s="335"/>
      <c r="Y107" s="270"/>
      <c r="Z107" s="270"/>
      <c r="AA107" s="270"/>
      <c r="AB107" s="270"/>
      <c r="AC107" s="352">
        <v>2</v>
      </c>
      <c r="AD107" s="351">
        <v>0.79500000000000004</v>
      </c>
      <c r="AE107" s="270"/>
      <c r="AF107" s="286"/>
      <c r="AG107" s="356">
        <f t="shared" si="25"/>
        <v>4.8694307542914794</v>
      </c>
      <c r="AH107" s="353">
        <v>2</v>
      </c>
      <c r="AI107" s="354">
        <f t="shared" ref="AI107:AI117" si="26">AH107*AG107/2</f>
        <v>4.8694307542914794</v>
      </c>
      <c r="AJ107" s="337"/>
      <c r="AK107" s="340"/>
      <c r="AO107" s="367"/>
      <c r="AP107" s="337"/>
    </row>
    <row r="108" spans="17:45" ht="16.5" customHeight="1" x14ac:dyDescent="0.35">
      <c r="Q108" s="177">
        <v>3.9038567359010824E-2</v>
      </c>
      <c r="R108" s="177">
        <v>3.9998960625714897E-2</v>
      </c>
      <c r="S108" s="178"/>
      <c r="T108" s="177">
        <v>4.5108381485099526E-2</v>
      </c>
      <c r="U108" s="177">
        <v>4.8105533603929877E-2</v>
      </c>
      <c r="X108" s="335"/>
      <c r="Y108" s="270"/>
      <c r="Z108" s="270"/>
      <c r="AA108" s="270"/>
      <c r="AB108" s="270"/>
      <c r="AC108" s="280">
        <v>3</v>
      </c>
      <c r="AD108" s="281">
        <v>0.66200000000000003</v>
      </c>
      <c r="AE108" s="270"/>
      <c r="AF108" s="286"/>
      <c r="AG108" s="309">
        <f t="shared" si="25"/>
        <v>4.054796426843974</v>
      </c>
      <c r="AH108" s="321">
        <v>3</v>
      </c>
      <c r="AI108" s="300">
        <f t="shared" si="26"/>
        <v>6.0821946402659606</v>
      </c>
      <c r="AJ108" s="337"/>
      <c r="AK108" s="340"/>
      <c r="AO108" s="368">
        <f>AI108/AQ108</f>
        <v>0.66837303739186382</v>
      </c>
      <c r="AP108" s="337"/>
      <c r="AQ108" s="373">
        <v>9.1</v>
      </c>
      <c r="AR108" s="357">
        <f t="shared" ref="AR108:AR117" si="27">AI108/AQ108</f>
        <v>0.66837303739186382</v>
      </c>
      <c r="AS108" s="362">
        <f>1-AR108</f>
        <v>0.33162696260813618</v>
      </c>
    </row>
    <row r="109" spans="17:45" ht="16.5" customHeight="1" x14ac:dyDescent="0.35">
      <c r="X109" s="335"/>
      <c r="Y109" s="270"/>
      <c r="Z109" s="270"/>
      <c r="AA109" s="270"/>
      <c r="AB109" s="270"/>
      <c r="AC109" s="271">
        <v>4</v>
      </c>
      <c r="AD109" s="279">
        <v>0.59399999999999997</v>
      </c>
      <c r="AE109" s="270"/>
      <c r="AF109" s="286"/>
      <c r="AG109" s="309">
        <f t="shared" si="25"/>
        <v>3.6382916579234443</v>
      </c>
      <c r="AH109" s="321">
        <v>4</v>
      </c>
      <c r="AI109" s="299">
        <f t="shared" si="26"/>
        <v>7.2765833158468887</v>
      </c>
      <c r="AJ109" s="337"/>
      <c r="AK109" s="340"/>
      <c r="AO109" s="369"/>
      <c r="AP109" s="337"/>
      <c r="AQ109" s="374">
        <v>10.6</v>
      </c>
      <c r="AR109" s="358">
        <f t="shared" si="27"/>
        <v>0.68647012413649899</v>
      </c>
      <c r="AS109" s="363">
        <f t="shared" ref="AS109:AS111" si="28">1-AR109</f>
        <v>0.31352987586350101</v>
      </c>
    </row>
    <row r="110" spans="17:45" ht="16.5" customHeight="1" x14ac:dyDescent="0.35">
      <c r="X110" s="335"/>
      <c r="Y110" s="270"/>
      <c r="Z110" s="270"/>
      <c r="AA110" s="270"/>
      <c r="AB110" s="270"/>
      <c r="AC110" s="271">
        <v>5</v>
      </c>
      <c r="AD110" s="279">
        <v>0.55700000000000005</v>
      </c>
      <c r="AE110" s="270"/>
      <c r="AF110" s="286"/>
      <c r="AG110" s="309">
        <f t="shared" si="25"/>
        <v>3.4116640630696278</v>
      </c>
      <c r="AH110" s="321">
        <v>5</v>
      </c>
      <c r="AI110" s="299">
        <f t="shared" si="26"/>
        <v>8.5291601576740703</v>
      </c>
      <c r="AJ110" s="337"/>
      <c r="AK110" s="340"/>
      <c r="AO110" s="369"/>
      <c r="AP110" s="337"/>
      <c r="AQ110" s="374">
        <v>12.7</v>
      </c>
      <c r="AR110" s="358">
        <f t="shared" si="27"/>
        <v>0.67158741399008437</v>
      </c>
      <c r="AS110" s="363">
        <f t="shared" si="28"/>
        <v>0.32841258600991563</v>
      </c>
    </row>
    <row r="111" spans="17:45" ht="16.5" customHeight="1" x14ac:dyDescent="0.35">
      <c r="X111" s="335"/>
      <c r="Y111" s="270"/>
      <c r="Z111" s="270"/>
      <c r="AA111" s="270"/>
      <c r="AB111" s="270"/>
      <c r="AC111" s="280">
        <v>10</v>
      </c>
      <c r="AD111" s="281">
        <v>0.48699999999999999</v>
      </c>
      <c r="AE111" s="270"/>
      <c r="AF111" s="286"/>
      <c r="AG111" s="309">
        <f t="shared" si="25"/>
        <v>2.9829091538867298</v>
      </c>
      <c r="AH111" s="321">
        <v>10</v>
      </c>
      <c r="AI111" s="301">
        <f t="shared" si="26"/>
        <v>14.91454576943365</v>
      </c>
      <c r="AJ111" s="337"/>
      <c r="AK111" s="340"/>
      <c r="AO111" s="370">
        <f t="shared" ref="AO111:AO117" si="29">AI111/AQ111</f>
        <v>0.61886082030845013</v>
      </c>
      <c r="AP111" s="337"/>
      <c r="AQ111" s="375">
        <v>24.1</v>
      </c>
      <c r="AR111" s="359">
        <f t="shared" si="27"/>
        <v>0.61886082030845013</v>
      </c>
      <c r="AS111" s="364">
        <f t="shared" si="28"/>
        <v>0.38113917969154987</v>
      </c>
    </row>
    <row r="112" spans="17:45" ht="16.5" customHeight="1" x14ac:dyDescent="0.35">
      <c r="X112" s="335"/>
      <c r="Y112" s="270"/>
      <c r="Z112" s="270"/>
      <c r="AA112" s="270"/>
      <c r="AB112" s="270"/>
      <c r="AC112" s="282">
        <v>20</v>
      </c>
      <c r="AD112" s="283">
        <v>0.46800000000000003</v>
      </c>
      <c r="AE112" s="270"/>
      <c r="AF112" s="286"/>
      <c r="AG112" s="309">
        <f t="shared" si="25"/>
        <v>2.8665328213942289</v>
      </c>
      <c r="AH112" s="321">
        <v>20</v>
      </c>
      <c r="AI112" s="302">
        <f t="shared" si="26"/>
        <v>28.665328213942288</v>
      </c>
      <c r="AJ112" s="337"/>
      <c r="AK112" s="340"/>
      <c r="AO112" s="371"/>
      <c r="AP112" s="337"/>
      <c r="AQ112" s="376">
        <v>45.3</v>
      </c>
      <c r="AR112" s="360">
        <f t="shared" si="27"/>
        <v>0.63278870229453177</v>
      </c>
      <c r="AS112" s="365">
        <f>1-AR112</f>
        <v>0.36721129770546823</v>
      </c>
    </row>
    <row r="113" spans="24:45" ht="16.5" customHeight="1" x14ac:dyDescent="0.35">
      <c r="X113" s="335"/>
      <c r="Y113" s="270"/>
      <c r="Z113" s="270"/>
      <c r="AA113" s="270"/>
      <c r="AB113" s="270"/>
      <c r="AC113" s="271">
        <v>30</v>
      </c>
      <c r="AD113" s="279">
        <v>0.47699999999999998</v>
      </c>
      <c r="AE113" s="270"/>
      <c r="AF113" s="286"/>
      <c r="AG113" s="309">
        <f t="shared" si="25"/>
        <v>2.9216584525748872</v>
      </c>
      <c r="AH113" s="321">
        <v>30</v>
      </c>
      <c r="AI113" s="299">
        <f t="shared" si="26"/>
        <v>43.824876788623307</v>
      </c>
      <c r="AJ113" s="337"/>
      <c r="AK113" s="340"/>
      <c r="AO113" s="369"/>
      <c r="AP113" s="337"/>
      <c r="AQ113" s="374">
        <v>66.2</v>
      </c>
      <c r="AR113" s="358">
        <f t="shared" si="27"/>
        <v>0.66200720224506504</v>
      </c>
      <c r="AS113" s="363">
        <f t="shared" ref="AS113:AS117" si="30">1-AR113</f>
        <v>0.33799279775493496</v>
      </c>
    </row>
    <row r="114" spans="24:45" ht="16.5" customHeight="1" x14ac:dyDescent="0.35">
      <c r="X114" s="335"/>
      <c r="Y114" s="270"/>
      <c r="Z114" s="270"/>
      <c r="AA114" s="270"/>
      <c r="AB114" s="270"/>
      <c r="AC114" s="271">
        <v>40</v>
      </c>
      <c r="AD114" s="279">
        <v>0.49199999999999999</v>
      </c>
      <c r="AE114" s="270"/>
      <c r="AF114" s="286"/>
      <c r="AG114" s="309">
        <f t="shared" si="25"/>
        <v>3.0135345045426511</v>
      </c>
      <c r="AH114" s="321">
        <v>40</v>
      </c>
      <c r="AI114" s="299">
        <f t="shared" si="26"/>
        <v>60.270690090853023</v>
      </c>
      <c r="AJ114" s="337"/>
      <c r="AK114" s="340"/>
      <c r="AO114" s="369"/>
      <c r="AP114" s="337"/>
      <c r="AQ114" s="374">
        <v>86.7</v>
      </c>
      <c r="AR114" s="358">
        <f t="shared" si="27"/>
        <v>0.69516366886797021</v>
      </c>
      <c r="AS114" s="363">
        <f t="shared" si="30"/>
        <v>0.30483633113202979</v>
      </c>
    </row>
    <row r="115" spans="24:45" ht="16.5" customHeight="1" x14ac:dyDescent="0.35">
      <c r="X115" s="335"/>
      <c r="Y115" s="270"/>
      <c r="Z115" s="270"/>
      <c r="AA115" s="270"/>
      <c r="AB115" s="270"/>
      <c r="AC115" s="271">
        <v>50</v>
      </c>
      <c r="AD115" s="279">
        <v>0.51100000000000001</v>
      </c>
      <c r="AE115" s="270"/>
      <c r="AF115" s="286"/>
      <c r="AG115" s="309">
        <f t="shared" si="25"/>
        <v>3.1299108370351516</v>
      </c>
      <c r="AH115" s="321">
        <v>50</v>
      </c>
      <c r="AI115" s="299">
        <f t="shared" si="26"/>
        <v>78.247770925878797</v>
      </c>
      <c r="AJ115" s="337"/>
      <c r="AK115" s="340"/>
      <c r="AO115" s="369"/>
      <c r="AP115" s="337"/>
      <c r="AQ115" s="374">
        <v>107.9</v>
      </c>
      <c r="AR115" s="358">
        <f t="shared" si="27"/>
        <v>0.72518786770971999</v>
      </c>
      <c r="AS115" s="363">
        <f t="shared" si="30"/>
        <v>0.27481213229028001</v>
      </c>
    </row>
    <row r="116" spans="24:45" ht="16.5" customHeight="1" x14ac:dyDescent="0.35">
      <c r="X116" s="335"/>
      <c r="Y116" s="270"/>
      <c r="Z116" s="270"/>
      <c r="AA116" s="270"/>
      <c r="AB116" s="270"/>
      <c r="AC116" s="271">
        <v>60</v>
      </c>
      <c r="AD116" s="279">
        <v>0.53</v>
      </c>
      <c r="AE116" s="270"/>
      <c r="AF116" s="286"/>
      <c r="AG116" s="309">
        <f t="shared" si="25"/>
        <v>3.2462871695276529</v>
      </c>
      <c r="AH116" s="321">
        <v>60</v>
      </c>
      <c r="AI116" s="299">
        <f t="shared" si="26"/>
        <v>97.388615085829585</v>
      </c>
      <c r="AJ116" s="337"/>
      <c r="AK116" s="340"/>
      <c r="AO116" s="369"/>
      <c r="AP116" s="337"/>
      <c r="AQ116" s="374">
        <v>130.4</v>
      </c>
      <c r="AR116" s="358">
        <f t="shared" si="27"/>
        <v>0.746845207713417</v>
      </c>
      <c r="AS116" s="363">
        <f t="shared" si="30"/>
        <v>0.253154792286583</v>
      </c>
    </row>
    <row r="117" spans="24:45" ht="16.5" customHeight="1" x14ac:dyDescent="0.35">
      <c r="X117" s="335"/>
      <c r="Y117" s="270"/>
      <c r="Z117" s="270"/>
      <c r="AA117" s="270"/>
      <c r="AB117" s="270"/>
      <c r="AC117" s="284">
        <v>70</v>
      </c>
      <c r="AD117" s="285">
        <v>0.55100000000000005</v>
      </c>
      <c r="AE117" s="270"/>
      <c r="AF117" s="310"/>
      <c r="AG117" s="311">
        <f t="shared" si="25"/>
        <v>3.3749136422825221</v>
      </c>
      <c r="AH117" s="322">
        <v>70</v>
      </c>
      <c r="AI117" s="303">
        <f t="shared" si="26"/>
        <v>118.12197747988827</v>
      </c>
      <c r="AJ117" s="337"/>
      <c r="AK117" s="340"/>
      <c r="AO117" s="372">
        <f t="shared" si="29"/>
        <v>0.7715347973865988</v>
      </c>
      <c r="AP117" s="337"/>
      <c r="AQ117" s="377">
        <v>153.1</v>
      </c>
      <c r="AR117" s="361">
        <f t="shared" si="27"/>
        <v>0.7715347973865988</v>
      </c>
      <c r="AS117" s="366">
        <f t="shared" si="30"/>
        <v>0.2284652026134012</v>
      </c>
    </row>
    <row r="118" spans="24:45" ht="16.5" customHeight="1" x14ac:dyDescent="0.35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9"/>
      <c r="AK118" s="341"/>
      <c r="AL118" s="198"/>
      <c r="AM118" s="198"/>
      <c r="AN118" s="198"/>
      <c r="AO118" s="378"/>
      <c r="AP118" s="199"/>
    </row>
    <row r="119" spans="24:45" ht="6.75" customHeight="1" x14ac:dyDescent="0.25"/>
    <row r="120" spans="24:45" ht="15" customHeight="1" x14ac:dyDescent="0.25"/>
    <row r="121" spans="24:45" ht="15" customHeight="1" x14ac:dyDescent="0.25"/>
    <row r="122" spans="24:45" ht="15" customHeight="1" x14ac:dyDescent="0.25"/>
    <row r="123" spans="24:45" ht="15" customHeight="1" x14ac:dyDescent="0.25"/>
    <row r="124" spans="24:45" ht="15" customHeight="1" x14ac:dyDescent="0.25"/>
    <row r="125" spans="24:45" ht="15" customHeight="1" x14ac:dyDescent="0.25"/>
    <row r="126" spans="24:45" ht="15" customHeight="1" x14ac:dyDescent="0.25"/>
    <row r="127" spans="24:45" ht="15" customHeight="1" x14ac:dyDescent="0.25"/>
    <row r="128" spans="24:45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</sheetData>
  <pageMargins left="0.2" right="0.2" top="0.5" bottom="0.5" header="0.3" footer="0.3"/>
  <pageSetup scale="9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pageSetUpPr fitToPage="1"/>
  </sheetPr>
  <dimension ref="A1:AN205"/>
  <sheetViews>
    <sheetView showGridLines="0" zoomScale="80" zoomScaleNormal="80" workbookViewId="0">
      <selection activeCell="V8" sqref="V8"/>
    </sheetView>
  </sheetViews>
  <sheetFormatPr defaultRowHeight="15" x14ac:dyDescent="0.25"/>
  <cols>
    <col min="1" max="1" width="4.7109375" style="55" customWidth="1"/>
    <col min="2" max="4" width="8.7109375" style="55" customWidth="1"/>
    <col min="5" max="26" width="11.7109375" style="55" customWidth="1"/>
    <col min="27" max="16384" width="9.140625" style="55"/>
  </cols>
  <sheetData>
    <row r="1" spans="1:40" x14ac:dyDescent="0.25">
      <c r="Q1" s="59" t="s">
        <v>162</v>
      </c>
    </row>
    <row r="2" spans="1:40" ht="15.75" x14ac:dyDescent="0.25">
      <c r="A2" s="262" t="s">
        <v>201</v>
      </c>
    </row>
    <row r="4" spans="1:40" x14ac:dyDescent="0.25">
      <c r="A4" s="257" t="s">
        <v>191</v>
      </c>
      <c r="B4" s="257" t="s">
        <v>192</v>
      </c>
    </row>
    <row r="5" spans="1:40" x14ac:dyDescent="0.25">
      <c r="B5" s="254" t="s">
        <v>186</v>
      </c>
    </row>
    <row r="6" spans="1:40" s="259" customFormat="1" x14ac:dyDescent="0.25">
      <c r="B6" s="258" t="s">
        <v>199</v>
      </c>
    </row>
    <row r="7" spans="1:40" s="259" customFormat="1" x14ac:dyDescent="0.25">
      <c r="B7" s="258" t="s">
        <v>200</v>
      </c>
    </row>
    <row r="8" spans="1:40" s="259" customFormat="1" x14ac:dyDescent="0.25">
      <c r="B8" s="258"/>
      <c r="C8" s="260" t="s">
        <v>193</v>
      </c>
    </row>
    <row r="9" spans="1:40" s="259" customFormat="1" x14ac:dyDescent="0.25">
      <c r="B9" s="258"/>
      <c r="C9" s="260" t="s">
        <v>194</v>
      </c>
    </row>
    <row r="10" spans="1:40" s="259" customFormat="1" x14ac:dyDescent="0.25">
      <c r="B10" s="258"/>
      <c r="C10" s="258" t="s">
        <v>195</v>
      </c>
    </row>
    <row r="11" spans="1:40" x14ac:dyDescent="0.25">
      <c r="B11" s="258"/>
      <c r="C11" s="259" t="s">
        <v>196</v>
      </c>
      <c r="G11" s="1"/>
    </row>
    <row r="12" spans="1:40" x14ac:dyDescent="0.25">
      <c r="B12" s="258"/>
      <c r="C12" s="55" t="s">
        <v>197</v>
      </c>
      <c r="G12" s="1"/>
      <c r="Q12" s="59"/>
    </row>
    <row r="13" spans="1:40" x14ac:dyDescent="0.25">
      <c r="G13" s="218"/>
      <c r="H13"/>
      <c r="Q13" s="59"/>
    </row>
    <row r="14" spans="1:40" customFormat="1" ht="18" customHeight="1" x14ac:dyDescent="0.25">
      <c r="F14" s="245" t="s">
        <v>163</v>
      </c>
      <c r="G14" s="1" t="s">
        <v>183</v>
      </c>
      <c r="Q14" s="55"/>
      <c r="T14" s="55"/>
    </row>
    <row r="15" spans="1:40" customFormat="1" ht="15" customHeight="1" x14ac:dyDescent="0.25">
      <c r="B15" s="55"/>
      <c r="C15" s="55"/>
      <c r="D15" s="55"/>
      <c r="E15" s="55"/>
      <c r="F15" s="245" t="s">
        <v>164</v>
      </c>
      <c r="G15" s="55"/>
      <c r="T15" s="55"/>
    </row>
    <row r="16" spans="1:40" ht="15" customHeight="1" x14ac:dyDescent="0.25">
      <c r="A16" s="58"/>
      <c r="B16" s="65"/>
      <c r="C16" s="66"/>
      <c r="G16" s="1" t="s">
        <v>187</v>
      </c>
      <c r="R16" s="218"/>
      <c r="AH16"/>
      <c r="AI16"/>
      <c r="AJ16"/>
      <c r="AK16"/>
      <c r="AL16"/>
      <c r="AM16"/>
      <c r="AN16"/>
    </row>
    <row r="17" spans="1:40" ht="15" customHeight="1" x14ac:dyDescent="0.25">
      <c r="A17" s="58"/>
      <c r="B17" s="62" t="s">
        <v>177</v>
      </c>
      <c r="C17" s="63"/>
      <c r="D17" s="63"/>
      <c r="E17" s="63"/>
      <c r="F17" s="245" t="s">
        <v>163</v>
      </c>
      <c r="G17" s="254" t="s">
        <v>188</v>
      </c>
      <c r="I17" s="58"/>
      <c r="R17" s="216" t="s">
        <v>163</v>
      </c>
      <c r="W17" s="216" t="s">
        <v>164</v>
      </c>
      <c r="AA17"/>
      <c r="AB17"/>
      <c r="AC17"/>
      <c r="AH17"/>
      <c r="AI17"/>
      <c r="AJ17"/>
      <c r="AK17"/>
      <c r="AL17"/>
      <c r="AM17"/>
      <c r="AN17"/>
    </row>
    <row r="18" spans="1:40" ht="15" customHeight="1" x14ac:dyDescent="0.25">
      <c r="A18" s="58"/>
      <c r="B18" s="77" t="s">
        <v>15</v>
      </c>
      <c r="C18" s="78"/>
      <c r="D18" s="79"/>
      <c r="E18" s="73"/>
      <c r="F18" s="238"/>
      <c r="G18" s="237" t="s">
        <v>176</v>
      </c>
      <c r="H18" s="74" t="s">
        <v>95</v>
      </c>
      <c r="I18" s="162"/>
      <c r="J18" s="73"/>
      <c r="R18" s="238"/>
      <c r="S18" s="73"/>
      <c r="T18" s="73"/>
      <c r="U18" s="242" t="s">
        <v>182</v>
      </c>
      <c r="W18" s="238"/>
      <c r="X18" s="73"/>
      <c r="Y18" s="73"/>
      <c r="Z18" s="242" t="s">
        <v>182</v>
      </c>
      <c r="AA18"/>
      <c r="AB18"/>
      <c r="AC18"/>
      <c r="AH18"/>
      <c r="AI18"/>
      <c r="AJ18"/>
      <c r="AK18"/>
      <c r="AL18"/>
      <c r="AM18"/>
      <c r="AN18"/>
    </row>
    <row r="19" spans="1:40" ht="15" customHeight="1" x14ac:dyDescent="0.25">
      <c r="A19" s="58"/>
      <c r="B19" s="86" t="s">
        <v>61</v>
      </c>
      <c r="C19" s="87" t="s">
        <v>19</v>
      </c>
      <c r="D19" s="88">
        <v>0.9</v>
      </c>
      <c r="E19" s="81" t="s">
        <v>2</v>
      </c>
      <c r="F19" s="82" t="s">
        <v>178</v>
      </c>
      <c r="G19" s="253">
        <v>0.56999999999999995</v>
      </c>
      <c r="H19" s="83">
        <v>2</v>
      </c>
      <c r="I19" s="82" t="s">
        <v>26</v>
      </c>
      <c r="J19" s="82" t="s">
        <v>58</v>
      </c>
      <c r="N19"/>
      <c r="P19"/>
      <c r="Q19"/>
      <c r="R19" s="82" t="s">
        <v>178</v>
      </c>
      <c r="S19" s="244" t="s">
        <v>171</v>
      </c>
      <c r="T19" s="244" t="s">
        <v>172</v>
      </c>
      <c r="U19" s="2" t="s">
        <v>181</v>
      </c>
      <c r="W19" s="82" t="s">
        <v>178</v>
      </c>
      <c r="X19" s="244" t="s">
        <v>171</v>
      </c>
      <c r="Y19" s="244" t="s">
        <v>172</v>
      </c>
      <c r="Z19" s="2" t="s">
        <v>181</v>
      </c>
      <c r="AA19"/>
      <c r="AB19"/>
      <c r="AC19"/>
      <c r="AH19"/>
      <c r="AI19"/>
      <c r="AJ19"/>
      <c r="AK19"/>
      <c r="AL19"/>
      <c r="AM19"/>
      <c r="AN19"/>
    </row>
    <row r="20" spans="1:40" ht="15" customHeight="1" x14ac:dyDescent="0.25">
      <c r="A20" s="58"/>
      <c r="B20" s="86" t="s">
        <v>62</v>
      </c>
      <c r="C20" s="87" t="s">
        <v>20</v>
      </c>
      <c r="D20" s="96">
        <v>0.96</v>
      </c>
      <c r="E20" s="89">
        <v>1</v>
      </c>
      <c r="F20" s="91">
        <f>IF($F$17="aver a x 1.0",R20,W20)</f>
        <v>2.9160956938633196</v>
      </c>
      <c r="G20" s="91">
        <f>((F20-2)*$G$19)+2</f>
        <v>2.5221745455020921</v>
      </c>
      <c r="H20" s="91">
        <f>G20-H$19</f>
        <v>0.52217454550209208</v>
      </c>
      <c r="I20" s="92">
        <f t="shared" ref="I20:I31" si="0">(H20/E20)</f>
        <v>0.52217454550209208</v>
      </c>
      <c r="J20" s="93">
        <f>SQRT(12*32.2*I20^2/(4*$D$21*($D$20*56)*$D$19^2))</f>
        <v>8.4357297541248794E-2</v>
      </c>
      <c r="N20"/>
      <c r="P20"/>
      <c r="Q20"/>
      <c r="R20" s="90">
        <v>2.9160956938633196</v>
      </c>
      <c r="S20" s="240">
        <v>0.79476708507670857</v>
      </c>
      <c r="T20" s="240">
        <v>0.12132860878661088</v>
      </c>
      <c r="U20" s="243">
        <f>SUM(S20:T20)+2</f>
        <v>2.9160956938633196</v>
      </c>
      <c r="W20" s="90">
        <v>2.9122538354253837</v>
      </c>
      <c r="X20" s="240">
        <v>0.88252161785216199</v>
      </c>
      <c r="Y20" s="240">
        <v>2.9732217573221725E-2</v>
      </c>
      <c r="Z20" s="243">
        <f>SUM(X20:Y20)+2</f>
        <v>2.9122538354253837</v>
      </c>
      <c r="AA20"/>
      <c r="AB20"/>
      <c r="AC20"/>
      <c r="AH20"/>
      <c r="AI20"/>
      <c r="AJ20"/>
      <c r="AK20"/>
      <c r="AL20"/>
      <c r="AM20"/>
      <c r="AN20"/>
    </row>
    <row r="21" spans="1:40" ht="15" customHeight="1" x14ac:dyDescent="0.25">
      <c r="A21" s="58"/>
      <c r="B21" s="102" t="s">
        <v>59</v>
      </c>
      <c r="C21" s="103" t="s">
        <v>28</v>
      </c>
      <c r="D21" s="104">
        <v>85</v>
      </c>
      <c r="E21" s="97">
        <v>2</v>
      </c>
      <c r="F21" s="99">
        <f t="shared" ref="F21:F31" si="1">IF($F$17="aver a x 1.0",R21,W21)</f>
        <v>3.6693729602510459</v>
      </c>
      <c r="G21" s="99">
        <f t="shared" ref="G21:G31" si="2">((F21-2)*$G$19)+2</f>
        <v>2.9515425873430958</v>
      </c>
      <c r="H21" s="99">
        <f t="shared" ref="H21:H31" si="3">G21-H$19</f>
        <v>0.95154258734309582</v>
      </c>
      <c r="I21" s="100">
        <f t="shared" si="0"/>
        <v>0.47577129367154791</v>
      </c>
      <c r="J21" s="101">
        <f t="shared" ref="J21:J31" si="4">SQRT(12*32.2*I21^2/(4*$D$21*($D$20*56)*$D$19^2))</f>
        <v>7.6860852233316734E-2</v>
      </c>
      <c r="N21"/>
      <c r="P21"/>
      <c r="Q21"/>
      <c r="R21" s="98">
        <v>3.6693729602510459</v>
      </c>
      <c r="S21" s="7">
        <v>1.4804686192468617</v>
      </c>
      <c r="T21" s="7">
        <v>0.18890434100418407</v>
      </c>
      <c r="U21" s="243">
        <f t="shared" ref="U21:U31" si="5">SUM(S21:T21)+2</f>
        <v>3.6693729602510459</v>
      </c>
      <c r="W21" s="98">
        <v>4.1269623430962339</v>
      </c>
      <c r="X21" s="7">
        <v>1.9588786610878657</v>
      </c>
      <c r="Y21" s="7">
        <v>0.16808368200836812</v>
      </c>
      <c r="Z21" s="243">
        <f t="shared" ref="Z21:Z31" si="6">SUM(X21:Y21)+2</f>
        <v>4.1269623430962339</v>
      </c>
      <c r="AA21"/>
      <c r="AB21"/>
      <c r="AC21"/>
      <c r="AH21"/>
      <c r="AI21"/>
      <c r="AJ21"/>
      <c r="AK21"/>
      <c r="AL21"/>
      <c r="AM21"/>
      <c r="AN21"/>
    </row>
    <row r="22" spans="1:40" ht="15" customHeight="1" x14ac:dyDescent="0.25">
      <c r="A22" s="58"/>
      <c r="E22" s="105">
        <v>3</v>
      </c>
      <c r="F22" s="107">
        <f t="shared" si="1"/>
        <v>4.3910232217573215</v>
      </c>
      <c r="G22" s="107">
        <f t="shared" si="2"/>
        <v>3.3628832364016734</v>
      </c>
      <c r="H22" s="107">
        <f t="shared" si="3"/>
        <v>1.3628832364016734</v>
      </c>
      <c r="I22" s="108">
        <f t="shared" si="0"/>
        <v>0.45429441213389116</v>
      </c>
      <c r="J22" s="109">
        <f t="shared" si="4"/>
        <v>7.3391262032614382E-2</v>
      </c>
      <c r="N22"/>
      <c r="P22"/>
      <c r="Q22"/>
      <c r="R22" s="106">
        <v>4.3910232217573215</v>
      </c>
      <c r="S22" s="241">
        <v>2.1292803347280329</v>
      </c>
      <c r="T22" s="241">
        <v>0.26174288702928866</v>
      </c>
      <c r="U22" s="243">
        <f t="shared" si="5"/>
        <v>4.3910232217573215</v>
      </c>
      <c r="W22" s="106">
        <v>5.2407364016736393</v>
      </c>
      <c r="X22" s="241">
        <v>2.9281506276150622</v>
      </c>
      <c r="Y22" s="241">
        <v>0.31258577405857724</v>
      </c>
      <c r="Z22" s="243">
        <f t="shared" si="6"/>
        <v>5.2407364016736393</v>
      </c>
      <c r="AA22"/>
      <c r="AB22"/>
      <c r="AC22"/>
      <c r="AH22"/>
      <c r="AI22"/>
      <c r="AJ22"/>
      <c r="AK22"/>
      <c r="AL22"/>
      <c r="AM22"/>
      <c r="AN22"/>
    </row>
    <row r="23" spans="1:40" ht="15" customHeight="1" x14ac:dyDescent="0.25">
      <c r="A23" s="58"/>
      <c r="E23" s="97">
        <v>4</v>
      </c>
      <c r="F23" s="99">
        <f t="shared" si="1"/>
        <v>5.081046478382147</v>
      </c>
      <c r="G23" s="99">
        <f t="shared" si="2"/>
        <v>3.7561964926778235</v>
      </c>
      <c r="H23" s="99">
        <f t="shared" si="3"/>
        <v>1.7561964926778235</v>
      </c>
      <c r="I23" s="100">
        <f t="shared" si="0"/>
        <v>0.43904912316945588</v>
      </c>
      <c r="J23" s="101">
        <f t="shared" si="4"/>
        <v>7.0928385608719405E-2</v>
      </c>
      <c r="N23"/>
      <c r="P23"/>
      <c r="Q23"/>
      <c r="R23" s="98">
        <v>5.081046478382147</v>
      </c>
      <c r="S23" s="7">
        <v>2.7412022315202229</v>
      </c>
      <c r="T23" s="7">
        <v>0.33984424686192466</v>
      </c>
      <c r="U23" s="243">
        <f t="shared" si="5"/>
        <v>5.081046478382147</v>
      </c>
      <c r="W23" s="98">
        <v>6.2535760111576</v>
      </c>
      <c r="X23" s="7">
        <v>3.790337517433751</v>
      </c>
      <c r="Y23" s="7">
        <v>0.46323849372384918</v>
      </c>
      <c r="Z23" s="243">
        <f t="shared" si="6"/>
        <v>6.2535760111576</v>
      </c>
      <c r="AA23"/>
      <c r="AB23"/>
      <c r="AC23"/>
      <c r="AH23"/>
      <c r="AI23"/>
      <c r="AJ23"/>
      <c r="AK23"/>
      <c r="AL23"/>
      <c r="AM23"/>
      <c r="AN23"/>
    </row>
    <row r="24" spans="1:40" ht="15" customHeight="1" x14ac:dyDescent="0.25">
      <c r="A24" s="58"/>
      <c r="E24" s="97">
        <v>5</v>
      </c>
      <c r="F24" s="99">
        <f t="shared" si="1"/>
        <v>5.7394427301255231</v>
      </c>
      <c r="G24" s="99">
        <f t="shared" si="2"/>
        <v>4.1314823561715475</v>
      </c>
      <c r="H24" s="99">
        <f t="shared" si="3"/>
        <v>2.1314823561715475</v>
      </c>
      <c r="I24" s="100">
        <f t="shared" si="0"/>
        <v>0.42629647123430947</v>
      </c>
      <c r="J24" s="101">
        <f t="shared" si="4"/>
        <v>6.8868194695547405E-2</v>
      </c>
      <c r="N24"/>
      <c r="P24"/>
      <c r="Q24"/>
      <c r="R24" s="98">
        <v>5.7394427301255231</v>
      </c>
      <c r="S24" s="7">
        <v>3.3162343096234306</v>
      </c>
      <c r="T24" s="7">
        <v>0.42320842050209201</v>
      </c>
      <c r="U24" s="243">
        <f t="shared" si="5"/>
        <v>5.7394427301255231</v>
      </c>
      <c r="W24" s="98">
        <v>7.1654811715481159</v>
      </c>
      <c r="X24" s="7">
        <v>4.5454393305439318</v>
      </c>
      <c r="Y24" s="7">
        <v>0.62004184100418391</v>
      </c>
      <c r="Z24" s="243">
        <f t="shared" si="6"/>
        <v>7.1654811715481159</v>
      </c>
      <c r="AA24"/>
      <c r="AB24"/>
      <c r="AC24"/>
      <c r="AH24"/>
      <c r="AI24"/>
      <c r="AJ24"/>
      <c r="AK24"/>
      <c r="AL24"/>
      <c r="AM24"/>
      <c r="AN24"/>
    </row>
    <row r="25" spans="1:40" ht="15" customHeight="1" x14ac:dyDescent="0.25">
      <c r="A25" s="58"/>
      <c r="E25" s="105">
        <v>10</v>
      </c>
      <c r="F25" s="107">
        <f t="shared" si="1"/>
        <v>8.5570189156206418</v>
      </c>
      <c r="G25" s="107">
        <f t="shared" si="2"/>
        <v>5.7375007819037656</v>
      </c>
      <c r="H25" s="107">
        <f t="shared" si="3"/>
        <v>3.7375007819037656</v>
      </c>
      <c r="I25" s="108">
        <f t="shared" si="0"/>
        <v>0.37375007819037653</v>
      </c>
      <c r="J25" s="109">
        <f t="shared" si="4"/>
        <v>6.0379324927940743E-2</v>
      </c>
      <c r="N25"/>
      <c r="P25"/>
      <c r="Q25"/>
      <c r="R25" s="106">
        <v>8.5570189156206418</v>
      </c>
      <c r="S25" s="241">
        <v>5.6380474198047432</v>
      </c>
      <c r="T25" s="241">
        <v>0.91897149581589976</v>
      </c>
      <c r="U25" s="243">
        <f t="shared" si="5"/>
        <v>8.5570189156206418</v>
      </c>
      <c r="W25" s="106">
        <v>10.210990237099024</v>
      </c>
      <c r="X25" s="241">
        <v>6.7146722454672245</v>
      </c>
      <c r="Y25" s="241">
        <v>1.4963179916317997</v>
      </c>
      <c r="Z25" s="243">
        <f t="shared" si="6"/>
        <v>10.210990237099024</v>
      </c>
      <c r="AA25"/>
      <c r="AB25"/>
      <c r="AC25"/>
      <c r="AH25"/>
      <c r="AI25"/>
      <c r="AJ25"/>
      <c r="AK25"/>
      <c r="AL25"/>
      <c r="AM25"/>
      <c r="AN25"/>
    </row>
    <row r="26" spans="1:40" ht="15" customHeight="1" x14ac:dyDescent="0.25">
      <c r="A26" s="58"/>
      <c r="E26" s="97">
        <v>20</v>
      </c>
      <c r="F26" s="99">
        <f t="shared" si="1"/>
        <v>12.70754545454545</v>
      </c>
      <c r="G26" s="99">
        <f t="shared" si="2"/>
        <v>8.1033009090909047</v>
      </c>
      <c r="H26" s="99">
        <f t="shared" si="3"/>
        <v>6.1033009090909047</v>
      </c>
      <c r="I26" s="100">
        <f t="shared" si="0"/>
        <v>0.30516504545454526</v>
      </c>
      <c r="J26" s="101">
        <f t="shared" si="4"/>
        <v>4.9299412926849862E-2</v>
      </c>
      <c r="N26"/>
      <c r="P26"/>
      <c r="Q26"/>
      <c r="R26" s="98">
        <v>12.70754545454545</v>
      </c>
      <c r="S26" s="7">
        <v>8.5964242424242379</v>
      </c>
      <c r="T26" s="7">
        <v>2.1111212121212111</v>
      </c>
      <c r="U26" s="243">
        <f t="shared" si="5"/>
        <v>12.70754545454545</v>
      </c>
      <c r="W26" s="98">
        <v>15.026969696969696</v>
      </c>
      <c r="X26" s="7">
        <v>9.3812121212121191</v>
      </c>
      <c r="Y26" s="7">
        <v>3.6457575757575764</v>
      </c>
      <c r="Z26" s="243">
        <f t="shared" si="6"/>
        <v>15.026969696969696</v>
      </c>
      <c r="AA26"/>
      <c r="AB26"/>
      <c r="AC26"/>
      <c r="AH26"/>
      <c r="AI26"/>
      <c r="AJ26"/>
      <c r="AK26"/>
      <c r="AL26"/>
      <c r="AM26"/>
      <c r="AN26"/>
    </row>
    <row r="27" spans="1:40" ht="15" customHeight="1" x14ac:dyDescent="0.25">
      <c r="A27" s="58"/>
      <c r="E27" s="97">
        <v>30</v>
      </c>
      <c r="F27" s="99">
        <f t="shared" si="1"/>
        <v>17.041303030303027</v>
      </c>
      <c r="G27" s="99">
        <f t="shared" si="2"/>
        <v>10.573542727272725</v>
      </c>
      <c r="H27" s="99">
        <f t="shared" si="3"/>
        <v>8.5735427272727254</v>
      </c>
      <c r="I27" s="100">
        <f t="shared" si="0"/>
        <v>0.2857847575757575</v>
      </c>
      <c r="J27" s="101">
        <f t="shared" si="4"/>
        <v>4.6168527430595033E-2</v>
      </c>
      <c r="N27"/>
      <c r="P27"/>
      <c r="Q27"/>
      <c r="R27" s="98">
        <v>17.041303030303027</v>
      </c>
      <c r="S27" s="7">
        <v>10.406106060606058</v>
      </c>
      <c r="T27" s="7">
        <v>4.6351969696969677</v>
      </c>
      <c r="U27" s="243">
        <f t="shared" si="5"/>
        <v>17.041303030303027</v>
      </c>
      <c r="W27" s="98">
        <v>20.100909090909088</v>
      </c>
      <c r="X27" s="7">
        <v>11.266969696969696</v>
      </c>
      <c r="Y27" s="7">
        <v>6.8339393939393931</v>
      </c>
      <c r="Z27" s="243">
        <f t="shared" si="6"/>
        <v>20.100909090909088</v>
      </c>
      <c r="AA27"/>
      <c r="AB27"/>
      <c r="AC27"/>
      <c r="AH27"/>
      <c r="AI27"/>
      <c r="AJ27"/>
      <c r="AK27"/>
      <c r="AL27"/>
      <c r="AM27"/>
      <c r="AN27"/>
    </row>
    <row r="28" spans="1:40" ht="15" customHeight="1" x14ac:dyDescent="0.25">
      <c r="A28" s="58"/>
      <c r="E28" s="97">
        <v>40</v>
      </c>
      <c r="F28" s="99">
        <f t="shared" si="1"/>
        <v>21.78353463203463</v>
      </c>
      <c r="G28" s="99">
        <f t="shared" si="2"/>
        <v>13.276614740259738</v>
      </c>
      <c r="H28" s="99">
        <f t="shared" si="3"/>
        <v>11.276614740259738</v>
      </c>
      <c r="I28" s="100">
        <f t="shared" si="0"/>
        <v>0.28191536850649346</v>
      </c>
      <c r="J28" s="101">
        <f t="shared" si="4"/>
        <v>4.5543427628564455E-2</v>
      </c>
      <c r="N28"/>
      <c r="P28"/>
      <c r="Q28"/>
      <c r="R28" s="98">
        <v>21.78353463203463</v>
      </c>
      <c r="S28" s="7">
        <v>12.142854978354976</v>
      </c>
      <c r="T28" s="7">
        <v>7.6406796536796531</v>
      </c>
      <c r="U28" s="243">
        <f t="shared" si="5"/>
        <v>21.78353463203463</v>
      </c>
      <c r="W28" s="98">
        <v>25.152770562770556</v>
      </c>
      <c r="X28" s="7">
        <v>13.004891774891773</v>
      </c>
      <c r="Y28" s="7">
        <v>10.147878787878785</v>
      </c>
      <c r="Z28" s="243">
        <f t="shared" si="6"/>
        <v>25.152770562770556</v>
      </c>
      <c r="AA28"/>
      <c r="AB28"/>
      <c r="AC28"/>
      <c r="AH28"/>
      <c r="AI28"/>
      <c r="AJ28"/>
      <c r="AK28"/>
      <c r="AL28"/>
      <c r="AM28"/>
      <c r="AN28"/>
    </row>
    <row r="29" spans="1:40" ht="15" customHeight="1" x14ac:dyDescent="0.25">
      <c r="A29" s="58"/>
      <c r="E29" s="97">
        <v>50</v>
      </c>
      <c r="F29" s="99">
        <f t="shared" si="1"/>
        <v>26.934240259740257</v>
      </c>
      <c r="G29" s="99">
        <f t="shared" si="2"/>
        <v>16.212516948051945</v>
      </c>
      <c r="H29" s="99">
        <f t="shared" si="3"/>
        <v>14.212516948051945</v>
      </c>
      <c r="I29" s="100">
        <f t="shared" si="0"/>
        <v>0.28425033896103891</v>
      </c>
      <c r="J29" s="101">
        <f t="shared" si="4"/>
        <v>4.5920642104223586E-2</v>
      </c>
      <c r="N29"/>
      <c r="P29"/>
      <c r="Q29"/>
      <c r="R29" s="98">
        <v>26.934240259740257</v>
      </c>
      <c r="S29" s="7">
        <v>13.806670995670993</v>
      </c>
      <c r="T29" s="7">
        <v>11.127569264069264</v>
      </c>
      <c r="U29" s="243">
        <f t="shared" si="5"/>
        <v>26.934240259740257</v>
      </c>
      <c r="W29" s="98">
        <v>30.182554112554108</v>
      </c>
      <c r="X29" s="7">
        <v>14.594978354978354</v>
      </c>
      <c r="Y29" s="7">
        <v>13.587575757575756</v>
      </c>
      <c r="Z29" s="243">
        <f t="shared" si="6"/>
        <v>30.182554112554108</v>
      </c>
      <c r="AA29"/>
      <c r="AB29"/>
      <c r="AC29"/>
      <c r="AH29"/>
      <c r="AI29"/>
      <c r="AJ29"/>
      <c r="AK29"/>
      <c r="AL29"/>
      <c r="AM29"/>
      <c r="AN29"/>
    </row>
    <row r="30" spans="1:40" ht="15" customHeight="1" x14ac:dyDescent="0.25">
      <c r="A30" s="58"/>
      <c r="E30" s="97">
        <v>60</v>
      </c>
      <c r="F30" s="99">
        <f t="shared" si="1"/>
        <v>32.493419913419906</v>
      </c>
      <c r="G30" s="99">
        <f t="shared" si="2"/>
        <v>19.381249350649345</v>
      </c>
      <c r="H30" s="99">
        <f t="shared" si="3"/>
        <v>17.381249350649345</v>
      </c>
      <c r="I30" s="100">
        <f t="shared" si="0"/>
        <v>0.2896874891774891</v>
      </c>
      <c r="J30" s="101">
        <f t="shared" si="4"/>
        <v>4.6799013718727564E-2</v>
      </c>
      <c r="N30"/>
      <c r="P30"/>
      <c r="Q30"/>
      <c r="R30" s="98">
        <v>32.493419913419906</v>
      </c>
      <c r="S30" s="7">
        <v>15.39755411255411</v>
      </c>
      <c r="T30" s="7">
        <v>15.095865800865798</v>
      </c>
      <c r="U30" s="243">
        <f t="shared" si="5"/>
        <v>32.493419913419906</v>
      </c>
      <c r="W30" s="98">
        <v>35.190259740259741</v>
      </c>
      <c r="X30" s="7">
        <v>16.037229437229438</v>
      </c>
      <c r="Y30" s="7">
        <v>17.153030303030302</v>
      </c>
      <c r="Z30" s="243">
        <f t="shared" si="6"/>
        <v>35.190259740259741</v>
      </c>
      <c r="AA30"/>
      <c r="AB30"/>
      <c r="AC30"/>
      <c r="AH30"/>
      <c r="AI30"/>
      <c r="AJ30"/>
      <c r="AK30"/>
      <c r="AL30"/>
      <c r="AM30"/>
      <c r="AN30"/>
    </row>
    <row r="31" spans="1:40" ht="15" customHeight="1" x14ac:dyDescent="0.25">
      <c r="A31" s="58"/>
      <c r="B31"/>
      <c r="C31"/>
      <c r="E31" s="105">
        <v>70</v>
      </c>
      <c r="F31" s="107">
        <f t="shared" si="1"/>
        <v>38.461073593073593</v>
      </c>
      <c r="G31" s="107">
        <f t="shared" si="2"/>
        <v>22.782811948051947</v>
      </c>
      <c r="H31" s="107">
        <f t="shared" si="3"/>
        <v>20.782811948051947</v>
      </c>
      <c r="I31" s="108">
        <f t="shared" si="0"/>
        <v>0.29689731354359922</v>
      </c>
      <c r="J31" s="109">
        <f t="shared" si="4"/>
        <v>4.79637608411429E-2</v>
      </c>
      <c r="N31"/>
      <c r="P31"/>
      <c r="Q31"/>
      <c r="R31" s="106">
        <v>38.461073593073593</v>
      </c>
      <c r="S31" s="241">
        <v>16.915504329004325</v>
      </c>
      <c r="T31" s="241">
        <v>19.545569264069265</v>
      </c>
      <c r="U31" s="243">
        <f t="shared" si="5"/>
        <v>38.461073593073593</v>
      </c>
      <c r="W31" s="106">
        <v>40.175887445887447</v>
      </c>
      <c r="X31" s="241">
        <v>17.331645021645024</v>
      </c>
      <c r="Y31" s="241">
        <v>20.844242424242424</v>
      </c>
      <c r="Z31" s="243">
        <f t="shared" si="6"/>
        <v>40.175887445887447</v>
      </c>
      <c r="AA31"/>
      <c r="AB31"/>
      <c r="AC31"/>
      <c r="AH31"/>
      <c r="AI31"/>
      <c r="AJ31"/>
      <c r="AK31"/>
      <c r="AL31"/>
      <c r="AM31"/>
      <c r="AN31"/>
    </row>
    <row r="32" spans="1:40" ht="15" customHeight="1" x14ac:dyDescent="0.25">
      <c r="A32" s="58"/>
      <c r="B32"/>
      <c r="C32"/>
      <c r="E32" s="97"/>
      <c r="F32" s="98"/>
      <c r="G32" s="99"/>
      <c r="H32" s="99"/>
      <c r="I32" s="100"/>
      <c r="J32" s="101"/>
      <c r="N32"/>
      <c r="P32"/>
      <c r="Q32"/>
      <c r="R32" s="98"/>
      <c r="T32"/>
      <c r="U32"/>
      <c r="W32" s="98"/>
      <c r="Z32"/>
      <c r="AA32"/>
      <c r="AB32"/>
      <c r="AC32"/>
      <c r="AH32"/>
      <c r="AI32"/>
      <c r="AJ32"/>
      <c r="AK32"/>
      <c r="AL32"/>
      <c r="AM32"/>
      <c r="AN32"/>
    </row>
    <row r="33" spans="1:40" ht="15" customHeight="1" x14ac:dyDescent="0.25">
      <c r="A33" s="58"/>
      <c r="B33"/>
      <c r="C33"/>
      <c r="E33" s="97"/>
      <c r="F33" s="98"/>
      <c r="G33" s="99"/>
      <c r="H33" s="99"/>
      <c r="I33" s="100"/>
      <c r="J33" s="101"/>
      <c r="N33"/>
      <c r="P33"/>
      <c r="Q33"/>
      <c r="R33" s="98"/>
      <c r="S33" s="98"/>
      <c r="T33"/>
      <c r="U33"/>
      <c r="Z33"/>
      <c r="AA33"/>
      <c r="AB33"/>
      <c r="AC33"/>
      <c r="AH33"/>
      <c r="AI33"/>
      <c r="AJ33"/>
      <c r="AK33"/>
      <c r="AL33"/>
      <c r="AM33"/>
      <c r="AN33"/>
    </row>
    <row r="34" spans="1:40" ht="15" customHeight="1" x14ac:dyDescent="0.25">
      <c r="A34" s="58"/>
      <c r="B34" s="62" t="s">
        <v>179</v>
      </c>
      <c r="C34" s="63"/>
      <c r="D34" s="63"/>
      <c r="E34" s="64"/>
      <c r="F34" s="247" t="str">
        <f>$F17</f>
        <v>aver a x 1.0</v>
      </c>
      <c r="I34" s="58"/>
      <c r="K34" s="62" t="s">
        <v>180</v>
      </c>
      <c r="L34" s="63"/>
      <c r="M34" s="63"/>
      <c r="N34" s="64"/>
      <c r="O34" s="247" t="str">
        <f>$F17</f>
        <v>aver a x 1.0</v>
      </c>
      <c r="R34" s="58"/>
      <c r="U34"/>
      <c r="Z34"/>
      <c r="AA34"/>
      <c r="AB34"/>
      <c r="AC34"/>
      <c r="AH34"/>
      <c r="AI34"/>
      <c r="AJ34"/>
      <c r="AK34"/>
      <c r="AL34"/>
      <c r="AM34"/>
      <c r="AN34"/>
    </row>
    <row r="35" spans="1:40" ht="15" customHeight="1" x14ac:dyDescent="0.25">
      <c r="A35" s="58"/>
      <c r="B35" s="77" t="s">
        <v>15</v>
      </c>
      <c r="C35" s="78"/>
      <c r="D35" s="79"/>
      <c r="E35" s="73"/>
      <c r="F35" s="238"/>
      <c r="G35" s="237" t="s">
        <v>176</v>
      </c>
      <c r="H35" s="74"/>
      <c r="I35" s="255" t="s">
        <v>87</v>
      </c>
      <c r="J35" s="255" t="s">
        <v>87</v>
      </c>
      <c r="K35" s="77" t="s">
        <v>15</v>
      </c>
      <c r="L35" s="78"/>
      <c r="M35" s="79"/>
      <c r="N35" s="73"/>
      <c r="O35" s="238"/>
      <c r="P35" s="237" t="s">
        <v>176</v>
      </c>
      <c r="Q35" s="74"/>
      <c r="R35" s="256" t="s">
        <v>189</v>
      </c>
      <c r="S35" s="256" t="s">
        <v>189</v>
      </c>
      <c r="U35"/>
      <c r="Z35"/>
      <c r="AA35"/>
      <c r="AB35"/>
      <c r="AC35"/>
      <c r="AH35"/>
      <c r="AI35"/>
      <c r="AJ35"/>
      <c r="AK35"/>
      <c r="AL35"/>
      <c r="AM35"/>
      <c r="AN35"/>
    </row>
    <row r="36" spans="1:40" ht="15" customHeight="1" x14ac:dyDescent="0.25">
      <c r="A36" s="58"/>
      <c r="B36" s="86" t="s">
        <v>61</v>
      </c>
      <c r="C36" s="87" t="s">
        <v>19</v>
      </c>
      <c r="D36" s="88">
        <f>$D$19</f>
        <v>0.9</v>
      </c>
      <c r="E36" s="81" t="s">
        <v>2</v>
      </c>
      <c r="F36" s="246" t="s">
        <v>171</v>
      </c>
      <c r="G36" s="239">
        <f>$G19</f>
        <v>0.56999999999999995</v>
      </c>
      <c r="H36" s="239"/>
      <c r="I36" s="82" t="s">
        <v>26</v>
      </c>
      <c r="J36" s="82" t="s">
        <v>58</v>
      </c>
      <c r="K36" s="86" t="s">
        <v>61</v>
      </c>
      <c r="L36" s="87" t="s">
        <v>19</v>
      </c>
      <c r="M36" s="88">
        <f>$D$19</f>
        <v>0.9</v>
      </c>
      <c r="N36" s="81" t="s">
        <v>2</v>
      </c>
      <c r="O36" s="246" t="s">
        <v>172</v>
      </c>
      <c r="P36" s="239">
        <f>$G19</f>
        <v>0.56999999999999995</v>
      </c>
      <c r="Q36" s="239"/>
      <c r="R36" s="82" t="s">
        <v>26</v>
      </c>
      <c r="S36" s="82" t="s">
        <v>58</v>
      </c>
      <c r="U36"/>
      <c r="Z36"/>
      <c r="AA36"/>
      <c r="AB36"/>
      <c r="AC36"/>
      <c r="AH36"/>
      <c r="AI36"/>
      <c r="AJ36"/>
      <c r="AK36"/>
      <c r="AL36"/>
      <c r="AM36"/>
      <c r="AN36"/>
    </row>
    <row r="37" spans="1:40" ht="15" customHeight="1" x14ac:dyDescent="0.25">
      <c r="A37" s="58"/>
      <c r="B37" s="86" t="s">
        <v>62</v>
      </c>
      <c r="C37" s="87" t="s">
        <v>20</v>
      </c>
      <c r="D37" s="88">
        <f>$D$20</f>
        <v>0.96</v>
      </c>
      <c r="E37" s="89">
        <v>1</v>
      </c>
      <c r="F37" s="91">
        <f>IF($F$17="aver a x 1.0",S20,X20)</f>
        <v>0.79476708507670857</v>
      </c>
      <c r="G37" s="91">
        <f>(F37*$G$19)</f>
        <v>0.45301723849372383</v>
      </c>
      <c r="H37" s="91"/>
      <c r="I37" s="92">
        <f>(G37/E37)</f>
        <v>0.45301723849372383</v>
      </c>
      <c r="J37" s="93">
        <f t="shared" ref="J37:J48" si="7">SQRT(12*32.2*I37^2/(4*$D$21*($D$20*56)*$D$19^2))</f>
        <v>7.3184934631741486E-2</v>
      </c>
      <c r="K37" s="86" t="s">
        <v>62</v>
      </c>
      <c r="L37" s="87" t="s">
        <v>20</v>
      </c>
      <c r="M37" s="88">
        <f>$D$20</f>
        <v>0.96</v>
      </c>
      <c r="N37" s="89">
        <v>1</v>
      </c>
      <c r="O37" s="91">
        <f>IF($F$17="aver a x 1.0",T20,Y20)</f>
        <v>0.12132860878661088</v>
      </c>
      <c r="P37" s="91">
        <f>(O37*$G$19)</f>
        <v>6.9157307008368196E-2</v>
      </c>
      <c r="Q37" s="91"/>
      <c r="R37" s="92">
        <f>(P37/N37)</f>
        <v>6.9157307008368196E-2</v>
      </c>
      <c r="S37" s="93">
        <f t="shared" ref="S37:S48" si="8">SQRT(12*32.2*R37^2/(4*$D$21*($D$20*56)*$D$19^2))</f>
        <v>1.1172362909507303E-2</v>
      </c>
      <c r="U37"/>
      <c r="Z37"/>
      <c r="AA37"/>
      <c r="AB37"/>
      <c r="AC37"/>
      <c r="AH37"/>
      <c r="AI37"/>
      <c r="AJ37"/>
      <c r="AK37"/>
      <c r="AL37"/>
      <c r="AM37"/>
      <c r="AN37"/>
    </row>
    <row r="38" spans="1:40" ht="15" customHeight="1" x14ac:dyDescent="0.25">
      <c r="A38" s="58"/>
      <c r="B38" s="102" t="s">
        <v>59</v>
      </c>
      <c r="C38" s="103" t="s">
        <v>28</v>
      </c>
      <c r="D38" s="104">
        <f>$D$21</f>
        <v>85</v>
      </c>
      <c r="E38" s="97">
        <v>2</v>
      </c>
      <c r="F38" s="99">
        <f t="shared" ref="F38:F48" si="9">IF($F$17="aver a x 1.0",S21,X21)</f>
        <v>1.4804686192468617</v>
      </c>
      <c r="G38" s="99">
        <f t="shared" ref="G38:G48" si="10">(F38*$G$19)</f>
        <v>0.84386711297071104</v>
      </c>
      <c r="H38" s="99"/>
      <c r="I38" s="100">
        <f t="shared" ref="I38:I48" si="11">(G38/E38)</f>
        <v>0.42193355648535552</v>
      </c>
      <c r="J38" s="101">
        <f t="shared" si="7"/>
        <v>6.8163365820231914E-2</v>
      </c>
      <c r="K38" s="102" t="s">
        <v>59</v>
      </c>
      <c r="L38" s="103" t="s">
        <v>28</v>
      </c>
      <c r="M38" s="104">
        <f>$D$21</f>
        <v>85</v>
      </c>
      <c r="N38" s="97">
        <v>2</v>
      </c>
      <c r="O38" s="99">
        <f t="shared" ref="O38:O48" si="12">IF($F$17="aver a x 1.0",T21,Y21)</f>
        <v>0.18890434100418407</v>
      </c>
      <c r="P38" s="99">
        <f t="shared" ref="P38:P48" si="13">(O38*$G$19)</f>
        <v>0.10767547437238491</v>
      </c>
      <c r="Q38" s="99"/>
      <c r="R38" s="100">
        <f t="shared" ref="R38:R48" si="14">(P38/N38)</f>
        <v>5.3837737186192454E-2</v>
      </c>
      <c r="S38" s="101">
        <f t="shared" si="8"/>
        <v>8.6974864130848293E-3</v>
      </c>
      <c r="U38"/>
      <c r="Z38"/>
      <c r="AA38"/>
      <c r="AB38"/>
      <c r="AC38"/>
      <c r="AH38"/>
      <c r="AI38"/>
      <c r="AJ38"/>
      <c r="AK38"/>
      <c r="AL38"/>
      <c r="AM38"/>
      <c r="AN38"/>
    </row>
    <row r="39" spans="1:40" ht="15" customHeight="1" x14ac:dyDescent="0.25">
      <c r="A39" s="58"/>
      <c r="E39" s="105">
        <v>3</v>
      </c>
      <c r="F39" s="107">
        <f t="shared" si="9"/>
        <v>2.1292803347280329</v>
      </c>
      <c r="G39" s="107">
        <f t="shared" si="10"/>
        <v>1.2136897907949786</v>
      </c>
      <c r="H39" s="107"/>
      <c r="I39" s="108">
        <f t="shared" si="11"/>
        <v>0.40456326359832623</v>
      </c>
      <c r="J39" s="109">
        <f t="shared" si="7"/>
        <v>6.5357195013800107E-2</v>
      </c>
      <c r="N39" s="105">
        <v>3</v>
      </c>
      <c r="O39" s="107">
        <f t="shared" si="12"/>
        <v>0.26174288702928866</v>
      </c>
      <c r="P39" s="107">
        <f t="shared" si="13"/>
        <v>0.14919344560669454</v>
      </c>
      <c r="Q39" s="107"/>
      <c r="R39" s="108">
        <f t="shared" si="14"/>
        <v>4.9731148535564845E-2</v>
      </c>
      <c r="S39" s="109">
        <f t="shared" si="8"/>
        <v>8.0340670188142581E-3</v>
      </c>
      <c r="U39"/>
      <c r="Z39"/>
      <c r="AA39"/>
      <c r="AB39"/>
      <c r="AC39"/>
      <c r="AH39"/>
      <c r="AI39"/>
      <c r="AJ39"/>
      <c r="AK39"/>
      <c r="AL39"/>
      <c r="AM39"/>
      <c r="AN39"/>
    </row>
    <row r="40" spans="1:40" ht="15" customHeight="1" x14ac:dyDescent="0.25">
      <c r="A40" s="58"/>
      <c r="E40" s="97">
        <v>4</v>
      </c>
      <c r="F40" s="99">
        <f t="shared" si="9"/>
        <v>2.7412022315202229</v>
      </c>
      <c r="G40" s="99">
        <f t="shared" si="10"/>
        <v>1.562485271966527</v>
      </c>
      <c r="H40" s="99"/>
      <c r="I40" s="100">
        <f t="shared" si="11"/>
        <v>0.39062131799163174</v>
      </c>
      <c r="J40" s="101">
        <f t="shared" si="7"/>
        <v>6.3104873708637751E-2</v>
      </c>
      <c r="N40" s="97">
        <v>4</v>
      </c>
      <c r="O40" s="99">
        <f t="shared" si="12"/>
        <v>0.33984424686192466</v>
      </c>
      <c r="P40" s="99">
        <f t="shared" si="13"/>
        <v>0.19371122071129704</v>
      </c>
      <c r="Q40" s="99"/>
      <c r="R40" s="100">
        <f t="shared" si="14"/>
        <v>4.842780517782426E-2</v>
      </c>
      <c r="S40" s="101">
        <f t="shared" si="8"/>
        <v>7.8235119000816603E-3</v>
      </c>
      <c r="U40"/>
      <c r="Z40"/>
      <c r="AA40"/>
      <c r="AB40"/>
      <c r="AC40"/>
      <c r="AH40"/>
      <c r="AI40"/>
      <c r="AJ40"/>
      <c r="AK40"/>
      <c r="AL40"/>
      <c r="AM40"/>
      <c r="AN40"/>
    </row>
    <row r="41" spans="1:40" ht="15" customHeight="1" x14ac:dyDescent="0.25">
      <c r="A41" s="58"/>
      <c r="E41" s="97">
        <v>5</v>
      </c>
      <c r="F41" s="99">
        <f t="shared" si="9"/>
        <v>3.3162343096234306</v>
      </c>
      <c r="G41" s="99">
        <f t="shared" si="10"/>
        <v>1.8902535564853553</v>
      </c>
      <c r="H41" s="99"/>
      <c r="I41" s="100">
        <f t="shared" si="11"/>
        <v>0.37805071129707107</v>
      </c>
      <c r="J41" s="101">
        <f t="shared" si="7"/>
        <v>6.107409220398316E-2</v>
      </c>
      <c r="N41" s="97">
        <v>5</v>
      </c>
      <c r="O41" s="99">
        <f t="shared" si="12"/>
        <v>0.42320842050209201</v>
      </c>
      <c r="P41" s="99">
        <f t="shared" si="13"/>
        <v>0.24122879968619243</v>
      </c>
      <c r="Q41" s="99"/>
      <c r="R41" s="100">
        <f t="shared" si="14"/>
        <v>4.8245759937238487E-2</v>
      </c>
      <c r="S41" s="101">
        <f t="shared" si="8"/>
        <v>7.7941024915642535E-3</v>
      </c>
      <c r="U41"/>
      <c r="Z41"/>
      <c r="AA41"/>
      <c r="AB41"/>
      <c r="AC41"/>
      <c r="AH41"/>
      <c r="AI41"/>
      <c r="AJ41"/>
      <c r="AK41"/>
      <c r="AL41"/>
      <c r="AM41"/>
      <c r="AN41"/>
    </row>
    <row r="42" spans="1:40" ht="15" customHeight="1" x14ac:dyDescent="0.25">
      <c r="A42" s="58"/>
      <c r="E42" s="105">
        <v>10</v>
      </c>
      <c r="F42" s="107">
        <f t="shared" si="9"/>
        <v>5.6380474198047432</v>
      </c>
      <c r="G42" s="107">
        <f t="shared" si="10"/>
        <v>3.2136870292887032</v>
      </c>
      <c r="H42" s="107"/>
      <c r="I42" s="108">
        <f t="shared" si="11"/>
        <v>0.32136870292887032</v>
      </c>
      <c r="J42" s="109">
        <f t="shared" si="7"/>
        <v>5.1917113782995176E-2</v>
      </c>
      <c r="N42" s="105">
        <v>10</v>
      </c>
      <c r="O42" s="107">
        <f t="shared" si="12"/>
        <v>0.91897149581589976</v>
      </c>
      <c r="P42" s="107">
        <f t="shared" si="13"/>
        <v>0.5238137526150628</v>
      </c>
      <c r="Q42" s="107"/>
      <c r="R42" s="108">
        <f t="shared" si="14"/>
        <v>5.2381375261506283E-2</v>
      </c>
      <c r="S42" s="109">
        <f t="shared" si="8"/>
        <v>8.4622111449455754E-3</v>
      </c>
      <c r="U42"/>
      <c r="Z42"/>
      <c r="AA42"/>
      <c r="AB42"/>
      <c r="AC42"/>
      <c r="AH42"/>
      <c r="AI42"/>
      <c r="AJ42"/>
      <c r="AK42"/>
      <c r="AL42"/>
      <c r="AM42"/>
      <c r="AN42"/>
    </row>
    <row r="43" spans="1:40" ht="15" customHeight="1" x14ac:dyDescent="0.25">
      <c r="A43" s="58"/>
      <c r="E43" s="97">
        <v>20</v>
      </c>
      <c r="F43" s="99">
        <f t="shared" si="9"/>
        <v>8.5964242424242379</v>
      </c>
      <c r="G43" s="99">
        <f t="shared" si="10"/>
        <v>4.899961818181815</v>
      </c>
      <c r="H43" s="99"/>
      <c r="I43" s="100">
        <f t="shared" si="11"/>
        <v>0.24499809090909075</v>
      </c>
      <c r="J43" s="101">
        <f t="shared" si="7"/>
        <v>3.957944145282602E-2</v>
      </c>
      <c r="N43" s="97">
        <v>20</v>
      </c>
      <c r="O43" s="99">
        <f t="shared" si="12"/>
        <v>2.1111212121212111</v>
      </c>
      <c r="P43" s="99">
        <f t="shared" si="13"/>
        <v>1.2033390909090902</v>
      </c>
      <c r="Q43" s="99"/>
      <c r="R43" s="100">
        <f t="shared" si="14"/>
        <v>6.016695454545451E-2</v>
      </c>
      <c r="S43" s="101">
        <f t="shared" si="8"/>
        <v>9.7199714740238384E-3</v>
      </c>
      <c r="U43"/>
      <c r="Z43"/>
      <c r="AA43"/>
      <c r="AB43"/>
      <c r="AC43"/>
      <c r="AH43"/>
      <c r="AI43"/>
      <c r="AJ43"/>
      <c r="AK43"/>
      <c r="AL43"/>
      <c r="AM43"/>
      <c r="AN43"/>
    </row>
    <row r="44" spans="1:40" ht="15" customHeight="1" x14ac:dyDescent="0.25">
      <c r="A44" s="58"/>
      <c r="E44" s="97">
        <v>30</v>
      </c>
      <c r="F44" s="99">
        <f t="shared" si="9"/>
        <v>10.406106060606058</v>
      </c>
      <c r="G44" s="99">
        <f t="shared" si="10"/>
        <v>5.9314804545454525</v>
      </c>
      <c r="H44" s="99"/>
      <c r="I44" s="100">
        <f t="shared" si="11"/>
        <v>0.19771601515151507</v>
      </c>
      <c r="J44" s="101">
        <f t="shared" si="7"/>
        <v>3.1941022139961035E-2</v>
      </c>
      <c r="N44" s="97">
        <v>30</v>
      </c>
      <c r="O44" s="99">
        <f t="shared" si="12"/>
        <v>4.6351969696969677</v>
      </c>
      <c r="P44" s="99">
        <f t="shared" si="13"/>
        <v>2.6420622727272716</v>
      </c>
      <c r="Q44" s="99"/>
      <c r="R44" s="100">
        <f t="shared" si="14"/>
        <v>8.8068742424242383E-2</v>
      </c>
      <c r="S44" s="101">
        <f t="shared" si="8"/>
        <v>1.4227505290633992E-2</v>
      </c>
      <c r="U44"/>
      <c r="Z44"/>
      <c r="AA44"/>
      <c r="AB44"/>
      <c r="AC44"/>
      <c r="AH44"/>
      <c r="AI44"/>
      <c r="AJ44"/>
      <c r="AK44"/>
      <c r="AL44"/>
      <c r="AM44"/>
      <c r="AN44"/>
    </row>
    <row r="45" spans="1:40" ht="15" customHeight="1" x14ac:dyDescent="0.25">
      <c r="A45" s="58"/>
      <c r="E45" s="97">
        <v>40</v>
      </c>
      <c r="F45" s="99">
        <f t="shared" si="9"/>
        <v>12.142854978354976</v>
      </c>
      <c r="G45" s="99">
        <f t="shared" si="10"/>
        <v>6.9214273376623359</v>
      </c>
      <c r="H45" s="99"/>
      <c r="I45" s="100">
        <f t="shared" si="11"/>
        <v>0.1730356834415584</v>
      </c>
      <c r="J45" s="101">
        <f t="shared" si="7"/>
        <v>2.7953914565669685E-2</v>
      </c>
      <c r="N45" s="97">
        <v>40</v>
      </c>
      <c r="O45" s="99">
        <f t="shared" si="12"/>
        <v>7.6406796536796531</v>
      </c>
      <c r="P45" s="99">
        <f t="shared" si="13"/>
        <v>4.3551874025974016</v>
      </c>
      <c r="Q45" s="99"/>
      <c r="R45" s="100">
        <f t="shared" si="14"/>
        <v>0.10887968506493503</v>
      </c>
      <c r="S45" s="101">
        <f t="shared" si="8"/>
        <v>1.7589513062894767E-2</v>
      </c>
      <c r="U45"/>
      <c r="Z45"/>
      <c r="AA45"/>
      <c r="AB45"/>
      <c r="AC45"/>
      <c r="AH45"/>
      <c r="AI45"/>
      <c r="AJ45"/>
      <c r="AK45"/>
      <c r="AL45"/>
      <c r="AM45"/>
      <c r="AN45"/>
    </row>
    <row r="46" spans="1:40" ht="15" customHeight="1" x14ac:dyDescent="0.25">
      <c r="A46" s="58"/>
      <c r="E46" s="97">
        <v>50</v>
      </c>
      <c r="F46" s="99">
        <f t="shared" si="9"/>
        <v>13.806670995670993</v>
      </c>
      <c r="G46" s="99">
        <f t="shared" si="10"/>
        <v>7.8698024675324652</v>
      </c>
      <c r="H46" s="99"/>
      <c r="I46" s="100">
        <f t="shared" si="11"/>
        <v>0.1573960493506493</v>
      </c>
      <c r="J46" s="101">
        <f t="shared" si="7"/>
        <v>2.5427331686807789E-2</v>
      </c>
      <c r="N46" s="97">
        <v>50</v>
      </c>
      <c r="O46" s="99">
        <f t="shared" si="12"/>
        <v>11.127569264069264</v>
      </c>
      <c r="P46" s="99">
        <f t="shared" si="13"/>
        <v>6.3427144805194793</v>
      </c>
      <c r="Q46" s="99"/>
      <c r="R46" s="100">
        <f t="shared" si="14"/>
        <v>0.12685428961038958</v>
      </c>
      <c r="S46" s="101">
        <f t="shared" si="8"/>
        <v>2.049331041741579E-2</v>
      </c>
      <c r="U46"/>
      <c r="Z46"/>
      <c r="AA46"/>
      <c r="AB46"/>
      <c r="AC46"/>
      <c r="AH46"/>
      <c r="AI46"/>
      <c r="AJ46"/>
      <c r="AK46"/>
      <c r="AL46"/>
      <c r="AM46"/>
      <c r="AN46"/>
    </row>
    <row r="47" spans="1:40" ht="15" customHeight="1" x14ac:dyDescent="0.25">
      <c r="A47" s="58"/>
      <c r="E47" s="97">
        <v>60</v>
      </c>
      <c r="F47" s="99">
        <f t="shared" si="9"/>
        <v>15.39755411255411</v>
      </c>
      <c r="G47" s="99">
        <f t="shared" si="10"/>
        <v>8.7766058441558421</v>
      </c>
      <c r="H47" s="99"/>
      <c r="I47" s="100">
        <f t="shared" si="11"/>
        <v>0.14627676406926404</v>
      </c>
      <c r="J47" s="101">
        <f t="shared" si="7"/>
        <v>2.3631011155660631E-2</v>
      </c>
      <c r="N47" s="97">
        <v>60</v>
      </c>
      <c r="O47" s="99">
        <f t="shared" si="12"/>
        <v>15.095865800865798</v>
      </c>
      <c r="P47" s="99">
        <f t="shared" si="13"/>
        <v>8.6046435064935043</v>
      </c>
      <c r="Q47" s="99"/>
      <c r="R47" s="100">
        <f t="shared" si="14"/>
        <v>0.14341072510822508</v>
      </c>
      <c r="S47" s="101">
        <f t="shared" si="8"/>
        <v>2.316800256306694E-2</v>
      </c>
      <c r="U47"/>
      <c r="Z47"/>
      <c r="AA47"/>
      <c r="AB47"/>
      <c r="AC47"/>
      <c r="AH47"/>
      <c r="AI47"/>
      <c r="AJ47"/>
      <c r="AK47"/>
      <c r="AL47"/>
      <c r="AM47"/>
      <c r="AN47"/>
    </row>
    <row r="48" spans="1:40" ht="15" customHeight="1" x14ac:dyDescent="0.25">
      <c r="A48" s="58"/>
      <c r="B48"/>
      <c r="C48"/>
      <c r="E48" s="105">
        <v>70</v>
      </c>
      <c r="F48" s="107">
        <f t="shared" si="9"/>
        <v>16.915504329004325</v>
      </c>
      <c r="G48" s="107">
        <f t="shared" si="10"/>
        <v>9.641837467532465</v>
      </c>
      <c r="H48" s="107"/>
      <c r="I48" s="108">
        <f t="shared" si="11"/>
        <v>0.13774053525046379</v>
      </c>
      <c r="J48" s="109">
        <f t="shared" si="7"/>
        <v>2.225198339463617E-2</v>
      </c>
      <c r="K48"/>
      <c r="L48"/>
      <c r="N48" s="105">
        <v>70</v>
      </c>
      <c r="O48" s="107">
        <f t="shared" si="12"/>
        <v>19.545569264069265</v>
      </c>
      <c r="P48" s="107">
        <f t="shared" si="13"/>
        <v>11.14097448051948</v>
      </c>
      <c r="Q48" s="107"/>
      <c r="R48" s="108">
        <f t="shared" si="14"/>
        <v>0.15915677829313543</v>
      </c>
      <c r="S48" s="109">
        <f t="shared" si="8"/>
        <v>2.5711777446506729E-2</v>
      </c>
      <c r="U48"/>
      <c r="Z48"/>
      <c r="AA48"/>
      <c r="AB48"/>
      <c r="AC48"/>
      <c r="AH48"/>
      <c r="AI48"/>
      <c r="AJ48"/>
      <c r="AK48"/>
      <c r="AL48"/>
      <c r="AM48"/>
      <c r="AN48"/>
    </row>
    <row r="49" spans="1:40" ht="15" customHeight="1" x14ac:dyDescent="0.25">
      <c r="A49" s="58"/>
      <c r="B49"/>
      <c r="C49"/>
      <c r="E49" s="248"/>
      <c r="F49" s="249"/>
      <c r="G49" s="249"/>
      <c r="H49" s="249"/>
      <c r="I49" s="250"/>
      <c r="J49" s="251"/>
      <c r="K49" s="252"/>
      <c r="L49" s="252"/>
      <c r="M49" s="73"/>
      <c r="N49" s="248"/>
      <c r="O49" s="249"/>
      <c r="P49" s="249"/>
      <c r="Q49" s="249"/>
      <c r="R49" s="250"/>
      <c r="S49" s="251"/>
      <c r="U49"/>
      <c r="Z49"/>
      <c r="AA49"/>
      <c r="AB49"/>
      <c r="AC49"/>
      <c r="AH49"/>
      <c r="AI49"/>
      <c r="AJ49"/>
      <c r="AK49"/>
      <c r="AL49"/>
      <c r="AM49"/>
      <c r="AN49"/>
    </row>
    <row r="50" spans="1:40" ht="15" customHeight="1" x14ac:dyDescent="0.25">
      <c r="A50" s="58"/>
      <c r="B50"/>
      <c r="C50"/>
      <c r="E50" s="97"/>
      <c r="F50" s="99"/>
      <c r="G50" s="99"/>
      <c r="H50" s="99"/>
      <c r="I50" s="100"/>
      <c r="J50" s="101"/>
      <c r="N50"/>
      <c r="P50"/>
      <c r="Q50"/>
      <c r="R50" s="98"/>
      <c r="S50" s="98"/>
      <c r="T50"/>
      <c r="U50"/>
      <c r="Z50"/>
      <c r="AA50"/>
      <c r="AB50"/>
      <c r="AC50"/>
      <c r="AH50"/>
      <c r="AI50"/>
      <c r="AJ50"/>
      <c r="AK50"/>
      <c r="AL50"/>
      <c r="AM50"/>
      <c r="AN50"/>
    </row>
    <row r="51" spans="1:40" ht="15" customHeight="1" x14ac:dyDescent="0.25">
      <c r="A51" s="58"/>
      <c r="B51" s="62" t="s">
        <v>184</v>
      </c>
      <c r="C51" s="63"/>
      <c r="D51" s="63"/>
      <c r="E51" s="64"/>
      <c r="M51" s="62" t="s">
        <v>165</v>
      </c>
      <c r="N51" s="63"/>
      <c r="O51" s="63"/>
      <c r="P51" s="64"/>
      <c r="R51" s="98"/>
      <c r="S51" s="98"/>
      <c r="Z51"/>
      <c r="AA51"/>
      <c r="AB51"/>
      <c r="AC51"/>
      <c r="AH51"/>
      <c r="AI51"/>
      <c r="AJ51"/>
      <c r="AK51"/>
      <c r="AL51"/>
      <c r="AM51"/>
      <c r="AN51"/>
    </row>
    <row r="52" spans="1:40" ht="15" customHeight="1" x14ac:dyDescent="0.25">
      <c r="G52" s="218" t="s">
        <v>166</v>
      </c>
      <c r="I52" s="218" t="s">
        <v>167</v>
      </c>
      <c r="M52" s="116" t="s">
        <v>152</v>
      </c>
      <c r="Z52"/>
      <c r="AA52"/>
      <c r="AB52"/>
      <c r="AC52"/>
      <c r="AD52"/>
      <c r="AE52"/>
      <c r="AF52"/>
    </row>
    <row r="53" spans="1:40" ht="15" customHeight="1" x14ac:dyDescent="0.25">
      <c r="B53" s="117"/>
      <c r="G53" s="58" t="s">
        <v>113</v>
      </c>
      <c r="I53" s="218" t="s">
        <v>168</v>
      </c>
      <c r="M53" s="218" t="s">
        <v>185</v>
      </c>
      <c r="Z53"/>
      <c r="AA53"/>
      <c r="AB53"/>
      <c r="AC53"/>
      <c r="AD53"/>
      <c r="AE53"/>
      <c r="AF53"/>
    </row>
    <row r="54" spans="1:40" ht="15" customHeight="1" x14ac:dyDescent="0.25">
      <c r="B54" s="77" t="s">
        <v>15</v>
      </c>
      <c r="C54" s="78"/>
      <c r="D54" s="79"/>
      <c r="E54" s="171"/>
      <c r="F54" s="172"/>
      <c r="G54" s="118" t="s">
        <v>166</v>
      </c>
      <c r="H54" s="119"/>
      <c r="I54" s="118" t="s">
        <v>167</v>
      </c>
      <c r="J54" s="120"/>
      <c r="K54" s="220" t="s">
        <v>97</v>
      </c>
      <c r="M54" s="121"/>
      <c r="N54" s="812" t="str">
        <f>F17</f>
        <v>aver a x 1.0</v>
      </c>
      <c r="O54" s="813"/>
      <c r="P54" s="121"/>
      <c r="Q54" s="812" t="str">
        <f>F17</f>
        <v>aver a x 1.0</v>
      </c>
      <c r="R54" s="813"/>
      <c r="S54" s="223"/>
      <c r="Z54"/>
      <c r="AA54"/>
      <c r="AB54"/>
      <c r="AC54"/>
      <c r="AD54"/>
      <c r="AE54"/>
      <c r="AF54"/>
    </row>
    <row r="55" spans="1:40" ht="15" customHeight="1" x14ac:dyDescent="0.25">
      <c r="B55" s="86" t="s">
        <v>61</v>
      </c>
      <c r="C55" s="87" t="s">
        <v>19</v>
      </c>
      <c r="D55" s="88">
        <f>$D$19</f>
        <v>0.9</v>
      </c>
      <c r="E55" s="173" t="s">
        <v>35</v>
      </c>
      <c r="F55" s="174" t="s">
        <v>58</v>
      </c>
      <c r="G55" s="125" t="s">
        <v>113</v>
      </c>
      <c r="H55" s="126"/>
      <c r="I55" s="127" t="s">
        <v>169</v>
      </c>
      <c r="J55" s="128"/>
      <c r="K55" s="221" t="s">
        <v>170</v>
      </c>
      <c r="M55" s="222" t="s">
        <v>173</v>
      </c>
      <c r="N55" s="224"/>
      <c r="O55" s="225"/>
      <c r="P55" s="222" t="s">
        <v>174</v>
      </c>
      <c r="Q55" s="224"/>
      <c r="R55" s="225"/>
      <c r="S55" s="232" t="s">
        <v>175</v>
      </c>
      <c r="Z55"/>
      <c r="AA55"/>
      <c r="AB55"/>
      <c r="AC55"/>
      <c r="AD55"/>
      <c r="AE55"/>
      <c r="AF55"/>
    </row>
    <row r="56" spans="1:40" ht="15" customHeight="1" x14ac:dyDescent="0.25">
      <c r="B56" s="86" t="s">
        <v>62</v>
      </c>
      <c r="C56" s="87" t="s">
        <v>20</v>
      </c>
      <c r="D56" s="88">
        <f>$D$20</f>
        <v>0.96</v>
      </c>
      <c r="E56" s="163"/>
      <c r="F56" s="164"/>
      <c r="G56" s="130" t="s">
        <v>24</v>
      </c>
      <c r="H56" s="175" t="s">
        <v>26</v>
      </c>
      <c r="I56" s="130" t="s">
        <v>30</v>
      </c>
      <c r="J56" s="134" t="s">
        <v>32</v>
      </c>
      <c r="K56" s="189" t="s">
        <v>98</v>
      </c>
      <c r="M56" s="132"/>
      <c r="N56" s="219" t="s">
        <v>26</v>
      </c>
      <c r="O56" s="134" t="s">
        <v>171</v>
      </c>
      <c r="P56" s="132"/>
      <c r="Q56" s="219" t="s">
        <v>26</v>
      </c>
      <c r="R56" s="175" t="s">
        <v>172</v>
      </c>
      <c r="S56" s="131" t="s">
        <v>98</v>
      </c>
      <c r="Z56"/>
      <c r="AA56"/>
      <c r="AB56"/>
      <c r="AC56"/>
      <c r="AD56"/>
      <c r="AE56"/>
      <c r="AF56"/>
    </row>
    <row r="57" spans="1:40" ht="15" customHeight="1" x14ac:dyDescent="0.25">
      <c r="B57" s="102" t="s">
        <v>59</v>
      </c>
      <c r="C57" s="103" t="s">
        <v>28</v>
      </c>
      <c r="D57" s="104">
        <f>$D$21</f>
        <v>85</v>
      </c>
      <c r="E57" s="165"/>
      <c r="F57" s="166"/>
      <c r="G57" s="135" t="s">
        <v>25</v>
      </c>
      <c r="H57" s="136" t="s">
        <v>27</v>
      </c>
      <c r="I57" s="135" t="s">
        <v>31</v>
      </c>
      <c r="J57" s="185" t="s">
        <v>33</v>
      </c>
      <c r="K57" s="88">
        <f>H19</f>
        <v>2</v>
      </c>
      <c r="M57" s="137"/>
      <c r="N57" s="135" t="s">
        <v>27</v>
      </c>
      <c r="O57" s="226"/>
      <c r="P57" s="137"/>
      <c r="Q57" s="135" t="s">
        <v>27</v>
      </c>
      <c r="R57" s="56"/>
      <c r="S57" s="184">
        <f>H19</f>
        <v>2</v>
      </c>
      <c r="Z57"/>
      <c r="AA57"/>
      <c r="AB57"/>
      <c r="AC57"/>
      <c r="AD57"/>
      <c r="AE57"/>
      <c r="AF57"/>
    </row>
    <row r="58" spans="1:40" ht="15" customHeight="1" x14ac:dyDescent="0.25">
      <c r="E58" s="143">
        <v>1</v>
      </c>
      <c r="F58" s="167">
        <f t="shared" ref="F58:F69" si="15">J20</f>
        <v>8.4357297541248794E-2</v>
      </c>
      <c r="G58" s="141">
        <f>D56*2.20462*25.4*12</f>
        <v>645.0894489599998</v>
      </c>
      <c r="H58" s="142">
        <f t="shared" ref="H58:H69" si="16">($F58*$D$55*SQRT(4*$D$57*$G$58/32.2)/12)</f>
        <v>0.5221621810084297</v>
      </c>
      <c r="I58" s="143">
        <v>1</v>
      </c>
      <c r="J58" s="145">
        <f t="shared" ref="J58:J69" si="17">I58*H58</f>
        <v>0.5221621810084297</v>
      </c>
      <c r="K58" s="145">
        <f t="shared" ref="K58:K69" si="18">J58+K$57</f>
        <v>2.5221621810084298</v>
      </c>
      <c r="M58" s="233">
        <f>J37</f>
        <v>7.3184934631741486E-2</v>
      </c>
      <c r="N58" s="227">
        <f t="shared" ref="N58:N69" si="19">($M58*$D$55*SQRT(4*$D$57*$G$58/32.2)/12)</f>
        <v>0.45300651156568311</v>
      </c>
      <c r="O58" s="145">
        <f t="shared" ref="O58:O69" si="20">$I58*N58</f>
        <v>0.45300651156568311</v>
      </c>
      <c r="P58" s="233">
        <f>S37</f>
        <v>1.1172362909507303E-2</v>
      </c>
      <c r="Q58" s="227">
        <f t="shared" ref="Q58:Q69" si="21">($P58*$D$55*SQRT(4*$D$57*$G$58/32.2)/12)</f>
        <v>6.9155669442746551E-2</v>
      </c>
      <c r="R58" s="91">
        <f t="shared" ref="R58:R69" si="22">$I58*Q58</f>
        <v>6.9155669442746551E-2</v>
      </c>
      <c r="S58" s="144">
        <f t="shared" ref="S58:S69" si="23">O58+R58+S$57</f>
        <v>2.5221621810084298</v>
      </c>
      <c r="Z58"/>
      <c r="AA58"/>
      <c r="AB58"/>
      <c r="AC58"/>
      <c r="AD58"/>
      <c r="AE58"/>
      <c r="AF58"/>
    </row>
    <row r="59" spans="1:40" ht="15" customHeight="1" x14ac:dyDescent="0.25">
      <c r="E59" s="147">
        <v>2</v>
      </c>
      <c r="F59" s="168">
        <f t="shared" si="15"/>
        <v>7.6860852233316734E-2</v>
      </c>
      <c r="G59" s="147"/>
      <c r="H59" s="148">
        <f t="shared" si="16"/>
        <v>0.47576002795360739</v>
      </c>
      <c r="I59" s="147">
        <v>2</v>
      </c>
      <c r="J59" s="150">
        <f t="shared" si="17"/>
        <v>0.95152005590721478</v>
      </c>
      <c r="K59" s="150">
        <f t="shared" si="18"/>
        <v>2.9515200559072148</v>
      </c>
      <c r="M59" s="234">
        <f t="shared" ref="M59:M69" si="24">J38</f>
        <v>6.8163365820231914E-2</v>
      </c>
      <c r="N59" s="228">
        <f t="shared" si="19"/>
        <v>0.42192356558321348</v>
      </c>
      <c r="O59" s="150">
        <f t="shared" si="20"/>
        <v>0.84384713116642696</v>
      </c>
      <c r="P59" s="234">
        <f t="shared" ref="P59:P69" si="25">S38</f>
        <v>8.6974864130848293E-3</v>
      </c>
      <c r="Q59" s="228">
        <f t="shared" si="21"/>
        <v>5.3836462370393856E-2</v>
      </c>
      <c r="R59" s="99">
        <f t="shared" si="22"/>
        <v>0.10767292474078771</v>
      </c>
      <c r="S59" s="149">
        <f t="shared" si="23"/>
        <v>2.9515200559072148</v>
      </c>
      <c r="Z59"/>
      <c r="AA59"/>
      <c r="AB59"/>
      <c r="AC59"/>
      <c r="AD59"/>
      <c r="AE59"/>
      <c r="AF59"/>
    </row>
    <row r="60" spans="1:40" ht="15" customHeight="1" x14ac:dyDescent="0.25">
      <c r="E60" s="152">
        <v>3</v>
      </c>
      <c r="F60" s="169">
        <f t="shared" si="15"/>
        <v>7.3391262032614382E-2</v>
      </c>
      <c r="G60" s="147"/>
      <c r="H60" s="153">
        <f t="shared" si="16"/>
        <v>0.4542836549638451</v>
      </c>
      <c r="I60" s="152">
        <v>3</v>
      </c>
      <c r="J60" s="155">
        <f t="shared" si="17"/>
        <v>1.3628509648915352</v>
      </c>
      <c r="K60" s="155">
        <f t="shared" si="18"/>
        <v>3.3628509648915355</v>
      </c>
      <c r="M60" s="235">
        <f t="shared" si="24"/>
        <v>6.5357195013800107E-2</v>
      </c>
      <c r="N60" s="229">
        <f t="shared" si="19"/>
        <v>0.40455368400477476</v>
      </c>
      <c r="O60" s="155">
        <f t="shared" si="20"/>
        <v>1.2136610520143243</v>
      </c>
      <c r="P60" s="235">
        <f t="shared" si="25"/>
        <v>8.0340670188142581E-3</v>
      </c>
      <c r="Q60" s="229">
        <f t="shared" si="21"/>
        <v>4.972997095907019E-2</v>
      </c>
      <c r="R60" s="107">
        <f t="shared" si="22"/>
        <v>0.14918991287721056</v>
      </c>
      <c r="S60" s="154">
        <f t="shared" si="23"/>
        <v>3.3628509648915346</v>
      </c>
      <c r="Z60"/>
      <c r="AA60"/>
      <c r="AB60"/>
      <c r="AC60"/>
      <c r="AD60"/>
      <c r="AE60"/>
      <c r="AF60"/>
    </row>
    <row r="61" spans="1:40" ht="15" customHeight="1" x14ac:dyDescent="0.25">
      <c r="E61" s="147">
        <v>4</v>
      </c>
      <c r="F61" s="168">
        <f t="shared" si="15"/>
        <v>7.0928385608719405E-2</v>
      </c>
      <c r="G61" s="147"/>
      <c r="H61" s="148">
        <f t="shared" si="16"/>
        <v>0.43903872699034752</v>
      </c>
      <c r="I61" s="147">
        <v>4</v>
      </c>
      <c r="J61" s="150">
        <f t="shared" si="17"/>
        <v>1.7561549079613901</v>
      </c>
      <c r="K61" s="150">
        <f t="shared" si="18"/>
        <v>3.7561549079613901</v>
      </c>
      <c r="M61" s="234">
        <f t="shared" si="24"/>
        <v>6.3104873708637751E-2</v>
      </c>
      <c r="N61" s="228">
        <f t="shared" si="19"/>
        <v>0.39061206852734376</v>
      </c>
      <c r="O61" s="150">
        <f t="shared" si="20"/>
        <v>1.562448274109375</v>
      </c>
      <c r="P61" s="234">
        <f t="shared" si="25"/>
        <v>7.8235119000816603E-3</v>
      </c>
      <c r="Q61" s="228">
        <f t="shared" si="21"/>
        <v>4.8426658463003779E-2</v>
      </c>
      <c r="R61" s="99">
        <f t="shared" si="22"/>
        <v>0.19370663385201511</v>
      </c>
      <c r="S61" s="149">
        <f t="shared" si="23"/>
        <v>3.7561549079613901</v>
      </c>
      <c r="Z61"/>
      <c r="AA61"/>
      <c r="AB61"/>
      <c r="AC61"/>
      <c r="AD61"/>
      <c r="AE61"/>
      <c r="AF61"/>
    </row>
    <row r="62" spans="1:40" ht="15" customHeight="1" x14ac:dyDescent="0.25">
      <c r="E62" s="147">
        <v>5</v>
      </c>
      <c r="F62" s="168">
        <f t="shared" si="15"/>
        <v>6.8868194695547405E-2</v>
      </c>
      <c r="G62" s="147"/>
      <c r="H62" s="148">
        <f t="shared" si="16"/>
        <v>0.42628637702335598</v>
      </c>
      <c r="I62" s="147">
        <v>5</v>
      </c>
      <c r="J62" s="150">
        <f t="shared" si="17"/>
        <v>2.1314318851167799</v>
      </c>
      <c r="K62" s="150">
        <f t="shared" si="18"/>
        <v>4.1314318851167799</v>
      </c>
      <c r="M62" s="234">
        <f t="shared" si="24"/>
        <v>6.107409220398316E-2</v>
      </c>
      <c r="N62" s="228">
        <f t="shared" si="19"/>
        <v>0.37804175949031577</v>
      </c>
      <c r="O62" s="150">
        <f t="shared" si="20"/>
        <v>1.8902087974515789</v>
      </c>
      <c r="P62" s="234">
        <f t="shared" si="25"/>
        <v>7.7941024915642535E-3</v>
      </c>
      <c r="Q62" s="228">
        <f t="shared" si="21"/>
        <v>4.8244617533040268E-2</v>
      </c>
      <c r="R62" s="99">
        <f t="shared" si="22"/>
        <v>0.24122308766520134</v>
      </c>
      <c r="S62" s="149">
        <f t="shared" si="23"/>
        <v>4.1314318851167808</v>
      </c>
      <c r="Z62"/>
      <c r="AA62"/>
      <c r="AB62"/>
      <c r="AC62"/>
      <c r="AD62"/>
      <c r="AE62"/>
      <c r="AF62"/>
    </row>
    <row r="63" spans="1:40" ht="15" customHeight="1" x14ac:dyDescent="0.25">
      <c r="E63" s="152">
        <v>10</v>
      </c>
      <c r="F63" s="169">
        <f t="shared" si="15"/>
        <v>6.0379324927940743E-2</v>
      </c>
      <c r="G63" s="147"/>
      <c r="H63" s="153">
        <f t="shared" si="16"/>
        <v>0.37374122821767508</v>
      </c>
      <c r="I63" s="152">
        <v>10</v>
      </c>
      <c r="J63" s="155">
        <f t="shared" si="17"/>
        <v>3.7374122821767508</v>
      </c>
      <c r="K63" s="155">
        <f t="shared" si="18"/>
        <v>5.7374122821767504</v>
      </c>
      <c r="M63" s="235">
        <f t="shared" si="24"/>
        <v>5.1917113782995176E-2</v>
      </c>
      <c r="N63" s="229">
        <f t="shared" si="19"/>
        <v>0.32136109328698931</v>
      </c>
      <c r="O63" s="155">
        <f t="shared" si="20"/>
        <v>3.213610932869893</v>
      </c>
      <c r="P63" s="235">
        <f t="shared" si="25"/>
        <v>8.4622111449455754E-3</v>
      </c>
      <c r="Q63" s="229">
        <f t="shared" si="21"/>
        <v>5.2380134930685808E-2</v>
      </c>
      <c r="R63" s="107">
        <f t="shared" si="22"/>
        <v>0.52380134930685807</v>
      </c>
      <c r="S63" s="154">
        <f t="shared" si="23"/>
        <v>5.7374122821767513</v>
      </c>
      <c r="Z63"/>
      <c r="AA63"/>
      <c r="AB63"/>
      <c r="AC63"/>
      <c r="AD63"/>
      <c r="AE63"/>
      <c r="AF63"/>
    </row>
    <row r="64" spans="1:40" ht="15" customHeight="1" x14ac:dyDescent="0.25">
      <c r="E64" s="147">
        <v>20</v>
      </c>
      <c r="F64" s="168">
        <f t="shared" si="15"/>
        <v>4.9299412926849862E-2</v>
      </c>
      <c r="G64" s="147"/>
      <c r="H64" s="148">
        <f t="shared" si="16"/>
        <v>0.30515781949666776</v>
      </c>
      <c r="I64" s="147">
        <v>20</v>
      </c>
      <c r="J64" s="150">
        <f t="shared" si="17"/>
        <v>6.1031563899333552</v>
      </c>
      <c r="K64" s="150">
        <f t="shared" si="18"/>
        <v>8.1031563899333552</v>
      </c>
      <c r="M64" s="234">
        <f t="shared" si="24"/>
        <v>3.957944145282602E-2</v>
      </c>
      <c r="N64" s="228">
        <f t="shared" si="19"/>
        <v>0.24499228963561151</v>
      </c>
      <c r="O64" s="150">
        <f t="shared" si="20"/>
        <v>4.8998457927122301</v>
      </c>
      <c r="P64" s="234">
        <f t="shared" si="25"/>
        <v>9.7199714740238384E-3</v>
      </c>
      <c r="Q64" s="228">
        <f t="shared" si="21"/>
        <v>6.0165529861056215E-2</v>
      </c>
      <c r="R64" s="99">
        <f t="shared" si="22"/>
        <v>1.2033105972211242</v>
      </c>
      <c r="S64" s="149">
        <f t="shared" si="23"/>
        <v>8.1031563899333534</v>
      </c>
      <c r="Z64"/>
      <c r="AA64"/>
      <c r="AB64"/>
      <c r="AC64"/>
      <c r="AD64"/>
      <c r="AE64"/>
      <c r="AF64"/>
    </row>
    <row r="65" spans="2:32" ht="15" customHeight="1" x14ac:dyDescent="0.25">
      <c r="E65" s="147">
        <v>30</v>
      </c>
      <c r="F65" s="168">
        <f t="shared" si="15"/>
        <v>4.6168527430595033E-2</v>
      </c>
      <c r="G65" s="147"/>
      <c r="H65" s="148">
        <f t="shared" si="16"/>
        <v>0.28577799052084402</v>
      </c>
      <c r="I65" s="147">
        <v>30</v>
      </c>
      <c r="J65" s="150">
        <f t="shared" si="17"/>
        <v>8.5733397156253197</v>
      </c>
      <c r="K65" s="150">
        <f t="shared" si="18"/>
        <v>10.57333971562532</v>
      </c>
      <c r="M65" s="234">
        <f t="shared" si="24"/>
        <v>3.1941022139961035E-2</v>
      </c>
      <c r="N65" s="228">
        <f t="shared" si="19"/>
        <v>0.19771133346329925</v>
      </c>
      <c r="O65" s="150">
        <f t="shared" si="20"/>
        <v>5.9313400038989776</v>
      </c>
      <c r="P65" s="234">
        <f t="shared" si="25"/>
        <v>1.4227505290633992E-2</v>
      </c>
      <c r="Q65" s="228">
        <f t="shared" si="21"/>
        <v>8.8066657057544698E-2</v>
      </c>
      <c r="R65" s="99">
        <f t="shared" si="22"/>
        <v>2.6419997117263407</v>
      </c>
      <c r="S65" s="149">
        <f t="shared" si="23"/>
        <v>10.573339715625318</v>
      </c>
      <c r="Z65"/>
      <c r="AA65"/>
      <c r="AB65"/>
      <c r="AC65"/>
      <c r="AD65"/>
      <c r="AE65"/>
      <c r="AF65"/>
    </row>
    <row r="66" spans="2:32" ht="15" customHeight="1" x14ac:dyDescent="0.25">
      <c r="E66" s="147">
        <v>40</v>
      </c>
      <c r="F66" s="168">
        <f t="shared" si="15"/>
        <v>4.5543427628564455E-2</v>
      </c>
      <c r="G66" s="147"/>
      <c r="H66" s="148">
        <f t="shared" si="16"/>
        <v>0.28190869307427013</v>
      </c>
      <c r="I66" s="147">
        <v>40</v>
      </c>
      <c r="J66" s="150">
        <f t="shared" si="17"/>
        <v>11.276347722970804</v>
      </c>
      <c r="K66" s="150">
        <f t="shared" si="18"/>
        <v>13.276347722970804</v>
      </c>
      <c r="M66" s="234">
        <f t="shared" si="24"/>
        <v>2.7953914565669685E-2</v>
      </c>
      <c r="N66" s="228">
        <f t="shared" si="19"/>
        <v>0.17303158615525879</v>
      </c>
      <c r="O66" s="150">
        <f t="shared" si="20"/>
        <v>6.9212634462103519</v>
      </c>
      <c r="P66" s="234">
        <f t="shared" si="25"/>
        <v>1.7589513062894767E-2</v>
      </c>
      <c r="Q66" s="228">
        <f t="shared" si="21"/>
        <v>0.10887710691901133</v>
      </c>
      <c r="R66" s="99">
        <f t="shared" si="22"/>
        <v>4.3550842767604534</v>
      </c>
      <c r="S66" s="149">
        <f t="shared" si="23"/>
        <v>13.276347722970804</v>
      </c>
      <c r="Z66"/>
      <c r="AA66"/>
      <c r="AB66"/>
      <c r="AC66"/>
      <c r="AD66"/>
      <c r="AE66"/>
      <c r="AF66"/>
    </row>
    <row r="67" spans="2:32" ht="15" customHeight="1" x14ac:dyDescent="0.25">
      <c r="E67" s="147">
        <v>50</v>
      </c>
      <c r="F67" s="168">
        <f t="shared" si="15"/>
        <v>4.5920642104223586E-2</v>
      </c>
      <c r="G67" s="147"/>
      <c r="H67" s="148">
        <f t="shared" si="16"/>
        <v>0.28424360823939626</v>
      </c>
      <c r="I67" s="147">
        <v>50</v>
      </c>
      <c r="J67" s="150">
        <f t="shared" si="17"/>
        <v>14.212180411969813</v>
      </c>
      <c r="K67" s="150">
        <f t="shared" si="18"/>
        <v>16.212180411969811</v>
      </c>
      <c r="M67" s="234">
        <f t="shared" si="24"/>
        <v>2.5427331686807789E-2</v>
      </c>
      <c r="N67" s="228">
        <f t="shared" si="19"/>
        <v>0.15739232239292711</v>
      </c>
      <c r="O67" s="150">
        <f t="shared" si="20"/>
        <v>7.8696161196463557</v>
      </c>
      <c r="P67" s="234">
        <f t="shared" si="25"/>
        <v>2.049331041741579E-2</v>
      </c>
      <c r="Q67" s="228">
        <f t="shared" si="21"/>
        <v>0.12685128584646918</v>
      </c>
      <c r="R67" s="99">
        <f t="shared" si="22"/>
        <v>6.3425642923234591</v>
      </c>
      <c r="S67" s="149">
        <f t="shared" si="23"/>
        <v>16.212180411969815</v>
      </c>
      <c r="Z67"/>
      <c r="AA67"/>
      <c r="AB67"/>
      <c r="AC67"/>
      <c r="AD67"/>
      <c r="AE67"/>
      <c r="AF67"/>
    </row>
    <row r="68" spans="2:32" ht="15" customHeight="1" x14ac:dyDescent="0.25">
      <c r="E68" s="147">
        <v>60</v>
      </c>
      <c r="F68" s="168">
        <f t="shared" si="15"/>
        <v>4.6799013718727564E-2</v>
      </c>
      <c r="G68" s="147"/>
      <c r="H68" s="148">
        <f t="shared" si="16"/>
        <v>0.28968062971037245</v>
      </c>
      <c r="I68" s="147">
        <v>60</v>
      </c>
      <c r="J68" s="150">
        <f t="shared" si="17"/>
        <v>17.380837782622347</v>
      </c>
      <c r="K68" s="150">
        <f t="shared" si="18"/>
        <v>19.380837782622347</v>
      </c>
      <c r="M68" s="234">
        <f t="shared" si="24"/>
        <v>2.3631011155660631E-2</v>
      </c>
      <c r="N68" s="228">
        <f t="shared" si="19"/>
        <v>0.14627330040344985</v>
      </c>
      <c r="O68" s="150">
        <f t="shared" si="20"/>
        <v>8.7763980242069906</v>
      </c>
      <c r="P68" s="234">
        <f t="shared" si="25"/>
        <v>2.316800256306694E-2</v>
      </c>
      <c r="Q68" s="228">
        <f t="shared" si="21"/>
        <v>0.14340732930692265</v>
      </c>
      <c r="R68" s="99">
        <f t="shared" si="22"/>
        <v>8.60443975841536</v>
      </c>
      <c r="S68" s="149">
        <f t="shared" si="23"/>
        <v>19.380837782622351</v>
      </c>
      <c r="Z68"/>
      <c r="AA68"/>
      <c r="AB68"/>
      <c r="AC68"/>
      <c r="AD68"/>
      <c r="AE68"/>
      <c r="AF68"/>
    </row>
    <row r="69" spans="2:32" ht="15" customHeight="1" x14ac:dyDescent="0.25">
      <c r="E69" s="157">
        <v>70</v>
      </c>
      <c r="F69" s="170">
        <f t="shared" si="15"/>
        <v>4.79637608411429E-2</v>
      </c>
      <c r="G69" s="176"/>
      <c r="H69" s="158">
        <f t="shared" si="16"/>
        <v>0.29689028335612011</v>
      </c>
      <c r="I69" s="157">
        <v>70</v>
      </c>
      <c r="J69" s="160">
        <f t="shared" si="17"/>
        <v>20.782319834928408</v>
      </c>
      <c r="K69" s="160">
        <f t="shared" si="18"/>
        <v>22.782319834928408</v>
      </c>
      <c r="M69" s="236">
        <f t="shared" si="24"/>
        <v>2.225198339463617E-2</v>
      </c>
      <c r="N69" s="230">
        <f t="shared" si="19"/>
        <v>0.13773727371274649</v>
      </c>
      <c r="O69" s="160">
        <f t="shared" si="20"/>
        <v>9.6416091598922549</v>
      </c>
      <c r="P69" s="236">
        <f t="shared" si="25"/>
        <v>2.5711777446506729E-2</v>
      </c>
      <c r="Q69" s="230">
        <f t="shared" si="21"/>
        <v>0.15915300964337362</v>
      </c>
      <c r="R69" s="231">
        <f t="shared" si="22"/>
        <v>11.140710675036154</v>
      </c>
      <c r="S69" s="159">
        <f t="shared" si="23"/>
        <v>22.782319834928408</v>
      </c>
      <c r="Z69"/>
      <c r="AA69"/>
      <c r="AB69"/>
      <c r="AC69"/>
      <c r="AD69"/>
      <c r="AE69"/>
      <c r="AF69"/>
    </row>
    <row r="70" spans="2:32" ht="15" customHeight="1" x14ac:dyDescent="0.25">
      <c r="Z70"/>
      <c r="AA70"/>
      <c r="AB70"/>
      <c r="AC70"/>
      <c r="AD70"/>
      <c r="AE70"/>
      <c r="AF70"/>
    </row>
    <row r="71" spans="2:32" ht="15" customHeight="1" x14ac:dyDescent="0.25">
      <c r="B71"/>
      <c r="C71"/>
      <c r="D71"/>
      <c r="E71"/>
      <c r="F71"/>
      <c r="G71"/>
      <c r="H71"/>
      <c r="I71"/>
      <c r="J71"/>
      <c r="K71"/>
      <c r="M71"/>
      <c r="N71"/>
      <c r="O71"/>
      <c r="P71"/>
      <c r="Q71"/>
      <c r="R71"/>
      <c r="S71"/>
    </row>
    <row r="72" spans="2:32" ht="15" customHeight="1" x14ac:dyDescent="0.25">
      <c r="B72"/>
      <c r="C72"/>
      <c r="D72"/>
      <c r="E72"/>
      <c r="F72"/>
      <c r="G72"/>
      <c r="H72"/>
      <c r="I72"/>
      <c r="J72"/>
      <c r="K72"/>
      <c r="M72" s="254" t="s">
        <v>190</v>
      </c>
      <c r="N72"/>
      <c r="O72"/>
      <c r="P72"/>
      <c r="Q72"/>
      <c r="R72"/>
      <c r="S72"/>
    </row>
    <row r="73" spans="2:32" ht="15" customHeight="1" x14ac:dyDescent="0.25">
      <c r="B73"/>
      <c r="C73"/>
      <c r="D73"/>
      <c r="E73"/>
      <c r="F73"/>
      <c r="G73"/>
      <c r="H73"/>
      <c r="I73"/>
      <c r="J73"/>
      <c r="K73"/>
      <c r="M73"/>
      <c r="N73"/>
      <c r="O73"/>
      <c r="P73"/>
      <c r="Q73"/>
      <c r="R73"/>
    </row>
    <row r="74" spans="2:32" ht="15" customHeight="1" x14ac:dyDescent="0.25">
      <c r="B74"/>
      <c r="C74"/>
      <c r="D74"/>
      <c r="E74"/>
      <c r="F74"/>
      <c r="G74"/>
      <c r="H74"/>
      <c r="I74"/>
      <c r="J74"/>
      <c r="K74"/>
      <c r="M74"/>
      <c r="N74"/>
      <c r="O74"/>
      <c r="P74"/>
      <c r="Q74"/>
      <c r="R74"/>
    </row>
    <row r="75" spans="2:32" ht="15" customHeight="1" x14ac:dyDescent="0.25">
      <c r="B75"/>
      <c r="C75"/>
      <c r="D75"/>
      <c r="E75"/>
      <c r="F75"/>
      <c r="G75"/>
      <c r="H75"/>
      <c r="I75"/>
      <c r="J75"/>
      <c r="K75"/>
      <c r="M75"/>
      <c r="N75"/>
      <c r="O75"/>
      <c r="P75"/>
      <c r="Q75"/>
      <c r="R75"/>
    </row>
    <row r="76" spans="2:32" ht="15" customHeight="1" x14ac:dyDescent="0.25">
      <c r="B76"/>
      <c r="C76"/>
      <c r="D76"/>
      <c r="E76"/>
      <c r="F76"/>
      <c r="G76"/>
      <c r="H76"/>
      <c r="I76"/>
      <c r="J76"/>
      <c r="K76"/>
      <c r="M76"/>
      <c r="N76"/>
      <c r="O76"/>
      <c r="P76"/>
      <c r="Q76"/>
      <c r="R76"/>
    </row>
    <row r="77" spans="2:32" ht="15" customHeight="1" x14ac:dyDescent="0.25">
      <c r="B77"/>
      <c r="C77"/>
      <c r="D77"/>
      <c r="E77"/>
      <c r="F77"/>
      <c r="G77"/>
      <c r="H77"/>
      <c r="I77"/>
      <c r="J77"/>
      <c r="K77"/>
      <c r="M77"/>
      <c r="N77"/>
      <c r="O77"/>
      <c r="P77"/>
      <c r="Q77"/>
      <c r="R77"/>
    </row>
    <row r="78" spans="2:32" ht="15" customHeight="1" x14ac:dyDescent="0.25">
      <c r="B78"/>
      <c r="C78"/>
      <c r="D78"/>
      <c r="E78"/>
      <c r="F78"/>
      <c r="G78"/>
      <c r="H78"/>
      <c r="I78"/>
      <c r="J78"/>
      <c r="K78"/>
      <c r="M78"/>
      <c r="N78"/>
      <c r="O78"/>
      <c r="P78"/>
      <c r="Q78"/>
      <c r="R78"/>
    </row>
    <row r="79" spans="2:32" ht="15" customHeight="1" x14ac:dyDescent="0.25">
      <c r="B79"/>
      <c r="C79"/>
      <c r="D79"/>
      <c r="E79"/>
      <c r="F79"/>
      <c r="G79"/>
      <c r="H79"/>
      <c r="I79"/>
      <c r="J79"/>
      <c r="K79"/>
      <c r="M79"/>
      <c r="N79"/>
      <c r="O79"/>
      <c r="P79"/>
      <c r="Q79"/>
      <c r="R79"/>
    </row>
    <row r="80" spans="2:32" ht="15" customHeight="1" x14ac:dyDescent="0.25">
      <c r="B80"/>
      <c r="C80"/>
      <c r="D80"/>
      <c r="E80"/>
      <c r="F80"/>
      <c r="G80"/>
      <c r="H80"/>
      <c r="I80"/>
      <c r="J80"/>
      <c r="K80"/>
      <c r="M80"/>
      <c r="N80"/>
      <c r="O80"/>
      <c r="P80"/>
      <c r="Q80"/>
      <c r="R80"/>
    </row>
    <row r="81" spans="2:18" ht="15" customHeight="1" x14ac:dyDescent="0.25">
      <c r="B81"/>
      <c r="C81"/>
      <c r="D81"/>
      <c r="E81"/>
      <c r="F81"/>
      <c r="G81"/>
      <c r="H81"/>
      <c r="I81"/>
      <c r="J81"/>
      <c r="K81"/>
      <c r="M81"/>
      <c r="N81"/>
      <c r="O81"/>
      <c r="P81"/>
      <c r="Q81"/>
      <c r="R81"/>
    </row>
    <row r="82" spans="2:18" ht="15" customHeight="1" x14ac:dyDescent="0.25">
      <c r="B82"/>
      <c r="C82"/>
      <c r="D82"/>
      <c r="E82"/>
      <c r="F82"/>
      <c r="G82"/>
      <c r="H82"/>
      <c r="I82"/>
      <c r="J82"/>
      <c r="K82"/>
      <c r="M82"/>
      <c r="N82"/>
      <c r="O82"/>
      <c r="P82"/>
      <c r="Q82"/>
      <c r="R82"/>
    </row>
    <row r="83" spans="2:18" ht="15" customHeight="1" x14ac:dyDescent="0.25">
      <c r="B83"/>
      <c r="C83"/>
      <c r="D83"/>
      <c r="E83"/>
      <c r="F83"/>
      <c r="G83"/>
      <c r="H83"/>
      <c r="I83"/>
      <c r="J83"/>
      <c r="K83"/>
      <c r="M83"/>
      <c r="N83"/>
      <c r="O83"/>
      <c r="P83"/>
      <c r="Q83"/>
      <c r="R83"/>
    </row>
    <row r="84" spans="2:18" ht="15" customHeight="1" x14ac:dyDescent="0.25">
      <c r="B84"/>
      <c r="C84"/>
      <c r="D84"/>
      <c r="E84"/>
      <c r="F84"/>
      <c r="G84"/>
      <c r="H84"/>
      <c r="I84"/>
      <c r="J84"/>
      <c r="K84"/>
      <c r="M84"/>
      <c r="N84"/>
      <c r="O84"/>
      <c r="P84"/>
      <c r="Q84"/>
      <c r="R84"/>
    </row>
    <row r="85" spans="2:18" ht="15" customHeight="1" x14ac:dyDescent="0.25">
      <c r="B85"/>
      <c r="C85"/>
      <c r="D85"/>
      <c r="E85"/>
      <c r="F85"/>
      <c r="G85"/>
      <c r="H85"/>
      <c r="I85"/>
      <c r="J85"/>
      <c r="K85"/>
      <c r="M85"/>
      <c r="N85"/>
      <c r="O85"/>
      <c r="P85"/>
      <c r="Q85"/>
      <c r="R85"/>
    </row>
    <row r="86" spans="2:18" ht="15" customHeight="1" x14ac:dyDescent="0.25">
      <c r="B86"/>
      <c r="C86"/>
      <c r="D86"/>
      <c r="E86"/>
      <c r="F86"/>
      <c r="G86"/>
      <c r="H86"/>
      <c r="I86"/>
      <c r="J86"/>
      <c r="K86"/>
      <c r="M86"/>
      <c r="N86"/>
      <c r="O86"/>
      <c r="P86"/>
      <c r="Q86"/>
      <c r="R86"/>
    </row>
    <row r="87" spans="2:18" ht="15" customHeight="1" x14ac:dyDescent="0.25">
      <c r="M87"/>
      <c r="N87"/>
      <c r="O87"/>
      <c r="P87"/>
      <c r="Q87"/>
      <c r="R87"/>
    </row>
    <row r="88" spans="2:18" ht="15" customHeight="1" x14ac:dyDescent="0.25">
      <c r="M88"/>
      <c r="N88"/>
      <c r="O88"/>
      <c r="P88"/>
      <c r="Q88"/>
      <c r="R88"/>
    </row>
    <row r="89" spans="2:18" ht="15" customHeight="1" x14ac:dyDescent="0.25">
      <c r="M89"/>
      <c r="N89"/>
      <c r="O89"/>
      <c r="P89"/>
      <c r="Q89"/>
      <c r="R89"/>
    </row>
    <row r="90" spans="2:18" ht="15" customHeight="1" x14ac:dyDescent="0.25">
      <c r="M90"/>
      <c r="N90"/>
      <c r="O90"/>
      <c r="P90"/>
      <c r="Q90"/>
      <c r="R90"/>
    </row>
    <row r="91" spans="2:18" ht="15" customHeight="1" x14ac:dyDescent="0.25">
      <c r="M91"/>
      <c r="N91"/>
      <c r="O91"/>
      <c r="P91"/>
      <c r="Q91"/>
      <c r="R91"/>
    </row>
    <row r="92" spans="2:18" ht="15" customHeight="1" x14ac:dyDescent="0.25">
      <c r="M92"/>
      <c r="N92"/>
      <c r="O92"/>
      <c r="P92"/>
      <c r="Q92"/>
      <c r="R92"/>
    </row>
    <row r="93" spans="2:18" ht="15" customHeight="1" x14ac:dyDescent="0.25">
      <c r="M93"/>
      <c r="N93"/>
      <c r="O93"/>
      <c r="P93"/>
      <c r="Q93"/>
      <c r="R93"/>
    </row>
    <row r="94" spans="2:18" ht="15" customHeight="1" x14ac:dyDescent="0.25">
      <c r="M94"/>
      <c r="N94"/>
      <c r="O94"/>
      <c r="P94"/>
      <c r="Q94"/>
      <c r="R94"/>
    </row>
    <row r="95" spans="2:18" ht="15" customHeight="1" x14ac:dyDescent="0.25">
      <c r="M95"/>
      <c r="N95"/>
      <c r="O95"/>
      <c r="P95"/>
      <c r="Q95"/>
      <c r="R95"/>
    </row>
    <row r="96" spans="2:18" ht="15" customHeight="1" x14ac:dyDescent="0.25">
      <c r="M96"/>
      <c r="N96"/>
      <c r="O96"/>
      <c r="P96"/>
      <c r="Q96"/>
      <c r="R96"/>
    </row>
    <row r="97" spans="13:18" ht="15" customHeight="1" x14ac:dyDescent="0.25">
      <c r="M97"/>
      <c r="N97"/>
      <c r="O97"/>
      <c r="P97"/>
      <c r="Q97"/>
      <c r="R97"/>
    </row>
    <row r="98" spans="13:18" ht="15" customHeight="1" x14ac:dyDescent="0.25">
      <c r="M98"/>
      <c r="N98"/>
      <c r="O98"/>
      <c r="P98"/>
      <c r="Q98"/>
      <c r="R98"/>
    </row>
    <row r="99" spans="13:18" ht="15" customHeight="1" x14ac:dyDescent="0.25">
      <c r="M99"/>
      <c r="N99"/>
      <c r="O99"/>
      <c r="P99"/>
      <c r="Q99"/>
      <c r="R99"/>
    </row>
    <row r="100" spans="13:18" ht="15" customHeight="1" x14ac:dyDescent="0.25">
      <c r="M100"/>
      <c r="N100"/>
      <c r="O100"/>
      <c r="P100"/>
      <c r="Q100"/>
      <c r="R100"/>
    </row>
    <row r="101" spans="13:18" ht="15" customHeight="1" x14ac:dyDescent="0.25">
      <c r="M101"/>
      <c r="N101"/>
      <c r="O101"/>
      <c r="P101"/>
      <c r="Q101"/>
      <c r="R101"/>
    </row>
    <row r="102" spans="13:18" ht="15" customHeight="1" x14ac:dyDescent="0.25">
      <c r="M102"/>
      <c r="N102"/>
      <c r="O102"/>
      <c r="P102"/>
      <c r="Q102"/>
      <c r="R102"/>
    </row>
    <row r="103" spans="13:18" ht="15" customHeight="1" x14ac:dyDescent="0.25">
      <c r="M103"/>
      <c r="N103"/>
      <c r="O103"/>
      <c r="P103"/>
      <c r="Q103"/>
      <c r="R103"/>
    </row>
    <row r="104" spans="13:18" ht="15" customHeight="1" x14ac:dyDescent="0.25">
      <c r="M104"/>
      <c r="N104"/>
      <c r="O104"/>
      <c r="P104"/>
      <c r="Q104"/>
      <c r="R104"/>
    </row>
    <row r="105" spans="13:18" ht="15" customHeight="1" x14ac:dyDescent="0.25">
      <c r="M105"/>
      <c r="N105"/>
      <c r="O105"/>
      <c r="P105"/>
      <c r="Q105"/>
      <c r="R105"/>
    </row>
    <row r="106" spans="13:18" ht="15" customHeight="1" x14ac:dyDescent="0.25">
      <c r="M106"/>
      <c r="N106"/>
      <c r="O106"/>
      <c r="P106"/>
      <c r="Q106"/>
      <c r="R106"/>
    </row>
    <row r="107" spans="13:18" ht="15" customHeight="1" x14ac:dyDescent="0.25"/>
    <row r="108" spans="13:18" ht="15" customHeight="1" x14ac:dyDescent="0.25"/>
    <row r="109" spans="13:18" ht="15" customHeight="1" x14ac:dyDescent="0.25"/>
    <row r="110" spans="13:18" ht="15" customHeight="1" x14ac:dyDescent="0.25"/>
    <row r="111" spans="13:18" ht="15" customHeight="1" x14ac:dyDescent="0.25"/>
    <row r="112" spans="13:18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</sheetData>
  <mergeCells count="2">
    <mergeCell ref="N54:O54"/>
    <mergeCell ref="Q54:R54"/>
  </mergeCells>
  <pageMargins left="0.2" right="0.2" top="0.5" bottom="0.5" header="0.3" footer="0.3"/>
  <pageSetup scale="9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1:AI202"/>
  <sheetViews>
    <sheetView showGridLines="0" topLeftCell="A37" zoomScale="80" zoomScaleNormal="80" workbookViewId="0">
      <selection activeCell="H43" sqref="H43"/>
    </sheetView>
  </sheetViews>
  <sheetFormatPr defaultRowHeight="15" x14ac:dyDescent="0.25"/>
  <cols>
    <col min="1" max="2" width="9.140625" style="55"/>
    <col min="3" max="3" width="9.140625" style="55" customWidth="1"/>
    <col min="4" max="6" width="9.140625" style="55"/>
    <col min="7" max="7" width="9.140625" style="55" customWidth="1"/>
    <col min="8" max="8" width="9.140625" style="55"/>
    <col min="9" max="9" width="9.140625" style="55" customWidth="1"/>
    <col min="10" max="10" width="9.140625" style="55"/>
    <col min="11" max="12" width="9.140625" style="55" customWidth="1"/>
    <col min="13" max="13" width="8.42578125" style="55" customWidth="1"/>
    <col min="14" max="14" width="9.140625" style="55"/>
    <col min="15" max="15" width="9.140625" style="55" customWidth="1"/>
    <col min="16" max="19" width="9.140625" style="55"/>
    <col min="20" max="20" width="9.140625" style="55" customWidth="1"/>
    <col min="21" max="16384" width="9.140625" style="55"/>
  </cols>
  <sheetData>
    <row r="1" spans="1:29" ht="18" customHeight="1" x14ac:dyDescent="0.25">
      <c r="B1" s="65" t="s">
        <v>120</v>
      </c>
      <c r="K1" s="56"/>
      <c r="O1" s="55" t="s">
        <v>49</v>
      </c>
    </row>
    <row r="2" spans="1:29" ht="15" customHeight="1" x14ac:dyDescent="0.25">
      <c r="A2" s="58" t="s">
        <v>73</v>
      </c>
      <c r="B2" s="57" t="s">
        <v>121</v>
      </c>
      <c r="AA2" s="58" t="s">
        <v>100</v>
      </c>
    </row>
    <row r="3" spans="1:29" ht="15" customHeight="1" x14ac:dyDescent="0.25">
      <c r="A3" s="58" t="s">
        <v>122</v>
      </c>
      <c r="B3" s="59"/>
    </row>
    <row r="4" spans="1:29" ht="15" customHeight="1" x14ac:dyDescent="0.25">
      <c r="A4" s="58" t="s">
        <v>125</v>
      </c>
      <c r="B4" s="59"/>
    </row>
    <row r="5" spans="1:29" ht="15" customHeight="1" x14ac:dyDescent="0.25">
      <c r="A5" s="58"/>
      <c r="B5" s="59"/>
      <c r="AA5" s="60" t="s">
        <v>79</v>
      </c>
      <c r="AB5" s="61"/>
      <c r="AC5" s="61"/>
    </row>
    <row r="6" spans="1:29" ht="15" customHeight="1" x14ac:dyDescent="0.25">
      <c r="A6" s="58"/>
      <c r="B6" s="62" t="s">
        <v>123</v>
      </c>
      <c r="C6" s="63"/>
      <c r="D6" s="63"/>
      <c r="E6" s="63"/>
      <c r="F6" s="63"/>
      <c r="G6" s="63"/>
      <c r="H6" s="63"/>
      <c r="I6" s="63"/>
      <c r="J6" s="63"/>
      <c r="K6" s="63"/>
      <c r="L6" s="64"/>
      <c r="AC6" s="58"/>
    </row>
    <row r="7" spans="1:29" ht="15" customHeight="1" x14ac:dyDescent="0.25">
      <c r="A7" s="58"/>
      <c r="B7" s="65"/>
      <c r="C7" s="84" t="s">
        <v>131</v>
      </c>
      <c r="D7" s="58" t="s">
        <v>132</v>
      </c>
      <c r="AB7" s="68" t="s">
        <v>72</v>
      </c>
    </row>
    <row r="8" spans="1:29" ht="15" customHeight="1" x14ac:dyDescent="0.25">
      <c r="A8" s="58"/>
      <c r="B8" s="65"/>
      <c r="C8" s="66" t="s">
        <v>43</v>
      </c>
      <c r="D8" s="67" t="s">
        <v>124</v>
      </c>
      <c r="AB8" s="68"/>
    </row>
    <row r="9" spans="1:29" ht="15" customHeight="1" x14ac:dyDescent="0.25">
      <c r="A9" s="58"/>
      <c r="B9" s="65"/>
      <c r="C9" s="66" t="s">
        <v>44</v>
      </c>
      <c r="D9" s="67" t="s">
        <v>129</v>
      </c>
    </row>
    <row r="10" spans="1:29" ht="15" customHeight="1" x14ac:dyDescent="0.25">
      <c r="A10" s="58"/>
      <c r="B10" s="65"/>
      <c r="C10" s="66" t="s">
        <v>45</v>
      </c>
      <c r="D10" s="67" t="s">
        <v>130</v>
      </c>
    </row>
    <row r="11" spans="1:29" ht="15" customHeight="1" x14ac:dyDescent="0.25">
      <c r="A11" s="58"/>
      <c r="B11" s="65"/>
      <c r="C11" s="66"/>
      <c r="D11" s="67"/>
    </row>
    <row r="12" spans="1:29" ht="15" customHeight="1" x14ac:dyDescent="0.25">
      <c r="A12" s="58"/>
      <c r="B12" s="65"/>
      <c r="C12" s="66"/>
      <c r="D12" s="67" t="s">
        <v>143</v>
      </c>
    </row>
    <row r="13" spans="1:29" ht="15" customHeight="1" x14ac:dyDescent="0.25">
      <c r="A13" s="58"/>
      <c r="B13" s="65" t="s">
        <v>145</v>
      </c>
      <c r="C13" s="66"/>
      <c r="D13" s="67" t="s">
        <v>144</v>
      </c>
      <c r="E13" s="191"/>
      <c r="F13" s="191"/>
    </row>
    <row r="14" spans="1:29" ht="15" customHeight="1" x14ac:dyDescent="0.25">
      <c r="A14" s="58"/>
      <c r="B14" s="65"/>
      <c r="C14" s="66"/>
      <c r="D14" s="190" t="s">
        <v>137</v>
      </c>
    </row>
    <row r="15" spans="1:29" ht="15" customHeight="1" x14ac:dyDescent="0.25">
      <c r="A15" s="58"/>
      <c r="B15" s="65"/>
    </row>
    <row r="16" spans="1:29" ht="15" customHeight="1" x14ac:dyDescent="0.25">
      <c r="A16" s="58"/>
      <c r="B16" s="65"/>
      <c r="C16" s="66"/>
      <c r="D16" s="67"/>
      <c r="H16" s="60" t="s">
        <v>108</v>
      </c>
      <c r="I16" s="61"/>
      <c r="J16" s="61"/>
      <c r="K16" s="69"/>
    </row>
    <row r="17" spans="1:35" ht="15" customHeight="1" x14ac:dyDescent="0.25">
      <c r="A17" s="58"/>
      <c r="B17" s="65"/>
      <c r="C17" s="66"/>
      <c r="D17" s="67"/>
      <c r="AH17" s="58" t="s">
        <v>96</v>
      </c>
    </row>
    <row r="18" spans="1:35" ht="15" customHeight="1" x14ac:dyDescent="0.25">
      <c r="A18" s="58"/>
      <c r="B18" s="65"/>
      <c r="C18" s="66"/>
      <c r="D18" s="67"/>
      <c r="I18" s="60" t="s">
        <v>94</v>
      </c>
      <c r="J18" s="69"/>
      <c r="W18" s="68"/>
    </row>
    <row r="19" spans="1:35" ht="15" customHeight="1" x14ac:dyDescent="0.25">
      <c r="A19" s="58"/>
      <c r="B19" s="65"/>
      <c r="V19" s="97"/>
      <c r="AA19" s="71" t="s">
        <v>36</v>
      </c>
      <c r="AB19" s="72"/>
      <c r="AH19" s="71" t="s">
        <v>36</v>
      </c>
      <c r="AI19" s="72"/>
    </row>
    <row r="20" spans="1:35" ht="15" customHeight="1" x14ac:dyDescent="0.25">
      <c r="A20" s="58"/>
      <c r="B20" s="59"/>
      <c r="C20" s="77" t="s">
        <v>15</v>
      </c>
      <c r="D20" s="78"/>
      <c r="E20" s="79"/>
      <c r="G20" s="73"/>
      <c r="H20" s="73"/>
      <c r="I20" s="74" t="s">
        <v>95</v>
      </c>
      <c r="J20" s="73"/>
      <c r="K20" s="162" t="s">
        <v>111</v>
      </c>
      <c r="L20" s="73"/>
      <c r="T20" s="182" t="s">
        <v>134</v>
      </c>
      <c r="U20" s="182">
        <v>0.6</v>
      </c>
      <c r="V20" s="182">
        <v>0.65</v>
      </c>
      <c r="W20" s="182">
        <v>0.7</v>
      </c>
      <c r="AA20" s="75" t="s">
        <v>60</v>
      </c>
      <c r="AB20" s="76"/>
      <c r="AH20" s="75" t="s">
        <v>60</v>
      </c>
      <c r="AI20" s="76">
        <v>0.90359999999999996</v>
      </c>
    </row>
    <row r="21" spans="1:35" ht="15" customHeight="1" x14ac:dyDescent="0.25">
      <c r="A21" s="58"/>
      <c r="B21" s="59"/>
      <c r="C21" s="86" t="s">
        <v>61</v>
      </c>
      <c r="D21" s="87" t="s">
        <v>19</v>
      </c>
      <c r="E21" s="88">
        <v>0.9</v>
      </c>
      <c r="F21" s="80"/>
      <c r="G21" s="81" t="s">
        <v>2</v>
      </c>
      <c r="H21" s="82" t="s">
        <v>138</v>
      </c>
      <c r="I21" s="83">
        <v>0</v>
      </c>
      <c r="J21" s="82" t="s">
        <v>133</v>
      </c>
      <c r="K21" s="82" t="s">
        <v>127</v>
      </c>
      <c r="L21" s="82" t="s">
        <v>128</v>
      </c>
      <c r="N21"/>
      <c r="P21"/>
      <c r="Q21"/>
      <c r="R21"/>
      <c r="S21"/>
      <c r="T21" s="82" t="s">
        <v>91</v>
      </c>
      <c r="U21" s="82" t="s">
        <v>91</v>
      </c>
      <c r="V21" s="82" t="s">
        <v>91</v>
      </c>
      <c r="W21" s="82" t="s">
        <v>91</v>
      </c>
      <c r="AA21" s="84" t="s">
        <v>60</v>
      </c>
      <c r="AB21" s="85"/>
      <c r="AH21" s="84" t="s">
        <v>60</v>
      </c>
      <c r="AI21" s="85">
        <v>0.55759999999999998</v>
      </c>
    </row>
    <row r="22" spans="1:35" ht="15" customHeight="1" x14ac:dyDescent="0.25">
      <c r="A22" s="58"/>
      <c r="B22" s="59"/>
      <c r="C22" s="86" t="s">
        <v>62</v>
      </c>
      <c r="D22" s="87" t="s">
        <v>20</v>
      </c>
      <c r="E22" s="96">
        <v>0.96</v>
      </c>
      <c r="F22" s="80"/>
      <c r="G22" s="89">
        <v>1</v>
      </c>
      <c r="H22" s="90">
        <v>1.7</v>
      </c>
      <c r="I22" s="91">
        <f t="shared" ref="I22:I33" si="0">H22-I$21</f>
        <v>1.7</v>
      </c>
      <c r="J22" s="90">
        <f>I22*2</f>
        <v>3.4</v>
      </c>
      <c r="K22" s="91">
        <f>(J22/G22)</f>
        <v>3.4</v>
      </c>
      <c r="L22" s="179">
        <f t="shared" ref="L22:L33" si="1">SQRT(12*32.2*K22^2/(4*$E$23*($E$22*56)*$E$21^2))</f>
        <v>0.54926999814681077</v>
      </c>
      <c r="N22"/>
      <c r="P22"/>
      <c r="Q22"/>
      <c r="R22"/>
      <c r="S22"/>
      <c r="T22" s="90">
        <v>1.7</v>
      </c>
      <c r="U22" s="90"/>
      <c r="V22" s="90"/>
      <c r="W22" s="90">
        <v>2.76</v>
      </c>
      <c r="AA22" s="94" t="s">
        <v>60</v>
      </c>
      <c r="AB22" s="95"/>
      <c r="AH22" s="94" t="s">
        <v>60</v>
      </c>
      <c r="AI22" s="95">
        <v>0.43940000000000001</v>
      </c>
    </row>
    <row r="23" spans="1:35" ht="15" customHeight="1" x14ac:dyDescent="0.25">
      <c r="A23" s="58"/>
      <c r="B23" s="59"/>
      <c r="C23" s="102" t="s">
        <v>59</v>
      </c>
      <c r="D23" s="103" t="s">
        <v>28</v>
      </c>
      <c r="E23" s="104">
        <v>85</v>
      </c>
      <c r="F23" s="80"/>
      <c r="G23" s="97">
        <v>2</v>
      </c>
      <c r="H23" s="98">
        <v>3.4</v>
      </c>
      <c r="I23" s="99">
        <f t="shared" si="0"/>
        <v>3.4</v>
      </c>
      <c r="J23" s="98">
        <f t="shared" ref="J23:J33" si="2">I23*2</f>
        <v>6.8</v>
      </c>
      <c r="K23" s="99">
        <f t="shared" ref="K23:K33" si="3">(J23/G23)</f>
        <v>3.4</v>
      </c>
      <c r="L23" s="180">
        <f t="shared" si="1"/>
        <v>0.54926999814681077</v>
      </c>
      <c r="N23"/>
      <c r="P23"/>
      <c r="Q23"/>
      <c r="R23"/>
      <c r="S23"/>
      <c r="T23" s="98">
        <v>3.4</v>
      </c>
      <c r="U23" s="98"/>
      <c r="V23" s="98"/>
      <c r="W23" s="98">
        <v>4.04</v>
      </c>
      <c r="AA23" s="84" t="s">
        <v>60</v>
      </c>
      <c r="AB23" s="85"/>
      <c r="AH23" s="84" t="s">
        <v>60</v>
      </c>
      <c r="AI23" s="85">
        <v>0.378</v>
      </c>
    </row>
    <row r="24" spans="1:35" ht="15" customHeight="1" x14ac:dyDescent="0.25">
      <c r="A24" s="58"/>
      <c r="B24" s="59"/>
      <c r="F24" s="80"/>
      <c r="G24" s="105">
        <v>3</v>
      </c>
      <c r="H24" s="106">
        <v>5.1100000000000003</v>
      </c>
      <c r="I24" s="107">
        <f t="shared" si="0"/>
        <v>5.1100000000000003</v>
      </c>
      <c r="J24" s="106">
        <f t="shared" si="2"/>
        <v>10.220000000000001</v>
      </c>
      <c r="K24" s="107">
        <f t="shared" si="3"/>
        <v>3.4066666666666667</v>
      </c>
      <c r="L24" s="181">
        <f t="shared" si="1"/>
        <v>0.55034699814317722</v>
      </c>
      <c r="N24"/>
      <c r="P24"/>
      <c r="Q24"/>
      <c r="R24"/>
      <c r="S24"/>
      <c r="T24" s="106">
        <v>5.1100000000000003</v>
      </c>
      <c r="U24" s="106"/>
      <c r="V24" s="106"/>
      <c r="W24" s="106">
        <v>5.21</v>
      </c>
      <c r="AA24" s="84" t="s">
        <v>60</v>
      </c>
      <c r="AB24" s="85"/>
      <c r="AH24" s="84" t="s">
        <v>60</v>
      </c>
      <c r="AI24" s="85">
        <v>0.33939999999999998</v>
      </c>
    </row>
    <row r="25" spans="1:35" ht="15" customHeight="1" x14ac:dyDescent="0.25">
      <c r="A25" s="58"/>
      <c r="B25" s="59"/>
      <c r="G25" s="97">
        <v>4</v>
      </c>
      <c r="H25" s="98">
        <v>6.81</v>
      </c>
      <c r="I25" s="99">
        <f t="shared" si="0"/>
        <v>6.81</v>
      </c>
      <c r="J25" s="98">
        <f t="shared" si="2"/>
        <v>13.62</v>
      </c>
      <c r="K25" s="99">
        <f t="shared" si="3"/>
        <v>3.4049999999999998</v>
      </c>
      <c r="L25" s="180">
        <f t="shared" si="1"/>
        <v>0.5500777481440855</v>
      </c>
      <c r="N25"/>
      <c r="P25"/>
      <c r="Q25"/>
      <c r="R25"/>
      <c r="S25"/>
      <c r="T25" s="98">
        <v>6.81</v>
      </c>
      <c r="U25" s="98"/>
      <c r="V25" s="98"/>
      <c r="W25" s="98">
        <v>6.27</v>
      </c>
      <c r="AA25" s="94" t="s">
        <v>60</v>
      </c>
      <c r="AB25" s="95"/>
      <c r="AH25" s="94" t="s">
        <v>60</v>
      </c>
      <c r="AI25" s="95">
        <v>0.24879999999999999</v>
      </c>
    </row>
    <row r="26" spans="1:35" ht="15" customHeight="1" x14ac:dyDescent="0.25">
      <c r="A26" s="58"/>
      <c r="B26" s="59"/>
      <c r="G26" s="97">
        <v>5</v>
      </c>
      <c r="H26" s="98">
        <v>8.51</v>
      </c>
      <c r="I26" s="99">
        <f t="shared" si="0"/>
        <v>8.51</v>
      </c>
      <c r="J26" s="98">
        <f t="shared" si="2"/>
        <v>17.02</v>
      </c>
      <c r="K26" s="99">
        <f t="shared" si="3"/>
        <v>3.4039999999999999</v>
      </c>
      <c r="L26" s="180">
        <f t="shared" si="1"/>
        <v>0.54991619814463055</v>
      </c>
      <c r="N26"/>
      <c r="P26"/>
      <c r="Q26"/>
      <c r="R26"/>
      <c r="S26"/>
      <c r="T26" s="98">
        <v>8.51</v>
      </c>
      <c r="U26" s="98"/>
      <c r="V26" s="98"/>
      <c r="W26" s="98">
        <v>7.21</v>
      </c>
      <c r="AA26" s="84" t="s">
        <v>60</v>
      </c>
      <c r="AB26" s="85"/>
      <c r="AH26" s="84" t="s">
        <v>60</v>
      </c>
      <c r="AI26" s="85">
        <v>0.18279999999999999</v>
      </c>
    </row>
    <row r="27" spans="1:35" ht="15" customHeight="1" x14ac:dyDescent="0.25">
      <c r="A27" s="58"/>
      <c r="B27" s="59"/>
      <c r="G27" s="105">
        <v>10</v>
      </c>
      <c r="H27" s="106">
        <v>17.02</v>
      </c>
      <c r="I27" s="107">
        <f t="shared" si="0"/>
        <v>17.02</v>
      </c>
      <c r="J27" s="106">
        <f t="shared" si="2"/>
        <v>34.04</v>
      </c>
      <c r="K27" s="107">
        <f t="shared" si="3"/>
        <v>3.4039999999999999</v>
      </c>
      <c r="L27" s="181">
        <f t="shared" si="1"/>
        <v>0.54991619814463055</v>
      </c>
      <c r="N27"/>
      <c r="P27"/>
      <c r="Q27"/>
      <c r="R27"/>
      <c r="S27"/>
      <c r="T27" s="106">
        <v>17.02</v>
      </c>
      <c r="U27" s="106"/>
      <c r="V27" s="106"/>
      <c r="W27" s="106">
        <v>10.210000000000001</v>
      </c>
      <c r="AA27" s="84" t="s">
        <v>60</v>
      </c>
      <c r="AB27" s="85"/>
      <c r="AH27" s="84" t="s">
        <v>60</v>
      </c>
      <c r="AI27" s="85">
        <v>0.16239999999999999</v>
      </c>
    </row>
    <row r="28" spans="1:35" ht="15" customHeight="1" x14ac:dyDescent="0.25">
      <c r="A28" s="58"/>
      <c r="B28" s="59"/>
      <c r="G28" s="97">
        <v>20</v>
      </c>
      <c r="H28" s="98">
        <v>34.04</v>
      </c>
      <c r="I28" s="99">
        <f t="shared" si="0"/>
        <v>34.04</v>
      </c>
      <c r="J28" s="98">
        <f t="shared" si="2"/>
        <v>68.08</v>
      </c>
      <c r="K28" s="99">
        <f t="shared" si="3"/>
        <v>3.4039999999999999</v>
      </c>
      <c r="L28" s="180">
        <f t="shared" si="1"/>
        <v>0.54991619814463055</v>
      </c>
      <c r="N28"/>
      <c r="P28"/>
      <c r="Q28"/>
      <c r="R28"/>
      <c r="S28"/>
      <c r="T28" s="98">
        <v>34.04</v>
      </c>
      <c r="U28" s="98"/>
      <c r="V28" s="98"/>
      <c r="W28" s="98">
        <v>15.02</v>
      </c>
      <c r="AA28" s="84" t="s">
        <v>60</v>
      </c>
      <c r="AB28" s="85"/>
      <c r="AH28" s="84" t="s">
        <v>60</v>
      </c>
      <c r="AI28" s="85">
        <v>0.1552</v>
      </c>
    </row>
    <row r="29" spans="1:35" ht="15" customHeight="1" x14ac:dyDescent="0.25">
      <c r="A29" s="58"/>
      <c r="B29" s="59"/>
      <c r="G29" s="97">
        <v>30</v>
      </c>
      <c r="H29" s="98">
        <v>51.07</v>
      </c>
      <c r="I29" s="99">
        <f t="shared" si="0"/>
        <v>51.07</v>
      </c>
      <c r="J29" s="98">
        <f t="shared" si="2"/>
        <v>102.14</v>
      </c>
      <c r="K29" s="99">
        <f t="shared" si="3"/>
        <v>3.4046666666666665</v>
      </c>
      <c r="L29" s="180">
        <f t="shared" si="1"/>
        <v>0.55002389814426722</v>
      </c>
      <c r="N29"/>
      <c r="P29"/>
      <c r="Q29"/>
      <c r="R29"/>
      <c r="S29"/>
      <c r="T29" s="98">
        <v>51.07</v>
      </c>
      <c r="U29" s="98"/>
      <c r="V29" s="98"/>
      <c r="W29" s="98">
        <v>20.11</v>
      </c>
      <c r="AA29" s="84" t="s">
        <v>60</v>
      </c>
      <c r="AB29" s="85"/>
      <c r="AH29" s="84" t="s">
        <v>60</v>
      </c>
      <c r="AI29" s="85">
        <v>0.153</v>
      </c>
    </row>
    <row r="30" spans="1:35" ht="15" customHeight="1" x14ac:dyDescent="0.25">
      <c r="A30" s="58"/>
      <c r="B30" s="59"/>
      <c r="G30" s="97">
        <v>40</v>
      </c>
      <c r="H30" s="98">
        <v>68.09</v>
      </c>
      <c r="I30" s="99">
        <f t="shared" si="0"/>
        <v>68.09</v>
      </c>
      <c r="J30" s="98">
        <f t="shared" si="2"/>
        <v>136.18</v>
      </c>
      <c r="K30" s="99">
        <f t="shared" si="3"/>
        <v>3.4045000000000001</v>
      </c>
      <c r="L30" s="180">
        <f t="shared" si="1"/>
        <v>0.54999697314435814</v>
      </c>
      <c r="N30"/>
      <c r="P30"/>
      <c r="Q30"/>
      <c r="R30"/>
      <c r="S30"/>
      <c r="T30" s="98">
        <v>68.09</v>
      </c>
      <c r="U30" s="98"/>
      <c r="V30" s="98"/>
      <c r="W30" s="98">
        <v>25.15</v>
      </c>
      <c r="AA30" s="84" t="s">
        <v>60</v>
      </c>
      <c r="AB30" s="85"/>
      <c r="AH30" s="84" t="s">
        <v>60</v>
      </c>
      <c r="AI30" s="85">
        <v>0.15359999999999999</v>
      </c>
    </row>
    <row r="31" spans="1:35" ht="15" customHeight="1" x14ac:dyDescent="0.25">
      <c r="A31" s="58"/>
      <c r="B31" s="59"/>
      <c r="G31" s="97">
        <v>50</v>
      </c>
      <c r="H31" s="98">
        <v>85.11</v>
      </c>
      <c r="I31" s="99">
        <f t="shared" si="0"/>
        <v>85.11</v>
      </c>
      <c r="J31" s="98">
        <f t="shared" si="2"/>
        <v>170.22</v>
      </c>
      <c r="K31" s="99">
        <f t="shared" si="3"/>
        <v>3.4043999999999999</v>
      </c>
      <c r="L31" s="180">
        <f t="shared" si="1"/>
        <v>0.54998081814441258</v>
      </c>
      <c r="N31"/>
      <c r="P31"/>
      <c r="Q31"/>
      <c r="R31"/>
      <c r="S31"/>
      <c r="T31" s="98">
        <v>85.11</v>
      </c>
      <c r="U31" s="98"/>
      <c r="V31" s="98"/>
      <c r="W31" s="98">
        <v>30.19</v>
      </c>
      <c r="AA31" s="110" t="s">
        <v>60</v>
      </c>
      <c r="AB31" s="111"/>
      <c r="AH31" s="110" t="s">
        <v>60</v>
      </c>
      <c r="AI31" s="111">
        <v>0.15559999999999999</v>
      </c>
    </row>
    <row r="32" spans="1:35" ht="15" customHeight="1" x14ac:dyDescent="0.25">
      <c r="A32" s="58"/>
      <c r="B32" s="59"/>
      <c r="G32" s="97">
        <v>60</v>
      </c>
      <c r="H32" s="98">
        <v>102.13</v>
      </c>
      <c r="I32" s="99">
        <f t="shared" si="0"/>
        <v>102.13</v>
      </c>
      <c r="J32" s="98">
        <f t="shared" si="2"/>
        <v>204.26</v>
      </c>
      <c r="K32" s="99">
        <f t="shared" si="3"/>
        <v>3.4043333333333332</v>
      </c>
      <c r="L32" s="180">
        <f t="shared" si="1"/>
        <v>0.54997004814444894</v>
      </c>
      <c r="N32"/>
      <c r="P32"/>
      <c r="Q32"/>
      <c r="R32"/>
      <c r="S32"/>
      <c r="T32" s="98">
        <v>102.13</v>
      </c>
      <c r="U32" s="98"/>
      <c r="V32" s="98"/>
      <c r="W32" s="98">
        <v>35.200000000000003</v>
      </c>
    </row>
    <row r="33" spans="1:23" ht="15" customHeight="1" x14ac:dyDescent="0.25">
      <c r="A33" s="58"/>
      <c r="B33" s="62" t="s">
        <v>71</v>
      </c>
      <c r="C33" s="63"/>
      <c r="D33" s="64"/>
      <c r="G33" s="105">
        <v>70</v>
      </c>
      <c r="H33" s="106">
        <v>119.16</v>
      </c>
      <c r="I33" s="107">
        <f t="shared" si="0"/>
        <v>119.16</v>
      </c>
      <c r="J33" s="106">
        <f t="shared" si="2"/>
        <v>238.32</v>
      </c>
      <c r="K33" s="107">
        <f t="shared" si="3"/>
        <v>3.4045714285714284</v>
      </c>
      <c r="L33" s="181">
        <f t="shared" si="1"/>
        <v>0.55000851243003335</v>
      </c>
      <c r="N33"/>
      <c r="P33"/>
      <c r="Q33"/>
      <c r="R33"/>
      <c r="S33"/>
      <c r="T33" s="106">
        <v>119.16</v>
      </c>
      <c r="U33" s="106"/>
      <c r="V33" s="106"/>
      <c r="W33" s="106">
        <v>40.17</v>
      </c>
    </row>
    <row r="34" spans="1:23" ht="15" customHeight="1" x14ac:dyDescent="0.25">
      <c r="A34" s="58"/>
    </row>
    <row r="35" spans="1:23" ht="15" customHeight="1" x14ac:dyDescent="0.25">
      <c r="A35" s="58"/>
      <c r="B35" s="59"/>
      <c r="C35" s="112" t="s">
        <v>43</v>
      </c>
      <c r="D35" s="65" t="s">
        <v>74</v>
      </c>
    </row>
    <row r="36" spans="1:23" ht="15" customHeight="1" x14ac:dyDescent="0.25"/>
    <row r="37" spans="1:23" ht="15" customHeight="1" x14ac:dyDescent="0.25">
      <c r="B37" s="113" t="s">
        <v>14</v>
      </c>
      <c r="C37" s="63"/>
      <c r="D37" s="63"/>
      <c r="E37" s="63"/>
      <c r="F37" s="63"/>
      <c r="G37" s="63"/>
      <c r="H37" s="63"/>
      <c r="I37" s="63"/>
      <c r="J37" s="63"/>
      <c r="K37" s="63"/>
      <c r="L37" s="64"/>
    </row>
    <row r="38" spans="1:23" ht="15" customHeight="1" x14ac:dyDescent="0.25">
      <c r="B38" s="66" t="s">
        <v>43</v>
      </c>
      <c r="C38" s="67" t="s">
        <v>53</v>
      </c>
    </row>
    <row r="39" spans="1:23" ht="15" customHeight="1" x14ac:dyDescent="0.25">
      <c r="B39" s="66" t="s">
        <v>44</v>
      </c>
      <c r="C39" s="67" t="s">
        <v>54</v>
      </c>
    </row>
    <row r="40" spans="1:23" ht="15" customHeight="1" x14ac:dyDescent="0.25">
      <c r="C40" s="67" t="s">
        <v>56</v>
      </c>
    </row>
    <row r="41" spans="1:23" ht="15" customHeight="1" x14ac:dyDescent="0.25">
      <c r="C41" s="67" t="s">
        <v>57</v>
      </c>
    </row>
    <row r="42" spans="1:23" ht="15" customHeight="1" x14ac:dyDescent="0.25">
      <c r="B42" s="66" t="s">
        <v>45</v>
      </c>
      <c r="C42" s="67" t="s">
        <v>55</v>
      </c>
    </row>
    <row r="43" spans="1:23" ht="15" customHeight="1" x14ac:dyDescent="0.25">
      <c r="B43" s="66"/>
      <c r="C43" s="67"/>
      <c r="U43" s="59" t="s">
        <v>90</v>
      </c>
    </row>
    <row r="44" spans="1:23" ht="15" customHeight="1" x14ac:dyDescent="0.25">
      <c r="B44" s="66"/>
      <c r="C44" s="67"/>
    </row>
    <row r="45" spans="1:23" ht="15" customHeight="1" x14ac:dyDescent="0.25">
      <c r="B45" s="66"/>
      <c r="C45" s="67"/>
      <c r="G45"/>
      <c r="H45"/>
      <c r="I45"/>
      <c r="J45"/>
    </row>
    <row r="46" spans="1:23" ht="15" customHeight="1" x14ac:dyDescent="0.25">
      <c r="B46" s="66"/>
      <c r="C46" s="67"/>
      <c r="G46"/>
      <c r="H46"/>
      <c r="I46"/>
      <c r="J46"/>
      <c r="R46" s="58" t="s">
        <v>92</v>
      </c>
    </row>
    <row r="47" spans="1:23" ht="15" customHeight="1" x14ac:dyDescent="0.25">
      <c r="B47" s="66"/>
      <c r="C47" s="67"/>
      <c r="G47"/>
      <c r="H47"/>
      <c r="I47"/>
      <c r="J47"/>
      <c r="R47" s="58" t="s">
        <v>93</v>
      </c>
    </row>
    <row r="48" spans="1:23" ht="15" customHeight="1" x14ac:dyDescent="0.25">
      <c r="B48" s="115"/>
      <c r="G48"/>
      <c r="H48"/>
      <c r="I48"/>
      <c r="J48"/>
    </row>
    <row r="49" spans="2:29" ht="15" customHeight="1" x14ac:dyDescent="0.25">
      <c r="B49" s="62" t="s">
        <v>139</v>
      </c>
      <c r="C49" s="63"/>
      <c r="D49" s="63"/>
      <c r="E49" s="64"/>
      <c r="I49" s="58" t="s">
        <v>112</v>
      </c>
      <c r="K49" s="58" t="s">
        <v>83</v>
      </c>
      <c r="O49" s="116"/>
      <c r="AA49" s="70" t="s">
        <v>63</v>
      </c>
      <c r="AB49" s="61"/>
      <c r="AC49" s="69"/>
    </row>
    <row r="50" spans="2:29" ht="15" customHeight="1" x14ac:dyDescent="0.25">
      <c r="B50" s="117"/>
      <c r="I50" s="58" t="s">
        <v>113</v>
      </c>
      <c r="K50" s="58" t="s">
        <v>84</v>
      </c>
      <c r="AC50" s="58"/>
    </row>
    <row r="51" spans="2:29" ht="15" customHeight="1" x14ac:dyDescent="0.25">
      <c r="B51" s="77" t="s">
        <v>15</v>
      </c>
      <c r="C51" s="78"/>
      <c r="D51" s="79"/>
      <c r="F51" s="171"/>
      <c r="G51" s="172"/>
      <c r="H51"/>
      <c r="I51" s="118" t="s">
        <v>76</v>
      </c>
      <c r="J51" s="119"/>
      <c r="K51" s="118" t="s">
        <v>81</v>
      </c>
      <c r="L51" s="120"/>
      <c r="M51" s="120"/>
      <c r="O51" s="187" t="s">
        <v>97</v>
      </c>
      <c r="P51"/>
      <c r="Q51"/>
      <c r="R51"/>
      <c r="S51"/>
      <c r="T51"/>
      <c r="U51"/>
      <c r="V51"/>
      <c r="AB51" s="68" t="s">
        <v>72</v>
      </c>
    </row>
    <row r="52" spans="2:29" ht="15" customHeight="1" x14ac:dyDescent="0.25">
      <c r="B52" s="86" t="s">
        <v>61</v>
      </c>
      <c r="C52" s="87" t="s">
        <v>19</v>
      </c>
      <c r="D52" s="88">
        <v>0.9</v>
      </c>
      <c r="F52" s="173" t="s">
        <v>35</v>
      </c>
      <c r="G52" s="174" t="s">
        <v>58</v>
      </c>
      <c r="H52"/>
      <c r="I52" s="125" t="s">
        <v>80</v>
      </c>
      <c r="J52" s="126"/>
      <c r="K52" s="127" t="s">
        <v>82</v>
      </c>
      <c r="L52" s="128"/>
      <c r="M52" s="186" t="s">
        <v>136</v>
      </c>
      <c r="O52" s="188" t="s">
        <v>41</v>
      </c>
      <c r="P52"/>
      <c r="Q52"/>
      <c r="R52" s="192" t="s">
        <v>140</v>
      </c>
      <c r="S52" s="192" t="s">
        <v>140</v>
      </c>
      <c r="T52"/>
      <c r="U52" s="192" t="s">
        <v>141</v>
      </c>
      <c r="V52" s="192" t="s">
        <v>141</v>
      </c>
    </row>
    <row r="53" spans="2:29" ht="15" customHeight="1" x14ac:dyDescent="0.25">
      <c r="B53" s="86" t="s">
        <v>62</v>
      </c>
      <c r="C53" s="87" t="s">
        <v>20</v>
      </c>
      <c r="D53" s="96">
        <v>0.96</v>
      </c>
      <c r="F53" s="163"/>
      <c r="G53" s="164"/>
      <c r="H53"/>
      <c r="I53" s="130" t="s">
        <v>24</v>
      </c>
      <c r="J53" s="175" t="s">
        <v>26</v>
      </c>
      <c r="K53" s="130" t="s">
        <v>30</v>
      </c>
      <c r="L53" s="134" t="s">
        <v>32</v>
      </c>
      <c r="M53" s="134" t="s">
        <v>32</v>
      </c>
      <c r="O53" s="131" t="s">
        <v>98</v>
      </c>
      <c r="P53"/>
      <c r="Q53"/>
      <c r="R53" s="2">
        <v>0.96</v>
      </c>
      <c r="S53" s="2">
        <v>1.08</v>
      </c>
      <c r="T53"/>
      <c r="U53" s="2">
        <v>0.96</v>
      </c>
      <c r="V53" s="2">
        <v>1.08</v>
      </c>
    </row>
    <row r="54" spans="2:29" ht="15" customHeight="1" x14ac:dyDescent="0.25">
      <c r="B54" s="102" t="s">
        <v>59</v>
      </c>
      <c r="C54" s="103" t="s">
        <v>28</v>
      </c>
      <c r="D54" s="104">
        <v>85</v>
      </c>
      <c r="F54" s="165"/>
      <c r="G54" s="166"/>
      <c r="H54"/>
      <c r="I54" s="135" t="s">
        <v>25</v>
      </c>
      <c r="J54" s="136" t="s">
        <v>27</v>
      </c>
      <c r="K54" s="135" t="s">
        <v>31</v>
      </c>
      <c r="L54" s="185" t="s">
        <v>33</v>
      </c>
      <c r="M54" s="185" t="s">
        <v>33</v>
      </c>
      <c r="O54" s="184">
        <f>I21</f>
        <v>0</v>
      </c>
      <c r="P54"/>
      <c r="Q54"/>
      <c r="R54"/>
      <c r="S54"/>
      <c r="T54"/>
      <c r="U54"/>
      <c r="V54"/>
      <c r="W54" s="194" t="s">
        <v>142</v>
      </c>
      <c r="AA54" s="71" t="s">
        <v>36</v>
      </c>
      <c r="AB54" s="72"/>
    </row>
    <row r="55" spans="2:29" ht="15" customHeight="1" x14ac:dyDescent="0.25">
      <c r="F55" s="143">
        <v>1</v>
      </c>
      <c r="G55" s="167">
        <f t="shared" ref="G55:G66" si="4">L22</f>
        <v>0.54926999814681077</v>
      </c>
      <c r="H55"/>
      <c r="I55" s="141">
        <f>D53*2.20462*25.4*12</f>
        <v>645.0894489599998</v>
      </c>
      <c r="J55" s="142">
        <f t="shared" ref="J55:J66" si="5">($G55*$D$52*SQRT(4*$D$54*$I$55/32.2)/12)</f>
        <v>3.3999194919039724</v>
      </c>
      <c r="K55" s="143">
        <v>1</v>
      </c>
      <c r="L55" s="145">
        <f t="shared" ref="L55:L66" si="6">K55*J55</f>
        <v>3.3999194919039724</v>
      </c>
      <c r="M55" s="144">
        <f>L55/2</f>
        <v>1.6999597459519862</v>
      </c>
      <c r="O55" s="144">
        <f>M55+O$54</f>
        <v>1.6999597459519862</v>
      </c>
      <c r="P55"/>
      <c r="Q55"/>
      <c r="R55" s="144">
        <v>1.6999597459519862</v>
      </c>
      <c r="S55" s="144">
        <v>1.8030795961602155</v>
      </c>
      <c r="T55"/>
      <c r="U55" s="144">
        <v>1.6999597459519862</v>
      </c>
      <c r="V55" s="144">
        <v>2.3181905169694499</v>
      </c>
      <c r="W55" s="193">
        <f>V55/U55</f>
        <v>1.3636737707993498</v>
      </c>
      <c r="AA55" s="75" t="s">
        <v>60</v>
      </c>
      <c r="AB55" s="146">
        <v>0.8723699970566996</v>
      </c>
    </row>
    <row r="56" spans="2:29" ht="15" customHeight="1" x14ac:dyDescent="0.25">
      <c r="F56" s="147">
        <v>2</v>
      </c>
      <c r="G56" s="168">
        <f t="shared" si="4"/>
        <v>0.54926999814681077</v>
      </c>
      <c r="I56" s="147"/>
      <c r="J56" s="148">
        <f t="shared" si="5"/>
        <v>3.3999194919039724</v>
      </c>
      <c r="K56" s="147">
        <v>2</v>
      </c>
      <c r="L56" s="150">
        <f t="shared" si="6"/>
        <v>6.7998389838079447</v>
      </c>
      <c r="M56" s="149">
        <f t="shared" ref="M56:M66" si="7">L56/2</f>
        <v>3.3999194919039724</v>
      </c>
      <c r="O56" s="149">
        <f t="shared" ref="O56:O66" si="8">M56+O$54</f>
        <v>3.3999194919039724</v>
      </c>
      <c r="P56"/>
      <c r="Q56"/>
      <c r="R56" s="149">
        <v>3.3999194919039724</v>
      </c>
      <c r="S56" s="149">
        <v>3.606159192320431</v>
      </c>
      <c r="T56"/>
      <c r="U56" s="149">
        <v>3.3999194919039724</v>
      </c>
      <c r="V56" s="149">
        <v>3.4848890791907658</v>
      </c>
      <c r="W56" s="193">
        <f t="shared" ref="W56:W66" si="9">V56/U56</f>
        <v>1.0249916468578526</v>
      </c>
      <c r="AA56" s="84" t="s">
        <v>60</v>
      </c>
      <c r="AB56" s="151">
        <v>0.54280799816861303</v>
      </c>
    </row>
    <row r="57" spans="2:29" ht="15" customHeight="1" x14ac:dyDescent="0.25">
      <c r="F57" s="152">
        <v>3</v>
      </c>
      <c r="G57" s="169">
        <f t="shared" si="4"/>
        <v>0.55034699814317722</v>
      </c>
      <c r="I57" s="147"/>
      <c r="J57" s="153">
        <f t="shared" si="5"/>
        <v>3.4065860007116284</v>
      </c>
      <c r="K57" s="152">
        <v>3</v>
      </c>
      <c r="L57" s="155">
        <f t="shared" si="6"/>
        <v>10.219758002134885</v>
      </c>
      <c r="M57" s="154">
        <f t="shared" si="7"/>
        <v>5.1098790010674424</v>
      </c>
      <c r="O57" s="154">
        <f t="shared" si="8"/>
        <v>5.1098790010674424</v>
      </c>
      <c r="P57"/>
      <c r="Q57"/>
      <c r="R57" s="154">
        <v>5.1098790010674424</v>
      </c>
      <c r="S57" s="154">
        <v>5.4198451390462967</v>
      </c>
      <c r="T57"/>
      <c r="U57" s="154">
        <v>5.1098790010674424</v>
      </c>
      <c r="V57" s="154">
        <v>5.2985750259166302</v>
      </c>
      <c r="W57" s="193">
        <f t="shared" si="9"/>
        <v>1.0369276894442647</v>
      </c>
      <c r="AA57" s="94" t="s">
        <v>60</v>
      </c>
      <c r="AB57" s="156">
        <v>0.46310999843750716</v>
      </c>
    </row>
    <row r="58" spans="2:29" ht="15" customHeight="1" x14ac:dyDescent="0.25">
      <c r="F58" s="147">
        <v>4</v>
      </c>
      <c r="G58" s="168">
        <f t="shared" si="4"/>
        <v>0.5500777481440855</v>
      </c>
      <c r="I58" s="147"/>
      <c r="J58" s="148">
        <f t="shared" si="5"/>
        <v>3.4049193735097134</v>
      </c>
      <c r="K58" s="147">
        <v>4</v>
      </c>
      <c r="L58" s="150">
        <f t="shared" si="6"/>
        <v>13.619677494038854</v>
      </c>
      <c r="M58" s="149">
        <f t="shared" si="7"/>
        <v>6.8098387470194268</v>
      </c>
      <c r="O58" s="149">
        <f t="shared" si="8"/>
        <v>6.8098387470194268</v>
      </c>
      <c r="P58"/>
      <c r="Q58"/>
      <c r="R58" s="149">
        <v>6.8098387470194268</v>
      </c>
      <c r="S58" s="149">
        <v>7.2229247352065107</v>
      </c>
      <c r="T58"/>
      <c r="U58" s="149">
        <v>6.8098387470194268</v>
      </c>
      <c r="V58" s="149">
        <v>7.1016546220768451</v>
      </c>
      <c r="W58" s="193">
        <f t="shared" si="9"/>
        <v>1.0428520976631264</v>
      </c>
      <c r="AA58" s="84" t="s">
        <v>60</v>
      </c>
      <c r="AB58" s="151">
        <v>0.40387499863736087</v>
      </c>
    </row>
    <row r="59" spans="2:29" ht="15" customHeight="1" x14ac:dyDescent="0.25">
      <c r="F59" s="147">
        <v>5</v>
      </c>
      <c r="G59" s="168">
        <f t="shared" si="4"/>
        <v>0.54991619814463055</v>
      </c>
      <c r="I59" s="147"/>
      <c r="J59" s="148">
        <f t="shared" si="5"/>
        <v>3.4039193971885653</v>
      </c>
      <c r="K59" s="147">
        <v>5</v>
      </c>
      <c r="L59" s="150">
        <f t="shared" si="6"/>
        <v>17.019596985942826</v>
      </c>
      <c r="M59" s="149">
        <f t="shared" si="7"/>
        <v>8.509798492971413</v>
      </c>
      <c r="O59" s="149">
        <f t="shared" si="8"/>
        <v>8.509798492971413</v>
      </c>
      <c r="P59"/>
      <c r="Q59"/>
      <c r="R59" s="149">
        <v>8.509798492971413</v>
      </c>
      <c r="S59" s="149">
        <v>9.0260043313667246</v>
      </c>
      <c r="T59"/>
      <c r="U59" s="149">
        <v>8.509798492971413</v>
      </c>
      <c r="V59" s="149">
        <v>8.9047342182370617</v>
      </c>
      <c r="W59" s="193">
        <f t="shared" si="9"/>
        <v>1.0464095272751572</v>
      </c>
      <c r="AA59" s="84" t="s">
        <v>60</v>
      </c>
      <c r="AB59" s="151">
        <v>0.35540999880087765</v>
      </c>
    </row>
    <row r="60" spans="2:29" ht="15" customHeight="1" x14ac:dyDescent="0.25">
      <c r="F60" s="152">
        <v>10</v>
      </c>
      <c r="G60" s="169">
        <f t="shared" si="4"/>
        <v>0.54991619814463055</v>
      </c>
      <c r="I60" s="147"/>
      <c r="J60" s="153">
        <f t="shared" si="5"/>
        <v>3.4039193971885653</v>
      </c>
      <c r="K60" s="152">
        <v>10</v>
      </c>
      <c r="L60" s="155">
        <f t="shared" si="6"/>
        <v>34.039193971885652</v>
      </c>
      <c r="M60" s="154">
        <f t="shared" si="7"/>
        <v>17.019596985942826</v>
      </c>
      <c r="O60" s="154">
        <f t="shared" si="8"/>
        <v>17.019596985942826</v>
      </c>
      <c r="P60"/>
      <c r="Q60"/>
      <c r="R60" s="154">
        <v>17.019596985942826</v>
      </c>
      <c r="S60" s="154">
        <v>18.052008662733449</v>
      </c>
      <c r="T60"/>
      <c r="U60" s="154">
        <v>17.019596985942826</v>
      </c>
      <c r="V60" s="154">
        <v>17.930738549603788</v>
      </c>
      <c r="W60" s="193">
        <f t="shared" si="9"/>
        <v>1.0535348495274894</v>
      </c>
      <c r="AA60" s="94" t="s">
        <v>60</v>
      </c>
      <c r="AB60" s="156">
        <v>0.24878699916061431</v>
      </c>
    </row>
    <row r="61" spans="2:29" ht="15" customHeight="1" x14ac:dyDescent="0.25">
      <c r="F61" s="147">
        <v>20</v>
      </c>
      <c r="G61" s="168">
        <f t="shared" si="4"/>
        <v>0.54991619814463055</v>
      </c>
      <c r="I61" s="147"/>
      <c r="J61" s="148">
        <f t="shared" si="5"/>
        <v>3.4039193971885653</v>
      </c>
      <c r="K61" s="147">
        <v>20</v>
      </c>
      <c r="L61" s="150">
        <f t="shared" si="6"/>
        <v>68.078387943771304</v>
      </c>
      <c r="M61" s="149">
        <f t="shared" si="7"/>
        <v>34.039193971885652</v>
      </c>
      <c r="O61" s="149">
        <f t="shared" si="8"/>
        <v>34.039193971885652</v>
      </c>
      <c r="P61"/>
      <c r="Q61"/>
      <c r="R61" s="149">
        <v>34.039193971885652</v>
      </c>
      <c r="S61" s="149">
        <v>36.104017325466899</v>
      </c>
      <c r="T61"/>
      <c r="U61" s="149">
        <v>34.039193971885652</v>
      </c>
      <c r="V61" s="149">
        <v>35.982747212337244</v>
      </c>
      <c r="W61" s="193">
        <f t="shared" si="9"/>
        <v>1.0570975106536558</v>
      </c>
      <c r="AA61" s="84" t="s">
        <v>60</v>
      </c>
      <c r="AB61" s="151">
        <v>0.17932049939498823</v>
      </c>
    </row>
    <row r="62" spans="2:29" ht="15" customHeight="1" x14ac:dyDescent="0.25">
      <c r="F62" s="147">
        <v>30</v>
      </c>
      <c r="G62" s="168">
        <f t="shared" si="4"/>
        <v>0.55002389814426722</v>
      </c>
      <c r="I62" s="147"/>
      <c r="J62" s="148">
        <f t="shared" si="5"/>
        <v>3.4045860480693313</v>
      </c>
      <c r="K62" s="147">
        <v>30</v>
      </c>
      <c r="L62" s="150">
        <f t="shared" si="6"/>
        <v>102.13758144207993</v>
      </c>
      <c r="M62" s="149">
        <f t="shared" si="7"/>
        <v>51.068790721039967</v>
      </c>
      <c r="O62" s="149">
        <f t="shared" si="8"/>
        <v>51.068790721039967</v>
      </c>
      <c r="P62"/>
      <c r="Q62"/>
      <c r="R62" s="149">
        <v>51.068790721039967</v>
      </c>
      <c r="S62" s="149">
        <v>54.166632338766007</v>
      </c>
      <c r="T62"/>
      <c r="U62" s="149">
        <v>51.068790721039967</v>
      </c>
      <c r="V62" s="149">
        <v>54.045362225636339</v>
      </c>
      <c r="W62" s="193">
        <f t="shared" si="9"/>
        <v>1.0582855294313842</v>
      </c>
      <c r="AA62" s="84" t="s">
        <v>60</v>
      </c>
      <c r="AB62" s="151">
        <v>0.16262699945131065</v>
      </c>
    </row>
    <row r="63" spans="2:29" ht="15" customHeight="1" x14ac:dyDescent="0.25">
      <c r="F63" s="147">
        <v>40</v>
      </c>
      <c r="G63" s="168">
        <f t="shared" si="4"/>
        <v>0.54999697314435814</v>
      </c>
      <c r="I63" s="147"/>
      <c r="J63" s="148">
        <f t="shared" si="5"/>
        <v>3.40441938534914</v>
      </c>
      <c r="K63" s="147">
        <v>40</v>
      </c>
      <c r="L63" s="150">
        <f t="shared" si="6"/>
        <v>136.1767754139656</v>
      </c>
      <c r="M63" s="149">
        <f t="shared" si="7"/>
        <v>68.0883877069828</v>
      </c>
      <c r="O63" s="149">
        <f t="shared" si="8"/>
        <v>68.0883877069828</v>
      </c>
      <c r="P63"/>
      <c r="Q63"/>
      <c r="R63" s="149">
        <v>68.0883877069828</v>
      </c>
      <c r="S63" s="149">
        <v>72.218641001499464</v>
      </c>
      <c r="T63"/>
      <c r="U63" s="149">
        <v>68.0883877069828</v>
      </c>
      <c r="V63" s="149">
        <v>72.097370888369795</v>
      </c>
      <c r="W63" s="193">
        <f t="shared" si="9"/>
        <v>1.0588791028308613</v>
      </c>
      <c r="AA63" s="84" t="s">
        <v>60</v>
      </c>
      <c r="AB63" s="151">
        <v>0.15589574947402132</v>
      </c>
    </row>
    <row r="64" spans="2:29" ht="15" customHeight="1" x14ac:dyDescent="0.25">
      <c r="F64" s="147">
        <v>50</v>
      </c>
      <c r="G64" s="168">
        <f t="shared" si="4"/>
        <v>0.54998081814441258</v>
      </c>
      <c r="I64" s="147"/>
      <c r="J64" s="148">
        <f t="shared" si="5"/>
        <v>3.4043193877170252</v>
      </c>
      <c r="K64" s="147">
        <v>50</v>
      </c>
      <c r="L64" s="150">
        <f t="shared" si="6"/>
        <v>170.21596938585125</v>
      </c>
      <c r="M64" s="149">
        <f t="shared" si="7"/>
        <v>85.107984692925626</v>
      </c>
      <c r="O64" s="149">
        <f t="shared" si="8"/>
        <v>85.107984692925626</v>
      </c>
      <c r="P64"/>
      <c r="Q64"/>
      <c r="R64" s="149">
        <v>85.107984692925626</v>
      </c>
      <c r="S64" s="149">
        <v>90.27064966423292</v>
      </c>
      <c r="T64"/>
      <c r="U64" s="149">
        <v>85.107984692925626</v>
      </c>
      <c r="V64" s="149">
        <v>90.149379551103237</v>
      </c>
      <c r="W64" s="193">
        <f t="shared" si="9"/>
        <v>1.0592352747673117</v>
      </c>
      <c r="AA64" s="84" t="s">
        <v>60</v>
      </c>
      <c r="AB64" s="151">
        <v>0.15573419947456638</v>
      </c>
    </row>
    <row r="65" spans="1:28" ht="15" customHeight="1" x14ac:dyDescent="0.25">
      <c r="F65" s="147">
        <v>60</v>
      </c>
      <c r="G65" s="168">
        <f t="shared" si="4"/>
        <v>0.54997004814444894</v>
      </c>
      <c r="I65" s="147"/>
      <c r="J65" s="148">
        <f t="shared" si="5"/>
        <v>3.4042527226289487</v>
      </c>
      <c r="K65" s="147">
        <v>60</v>
      </c>
      <c r="L65" s="150">
        <f t="shared" si="6"/>
        <v>204.25516335773693</v>
      </c>
      <c r="M65" s="149">
        <f t="shared" si="7"/>
        <v>102.12758167886847</v>
      </c>
      <c r="O65" s="149">
        <f t="shared" si="8"/>
        <v>102.12758167886847</v>
      </c>
      <c r="P65"/>
      <c r="Q65"/>
      <c r="R65" s="149">
        <v>102.12758167886847</v>
      </c>
      <c r="S65" s="149">
        <v>108.32265832696636</v>
      </c>
      <c r="T65"/>
      <c r="U65" s="149">
        <v>102.12758167886847</v>
      </c>
      <c r="V65" s="149">
        <v>108.20138821383669</v>
      </c>
      <c r="W65" s="193">
        <f t="shared" si="9"/>
        <v>1.0594727343497352</v>
      </c>
      <c r="AA65" s="84" t="s">
        <v>60</v>
      </c>
      <c r="AB65" s="151">
        <v>0.15885749946402863</v>
      </c>
    </row>
    <row r="66" spans="1:28" ht="15" customHeight="1" x14ac:dyDescent="0.25">
      <c r="F66" s="157">
        <v>70</v>
      </c>
      <c r="G66" s="170">
        <f t="shared" si="4"/>
        <v>0.55000851243003335</v>
      </c>
      <c r="I66" s="176"/>
      <c r="J66" s="158">
        <f t="shared" si="5"/>
        <v>3.4044908122292217</v>
      </c>
      <c r="K66" s="157">
        <v>70</v>
      </c>
      <c r="L66" s="160">
        <f t="shared" si="6"/>
        <v>238.31435685604552</v>
      </c>
      <c r="M66" s="159">
        <f t="shared" si="7"/>
        <v>119.15717842802276</v>
      </c>
      <c r="O66" s="159">
        <f t="shared" si="8"/>
        <v>119.15717842802276</v>
      </c>
      <c r="P66"/>
      <c r="Q66"/>
      <c r="R66" s="159">
        <v>119.15717842802276</v>
      </c>
      <c r="S66" s="159">
        <v>126.38527334026546</v>
      </c>
      <c r="T66"/>
      <c r="U66" s="159">
        <v>119.15717842802276</v>
      </c>
      <c r="V66" s="159">
        <v>126.26400322713579</v>
      </c>
      <c r="W66" s="193">
        <f t="shared" si="9"/>
        <v>1.0596424394473718</v>
      </c>
      <c r="AA66" s="110" t="s">
        <v>60</v>
      </c>
      <c r="AB66" s="161">
        <v>0.16062685660091611</v>
      </c>
    </row>
    <row r="67" spans="1:28" ht="15" customHeight="1" x14ac:dyDescent="0.25"/>
    <row r="68" spans="1:28" ht="1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28" ht="1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R69" s="97"/>
      <c r="S69" s="97"/>
    </row>
    <row r="70" spans="1:28" ht="1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R70" s="68"/>
      <c r="S70" s="68"/>
    </row>
    <row r="71" spans="1:28" ht="1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78"/>
      <c r="R71" s="177"/>
      <c r="S71" s="177"/>
    </row>
    <row r="72" spans="1:28" ht="1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78"/>
      <c r="R72" s="177"/>
      <c r="S72" s="177"/>
    </row>
    <row r="73" spans="1:28" ht="1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78"/>
      <c r="R73" s="177"/>
      <c r="S73" s="177"/>
    </row>
    <row r="74" spans="1:28" ht="1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78"/>
      <c r="R74" s="177"/>
      <c r="S74" s="177"/>
    </row>
    <row r="75" spans="1:28" ht="1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78"/>
      <c r="R75" s="177"/>
      <c r="S75" s="177"/>
    </row>
    <row r="76" spans="1:28" ht="1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78"/>
      <c r="R76" s="177"/>
      <c r="S76" s="177"/>
    </row>
    <row r="77" spans="1:28" ht="1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78"/>
      <c r="R77" s="177"/>
      <c r="S77" s="177"/>
    </row>
    <row r="78" spans="1:28" ht="1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78"/>
      <c r="R78" s="177"/>
      <c r="S78" s="177"/>
    </row>
    <row r="79" spans="1:28" ht="1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78"/>
      <c r="R79" s="177"/>
      <c r="S79" s="177"/>
    </row>
    <row r="80" spans="1:28" ht="1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78"/>
      <c r="R80" s="177"/>
      <c r="S80" s="177"/>
    </row>
    <row r="81" spans="1:19" ht="1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78"/>
      <c r="R81" s="177"/>
      <c r="S81" s="177"/>
    </row>
    <row r="82" spans="1:19" ht="1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78"/>
      <c r="R82" s="177"/>
      <c r="S82" s="177"/>
    </row>
    <row r="83" spans="1:19" ht="1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9" ht="15" customHeight="1" x14ac:dyDescent="0.25"/>
    <row r="85" spans="1:19" ht="15" customHeight="1" x14ac:dyDescent="0.25"/>
    <row r="86" spans="1:19" ht="15" customHeight="1" x14ac:dyDescent="0.25"/>
    <row r="87" spans="1:19" ht="15" customHeight="1" x14ac:dyDescent="0.25"/>
    <row r="88" spans="1:19" ht="15" customHeight="1" x14ac:dyDescent="0.25"/>
    <row r="89" spans="1:19" ht="15" customHeight="1" x14ac:dyDescent="0.25"/>
    <row r="90" spans="1:19" ht="15" customHeight="1" x14ac:dyDescent="0.25"/>
    <row r="91" spans="1:19" ht="15" customHeight="1" x14ac:dyDescent="0.25"/>
    <row r="92" spans="1:19" ht="15" customHeight="1" x14ac:dyDescent="0.25"/>
    <row r="93" spans="1:19" ht="15" customHeight="1" x14ac:dyDescent="0.25"/>
    <row r="94" spans="1:19" ht="15" customHeight="1" x14ac:dyDescent="0.25"/>
    <row r="95" spans="1:19" ht="15" customHeight="1" x14ac:dyDescent="0.25"/>
    <row r="96" spans="1:19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</sheetData>
  <pageMargins left="0.2" right="0.2" top="0.5" bottom="0.5" header="0.3" footer="0.3"/>
  <pageSetup scale="9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 codeName="Sheet3">
    <pageSetUpPr fitToPage="1"/>
  </sheetPr>
  <dimension ref="A1:T170"/>
  <sheetViews>
    <sheetView showGridLines="0" topLeftCell="A25" zoomScale="90" zoomScaleNormal="90" workbookViewId="0">
      <selection activeCell="I30" sqref="I30"/>
    </sheetView>
  </sheetViews>
  <sheetFormatPr defaultRowHeight="12.75" x14ac:dyDescent="0.2"/>
  <cols>
    <col min="3" max="3" width="9.140625" customWidth="1"/>
    <col min="7" max="7" width="5.7109375" customWidth="1"/>
    <col min="9" max="9" width="9.140625" customWidth="1"/>
    <col min="11" max="12" width="9.140625" customWidth="1"/>
    <col min="13" max="13" width="5.7109375" customWidth="1"/>
    <col min="15" max="15" width="9.140625" customWidth="1"/>
    <col min="20" max="20" width="5.7109375" customWidth="1"/>
  </cols>
  <sheetData>
    <row r="1" spans="1:20" ht="15" customHeight="1" x14ac:dyDescent="0.2">
      <c r="K1" t="s">
        <v>39</v>
      </c>
      <c r="T1" s="51" t="s">
        <v>49</v>
      </c>
    </row>
    <row r="2" spans="1:20" ht="15" customHeight="1" x14ac:dyDescent="0.2">
      <c r="A2" t="s">
        <v>13</v>
      </c>
      <c r="B2" s="11" t="s">
        <v>12</v>
      </c>
    </row>
    <row r="3" spans="1:20" ht="15" customHeight="1" x14ac:dyDescent="0.2">
      <c r="B3" s="11" t="s">
        <v>7</v>
      </c>
    </row>
    <row r="4" spans="1:20" ht="15" customHeight="1" x14ac:dyDescent="0.2"/>
    <row r="5" spans="1:20" ht="15" customHeight="1" x14ac:dyDescent="0.2">
      <c r="I5" t="s">
        <v>8</v>
      </c>
    </row>
    <row r="6" spans="1:20" ht="15" customHeight="1" x14ac:dyDescent="0.2">
      <c r="B6" s="3">
        <v>2.46</v>
      </c>
      <c r="C6" s="1" t="s">
        <v>6</v>
      </c>
      <c r="E6" s="3"/>
      <c r="I6" s="3">
        <v>2.46</v>
      </c>
      <c r="J6" s="1" t="s">
        <v>6</v>
      </c>
    </row>
    <row r="7" spans="1:20" ht="15" customHeight="1" x14ac:dyDescent="0.2">
      <c r="B7" s="3">
        <v>4.5</v>
      </c>
      <c r="C7" t="s">
        <v>0</v>
      </c>
      <c r="I7" s="3">
        <v>4.5</v>
      </c>
      <c r="J7" t="s">
        <v>0</v>
      </c>
    </row>
    <row r="8" spans="1:20" ht="15" customHeight="1" x14ac:dyDescent="0.2">
      <c r="B8" s="3">
        <v>85</v>
      </c>
      <c r="C8" s="1" t="s">
        <v>1</v>
      </c>
      <c r="I8" s="3">
        <v>85</v>
      </c>
      <c r="J8" s="1" t="s">
        <v>1</v>
      </c>
    </row>
    <row r="9" spans="1:20" ht="15" customHeight="1" x14ac:dyDescent="0.2">
      <c r="B9" s="3"/>
      <c r="C9" s="1"/>
      <c r="I9" s="14">
        <v>0.7</v>
      </c>
      <c r="J9" s="1" t="s">
        <v>9</v>
      </c>
    </row>
    <row r="10" spans="1:20" ht="15" customHeight="1" x14ac:dyDescent="0.2">
      <c r="F10" t="s">
        <v>10</v>
      </c>
      <c r="L10" t="s">
        <v>11</v>
      </c>
    </row>
    <row r="11" spans="1:20" ht="15" customHeight="1" x14ac:dyDescent="0.2">
      <c r="B11" s="4" t="s">
        <v>2</v>
      </c>
      <c r="C11" s="4" t="s">
        <v>3</v>
      </c>
      <c r="D11" s="5" t="s">
        <v>5</v>
      </c>
      <c r="E11" s="4" t="s">
        <v>4</v>
      </c>
      <c r="I11" s="4" t="s">
        <v>2</v>
      </c>
      <c r="J11" s="5" t="s">
        <v>5</v>
      </c>
      <c r="K11" s="4" t="s">
        <v>3</v>
      </c>
    </row>
    <row r="12" spans="1:20" ht="15" customHeight="1" x14ac:dyDescent="0.2">
      <c r="B12" s="2">
        <v>1</v>
      </c>
      <c r="C12" s="7">
        <v>-4.4000000000000004</v>
      </c>
      <c r="D12" s="12">
        <f>C12/B12</f>
        <v>-4.4000000000000004</v>
      </c>
      <c r="E12" s="9">
        <f>SQRT(12*32.2*D12^2/(4*$B$8*($B$7*56)*$B$6^2))</f>
        <v>0.12011476593972951</v>
      </c>
      <c r="I12" s="2">
        <v>1</v>
      </c>
      <c r="J12" s="12">
        <f t="shared" ref="J12:J21" si="0">K12/I12</f>
        <v>-25.45</v>
      </c>
      <c r="K12" s="7">
        <v>-25.45</v>
      </c>
    </row>
    <row r="13" spans="1:20" ht="15" customHeight="1" x14ac:dyDescent="0.2">
      <c r="B13" s="6">
        <v>2</v>
      </c>
      <c r="C13" s="8">
        <f>-50.9</f>
        <v>-50.9</v>
      </c>
      <c r="D13" s="13">
        <f t="shared" ref="D13:D20" si="1">C13/B13</f>
        <v>-25.45</v>
      </c>
      <c r="E13" s="10">
        <f t="shared" ref="E13:E21" si="2">SQRT(12*32.2*D13^2/(4*$B$8*($B$7*56)*$B$6^2))</f>
        <v>0.69475472571957186</v>
      </c>
      <c r="I13" s="6">
        <v>2</v>
      </c>
      <c r="J13" s="13">
        <f t="shared" si="0"/>
        <v>-25.45</v>
      </c>
      <c r="K13" s="8">
        <f>-50.9</f>
        <v>-50.9</v>
      </c>
    </row>
    <row r="14" spans="1:20" ht="15" customHeight="1" x14ac:dyDescent="0.2">
      <c r="B14" s="2">
        <v>3</v>
      </c>
      <c r="C14" s="7">
        <v>-76.36</v>
      </c>
      <c r="D14" s="12">
        <f t="shared" si="1"/>
        <v>-25.453333333333333</v>
      </c>
      <c r="E14" s="9">
        <f t="shared" si="2"/>
        <v>0.69484572175437465</v>
      </c>
      <c r="I14" s="2">
        <v>3</v>
      </c>
      <c r="J14" s="12">
        <f t="shared" si="0"/>
        <v>-25.453333333333333</v>
      </c>
      <c r="K14" s="7">
        <v>-76.36</v>
      </c>
    </row>
    <row r="15" spans="1:20" ht="15" customHeight="1" x14ac:dyDescent="0.2">
      <c r="B15" s="2">
        <v>4</v>
      </c>
      <c r="C15" s="7">
        <v>-101.81</v>
      </c>
      <c r="D15" s="12">
        <f t="shared" si="1"/>
        <v>-25.452500000000001</v>
      </c>
      <c r="E15" s="9">
        <f t="shared" si="2"/>
        <v>0.69482297274567395</v>
      </c>
      <c r="I15" s="2">
        <v>4</v>
      </c>
      <c r="J15" s="12">
        <f t="shared" si="0"/>
        <v>-25.452500000000001</v>
      </c>
      <c r="K15" s="7">
        <v>-101.81</v>
      </c>
    </row>
    <row r="16" spans="1:20" ht="15" customHeight="1" x14ac:dyDescent="0.2">
      <c r="B16" s="6">
        <v>5</v>
      </c>
      <c r="C16" s="8">
        <v>-127.27</v>
      </c>
      <c r="D16" s="13">
        <f t="shared" si="1"/>
        <v>-25.454000000000001</v>
      </c>
      <c r="E16" s="10">
        <f t="shared" si="2"/>
        <v>0.6948639209613352</v>
      </c>
      <c r="I16" s="6">
        <v>5</v>
      </c>
      <c r="J16" s="13">
        <f t="shared" si="0"/>
        <v>-25.454000000000001</v>
      </c>
      <c r="K16" s="8">
        <v>-127.27</v>
      </c>
    </row>
    <row r="17" spans="2:12" ht="15" customHeight="1" x14ac:dyDescent="0.2">
      <c r="B17" s="2">
        <v>10</v>
      </c>
      <c r="C17" s="7">
        <v>-254.53</v>
      </c>
      <c r="D17" s="12">
        <f t="shared" si="1"/>
        <v>-25.452999999999999</v>
      </c>
      <c r="E17" s="9">
        <f t="shared" si="2"/>
        <v>0.69483662215089437</v>
      </c>
      <c r="I17" s="2">
        <v>10</v>
      </c>
      <c r="J17" s="12">
        <f t="shared" si="0"/>
        <v>-25.452999999999999</v>
      </c>
      <c r="K17" s="7">
        <v>-254.53</v>
      </c>
    </row>
    <row r="18" spans="2:12" ht="15" customHeight="1" x14ac:dyDescent="0.2">
      <c r="B18" s="2">
        <v>20</v>
      </c>
      <c r="C18" s="7">
        <v>-509.05</v>
      </c>
      <c r="D18" s="12">
        <f t="shared" si="1"/>
        <v>-25.452500000000001</v>
      </c>
      <c r="E18" s="9">
        <f t="shared" si="2"/>
        <v>0.69482297274567395</v>
      </c>
      <c r="I18" s="2">
        <v>20</v>
      </c>
      <c r="J18" s="12">
        <f t="shared" si="0"/>
        <v>-25.452500000000001</v>
      </c>
      <c r="K18" s="7">
        <v>-509.05</v>
      </c>
    </row>
    <row r="19" spans="2:12" ht="15" customHeight="1" x14ac:dyDescent="0.2">
      <c r="B19" s="2">
        <v>30</v>
      </c>
      <c r="C19" s="7">
        <v>-763.6</v>
      </c>
      <c r="D19" s="12">
        <f t="shared" si="1"/>
        <v>-25.453333333333333</v>
      </c>
      <c r="E19" s="9">
        <f t="shared" si="2"/>
        <v>0.69484572175437465</v>
      </c>
      <c r="I19" s="2">
        <v>30</v>
      </c>
      <c r="J19" s="12">
        <f t="shared" si="0"/>
        <v>-25.453333333333333</v>
      </c>
      <c r="K19" s="7">
        <v>-763.6</v>
      </c>
    </row>
    <row r="20" spans="2:12" ht="15" customHeight="1" x14ac:dyDescent="0.2">
      <c r="B20" s="6">
        <v>40</v>
      </c>
      <c r="C20" s="8">
        <v>-1018.1</v>
      </c>
      <c r="D20" s="13">
        <f t="shared" si="1"/>
        <v>-25.452500000000001</v>
      </c>
      <c r="E20" s="10">
        <f t="shared" si="2"/>
        <v>0.69482297274567395</v>
      </c>
      <c r="I20" s="6">
        <v>40</v>
      </c>
      <c r="J20" s="13">
        <f t="shared" si="0"/>
        <v>-25.452500000000001</v>
      </c>
      <c r="K20" s="8">
        <v>-1018.1</v>
      </c>
    </row>
    <row r="21" spans="2:12" ht="15" customHeight="1" x14ac:dyDescent="0.2">
      <c r="B21" s="2">
        <v>50</v>
      </c>
      <c r="C21" s="7">
        <v>-216</v>
      </c>
      <c r="D21" s="12">
        <f>C21/B21</f>
        <v>-4.32</v>
      </c>
      <c r="E21" s="9">
        <f t="shared" si="2"/>
        <v>0.11793086110446171</v>
      </c>
      <c r="I21" s="2">
        <v>50</v>
      </c>
      <c r="J21" s="12">
        <f t="shared" si="0"/>
        <v>-25.452199999999998</v>
      </c>
      <c r="K21" s="7">
        <v>-1272.6099999999999</v>
      </c>
    </row>
    <row r="22" spans="2:12" ht="15" customHeight="1" x14ac:dyDescent="0.2"/>
    <row r="23" spans="2:12" ht="15" customHeight="1" x14ac:dyDescent="0.2">
      <c r="B23" s="45" t="s">
        <v>34</v>
      </c>
    </row>
    <row r="24" spans="2:12" ht="15" customHeight="1" x14ac:dyDescent="0.2"/>
    <row r="25" spans="2:12" ht="15" customHeight="1" x14ac:dyDescent="0.2">
      <c r="B25" s="15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2:12" ht="15" customHeight="1" x14ac:dyDescent="0.2"/>
    <row r="27" spans="2:12" ht="15" customHeight="1" x14ac:dyDescent="0.2">
      <c r="B27" s="18" t="s">
        <v>15</v>
      </c>
      <c r="C27" s="19"/>
      <c r="D27" s="20"/>
      <c r="F27" s="27" t="s">
        <v>21</v>
      </c>
      <c r="G27" s="28"/>
      <c r="I27" s="30" t="s">
        <v>23</v>
      </c>
      <c r="J27" s="31"/>
      <c r="K27" s="31"/>
      <c r="L27" s="32"/>
    </row>
    <row r="28" spans="2:12" ht="15" customHeight="1" x14ac:dyDescent="0.2">
      <c r="B28" s="21" t="s">
        <v>16</v>
      </c>
      <c r="C28" s="22" t="s">
        <v>19</v>
      </c>
      <c r="D28" s="23">
        <v>2.46</v>
      </c>
      <c r="F28" s="24" t="s">
        <v>22</v>
      </c>
      <c r="G28" s="26">
        <v>0.7</v>
      </c>
      <c r="I28" s="33" t="s">
        <v>24</v>
      </c>
      <c r="J28" s="34" t="s">
        <v>26</v>
      </c>
      <c r="K28" s="19"/>
      <c r="L28" s="20"/>
    </row>
    <row r="29" spans="2:12" ht="15" customHeight="1" x14ac:dyDescent="0.2">
      <c r="B29" s="21" t="s">
        <v>17</v>
      </c>
      <c r="C29" s="22" t="s">
        <v>20</v>
      </c>
      <c r="D29" s="23">
        <v>4.5</v>
      </c>
      <c r="I29" s="35" t="s">
        <v>25</v>
      </c>
      <c r="J29" s="36" t="s">
        <v>27</v>
      </c>
      <c r="L29" s="37"/>
    </row>
    <row r="30" spans="2:12" ht="15" customHeight="1" x14ac:dyDescent="0.2">
      <c r="B30" s="24" t="s">
        <v>18</v>
      </c>
      <c r="C30" s="25" t="s">
        <v>28</v>
      </c>
      <c r="D30" s="26">
        <v>85</v>
      </c>
      <c r="I30" s="38">
        <f>D29*2.20462*25.4*12</f>
        <v>3023.8567919999996</v>
      </c>
      <c r="J30" s="39">
        <f>G28*D28*SQRT(4*D30*I30/32.2)/12</f>
        <v>25.641535784883999</v>
      </c>
      <c r="K30" s="40" t="s">
        <v>37</v>
      </c>
      <c r="L30" s="29"/>
    </row>
    <row r="31" spans="2:12" ht="15" customHeight="1" x14ac:dyDescent="0.2"/>
    <row r="32" spans="2:12" ht="15" customHeight="1" x14ac:dyDescent="0.2">
      <c r="I32" s="30" t="s">
        <v>29</v>
      </c>
      <c r="J32" s="31"/>
      <c r="K32" s="32"/>
    </row>
    <row r="33" spans="9:12" ht="15" customHeight="1" x14ac:dyDescent="0.2">
      <c r="I33" s="33" t="s">
        <v>30</v>
      </c>
      <c r="J33" s="34" t="s">
        <v>32</v>
      </c>
      <c r="K33" s="41"/>
    </row>
    <row r="34" spans="9:12" ht="15" customHeight="1" x14ac:dyDescent="0.2">
      <c r="I34" s="35" t="s">
        <v>31</v>
      </c>
      <c r="J34" s="36" t="s">
        <v>33</v>
      </c>
      <c r="K34" s="23"/>
    </row>
    <row r="35" spans="9:12" ht="15" customHeight="1" x14ac:dyDescent="0.2">
      <c r="I35" s="42">
        <v>1</v>
      </c>
      <c r="J35" s="12">
        <f>I35*J$30</f>
        <v>25.641535784883999</v>
      </c>
      <c r="K35" s="23"/>
      <c r="L35" s="47">
        <f>J35/2</f>
        <v>12.820767892441999</v>
      </c>
    </row>
    <row r="36" spans="9:12" ht="15" customHeight="1" x14ac:dyDescent="0.2">
      <c r="I36" s="44">
        <v>2</v>
      </c>
      <c r="J36" s="46">
        <f t="shared" ref="J36:J46" si="3">I36*J$30</f>
        <v>51.283071569767998</v>
      </c>
      <c r="K36" s="23"/>
      <c r="L36" s="47">
        <f t="shared" ref="L36:L46" si="4">J36/2</f>
        <v>25.641535784883999</v>
      </c>
    </row>
    <row r="37" spans="9:12" ht="15" customHeight="1" x14ac:dyDescent="0.2">
      <c r="I37" s="42">
        <v>3</v>
      </c>
      <c r="J37" s="12">
        <f t="shared" si="3"/>
        <v>76.924607354651997</v>
      </c>
      <c r="K37" s="23"/>
      <c r="L37" s="47">
        <f t="shared" si="4"/>
        <v>38.462303677325998</v>
      </c>
    </row>
    <row r="38" spans="9:12" ht="15" customHeight="1" x14ac:dyDescent="0.2">
      <c r="I38" s="42">
        <v>4</v>
      </c>
      <c r="J38" s="12">
        <f t="shared" si="3"/>
        <v>102.566143139536</v>
      </c>
      <c r="K38" s="23"/>
      <c r="L38" s="47">
        <f t="shared" si="4"/>
        <v>51.283071569767998</v>
      </c>
    </row>
    <row r="39" spans="9:12" ht="15" customHeight="1" x14ac:dyDescent="0.2">
      <c r="I39" s="44">
        <v>5</v>
      </c>
      <c r="J39" s="46">
        <f t="shared" si="3"/>
        <v>128.20767892442001</v>
      </c>
      <c r="K39" s="23"/>
      <c r="L39" s="47">
        <f t="shared" si="4"/>
        <v>64.103839462210004</v>
      </c>
    </row>
    <row r="40" spans="9:12" ht="15" customHeight="1" x14ac:dyDescent="0.2">
      <c r="I40" s="42">
        <v>10</v>
      </c>
      <c r="J40" s="12">
        <f t="shared" si="3"/>
        <v>256.41535784884002</v>
      </c>
      <c r="K40" s="23"/>
      <c r="L40" s="47">
        <f t="shared" si="4"/>
        <v>128.20767892442001</v>
      </c>
    </row>
    <row r="41" spans="9:12" ht="15" customHeight="1" x14ac:dyDescent="0.2">
      <c r="I41" s="42">
        <v>20</v>
      </c>
      <c r="J41" s="12">
        <f t="shared" si="3"/>
        <v>512.83071569768003</v>
      </c>
      <c r="K41" s="23"/>
      <c r="L41" s="47">
        <f t="shared" si="4"/>
        <v>256.41535784884002</v>
      </c>
    </row>
    <row r="42" spans="9:12" ht="15" customHeight="1" x14ac:dyDescent="0.2">
      <c r="I42" s="42">
        <v>30</v>
      </c>
      <c r="J42" s="12">
        <f t="shared" si="3"/>
        <v>769.24607354651994</v>
      </c>
      <c r="K42" s="23"/>
      <c r="L42" s="47">
        <f t="shared" si="4"/>
        <v>384.62303677325997</v>
      </c>
    </row>
    <row r="43" spans="9:12" ht="15" customHeight="1" x14ac:dyDescent="0.2">
      <c r="I43" s="44">
        <v>40</v>
      </c>
      <c r="J43" s="46">
        <f t="shared" si="3"/>
        <v>1025.6614313953601</v>
      </c>
      <c r="K43" s="23"/>
      <c r="L43" s="47">
        <f t="shared" si="4"/>
        <v>512.83071569768003</v>
      </c>
    </row>
    <row r="44" spans="9:12" ht="15" customHeight="1" x14ac:dyDescent="0.2">
      <c r="I44" s="42">
        <v>50</v>
      </c>
      <c r="J44" s="12">
        <f t="shared" si="3"/>
        <v>1282.0767892442</v>
      </c>
      <c r="K44" s="23"/>
      <c r="L44" s="47">
        <f t="shared" si="4"/>
        <v>641.03839462209999</v>
      </c>
    </row>
    <row r="45" spans="9:12" ht="15" customHeight="1" x14ac:dyDescent="0.2">
      <c r="I45" s="42">
        <v>60</v>
      </c>
      <c r="J45" s="12">
        <f t="shared" si="3"/>
        <v>1538.4921470930399</v>
      </c>
      <c r="K45" s="23"/>
      <c r="L45" s="47">
        <f t="shared" si="4"/>
        <v>769.24607354651994</v>
      </c>
    </row>
    <row r="46" spans="9:12" ht="15" customHeight="1" x14ac:dyDescent="0.2">
      <c r="I46" s="42">
        <v>70</v>
      </c>
      <c r="J46" s="12">
        <f t="shared" si="3"/>
        <v>1794.90750494188</v>
      </c>
      <c r="K46" s="23"/>
      <c r="L46" s="47">
        <f t="shared" si="4"/>
        <v>897.45375247094</v>
      </c>
    </row>
    <row r="47" spans="9:12" ht="15" customHeight="1" x14ac:dyDescent="0.2">
      <c r="I47" s="43"/>
      <c r="J47" s="39"/>
      <c r="K47" s="26"/>
    </row>
    <row r="48" spans="9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</sheetData>
  <pageMargins left="0.45" right="0.45" top="0.5" bottom="0.5" header="0.3" footer="0.3"/>
  <pageSetup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rzeta_bkwd_fkr_dipsMiddle ( (3)</vt:lpstr>
      <vt:lpstr>rzeta_bkwd_fkr_dipsMiddle (2)</vt:lpstr>
      <vt:lpstr>rzeta_bkwd_fkr_dipsMiddle</vt:lpstr>
      <vt:lpstr>Sheet2</vt:lpstr>
      <vt:lpstr>rzeta_bkwd_fk_orig</vt:lpstr>
      <vt:lpstr>czeta_bkwd_fkc_USE</vt:lpstr>
      <vt:lpstr>czeta_bkwd_fkc_USE-goodcopy</vt:lpstr>
      <vt:lpstr>rzeta_bkwd_fkr_USE</vt:lpstr>
      <vt:lpstr>rzeta_bkwd_sh</vt:lpstr>
      <vt:lpstr>czeta_bkwd_fkc_USE!Print_Area</vt:lpstr>
      <vt:lpstr>'czeta_bkwd_fkc_USE-goodcopy'!Print_Area</vt:lpstr>
      <vt:lpstr>rzeta_bkwd_fkr_dipsMiddle!Print_Area</vt:lpstr>
      <vt:lpstr>'rzeta_bkwd_fkr_dipsMiddle ( (3)'!Print_Area</vt:lpstr>
      <vt:lpstr>'rzeta_bkwd_fkr_dipsMiddle (2)'!Print_Area</vt:lpstr>
      <vt:lpstr>rzeta_bkwd_fkr_USE!Print_Area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2024-02-05T12:12:33Z</cp:lastPrinted>
  <dcterms:created xsi:type="dcterms:W3CDTF">2017-08-18T22:36:59Z</dcterms:created>
  <dcterms:modified xsi:type="dcterms:W3CDTF">2024-02-05T14:23:29Z</dcterms:modified>
</cp:coreProperties>
</file>