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415A0445-096E-4EB6-A4B0-9ADC962D9153}" xr6:coauthVersionLast="47" xr6:coauthVersionMax="47" xr10:uidLastSave="{00000000-0000-0000-0000-000000000000}"/>
  <bookViews>
    <workbookView xWindow="-120" yWindow="-120" windowWidth="24240" windowHeight="13140" tabRatio="753" firstSheet="2" activeTab="2" xr2:uid="{00000000-000D-0000-FFFF-FFFF00000000}"/>
  </bookViews>
  <sheets>
    <sheet name="rzeta_backwards_fk" sheetId="14" r:id="rId1"/>
    <sheet name="czeta_backwards_fk_kevin_mods" sheetId="15" r:id="rId2"/>
    <sheet name="rzeta_backwards_sh" sheetId="11" r:id="rId3"/>
    <sheet name="rzeta_backwards_sh_ks_mods_orig" sheetId="12" r:id="rId4"/>
    <sheet name="rzeta_backwards_sh_ks_mods_new" sheetId="16" r:id="rId5"/>
    <sheet name="czeta_backwards_sh_kevin_mods" sheetId="13" r:id="rId6"/>
  </sheets>
  <definedNames>
    <definedName name="_xlnm.Print_Area" localSheetId="1">czeta_backwards_fk_kevin_mods!$F$51:$U$67</definedName>
    <definedName name="_xlnm.Print_Area" localSheetId="5">czeta_backwards_sh_kevin_mods!$F$42:$U$61</definedName>
    <definedName name="_xlnm.Print_Area" localSheetId="0">rzeta_backwards_fk!#REF!</definedName>
    <definedName name="_xlnm.Print_Area" localSheetId="2">rzeta_backwards_sh!#REF!</definedName>
    <definedName name="_xlnm.Print_Area" localSheetId="4">rzeta_backwards_sh_ks_mods_new!$C$69:$Q$100</definedName>
    <definedName name="_xlnm.Print_Area" localSheetId="3">rzeta_backwards_sh_ks_mods_orig!$C$67:$Q$98</definedName>
  </definedNames>
  <calcPr calcId="191029"/>
</workbook>
</file>

<file path=xl/calcChain.xml><?xml version="1.0" encoding="utf-8"?>
<calcChain xmlns="http://schemas.openxmlformats.org/spreadsheetml/2006/main">
  <c r="J30" i="11" l="1"/>
  <c r="I30" i="11"/>
  <c r="D13" i="14" l="1"/>
  <c r="E13" i="14" s="1"/>
  <c r="D12" i="14"/>
  <c r="E12" i="14" s="1"/>
  <c r="K12" i="16" l="1"/>
  <c r="X16" i="16"/>
  <c r="X17" i="16"/>
  <c r="X18" i="16"/>
  <c r="X19" i="16"/>
  <c r="X15" i="16"/>
  <c r="I113" i="16" l="1"/>
  <c r="J113" i="16" s="1"/>
  <c r="I112" i="16"/>
  <c r="J112" i="16" s="1"/>
  <c r="I111" i="16"/>
  <c r="J111" i="16" s="1"/>
  <c r="I110" i="16"/>
  <c r="J110" i="16" s="1"/>
  <c r="I109" i="16"/>
  <c r="J109" i="16" s="1"/>
  <c r="I108" i="16"/>
  <c r="J108" i="16" s="1"/>
  <c r="I107" i="16"/>
  <c r="J107" i="16" s="1"/>
  <c r="I106" i="16"/>
  <c r="J106" i="16" s="1"/>
  <c r="I105" i="16"/>
  <c r="J105" i="16" s="1"/>
  <c r="I104" i="16"/>
  <c r="J104" i="16" s="1"/>
  <c r="I103" i="16"/>
  <c r="J103" i="16" s="1"/>
  <c r="N98" i="16"/>
  <c r="O98" i="16" s="1"/>
  <c r="I98" i="16"/>
  <c r="J98" i="16" s="1"/>
  <c r="N97" i="16"/>
  <c r="O97" i="16" s="1"/>
  <c r="I97" i="16"/>
  <c r="J97" i="16" s="1"/>
  <c r="N96" i="16"/>
  <c r="O96" i="16" s="1"/>
  <c r="I96" i="16"/>
  <c r="J96" i="16" s="1"/>
  <c r="N95" i="16"/>
  <c r="O95" i="16" s="1"/>
  <c r="I95" i="16"/>
  <c r="J95" i="16" s="1"/>
  <c r="N94" i="16"/>
  <c r="O94" i="16" s="1"/>
  <c r="I94" i="16"/>
  <c r="J94" i="16" s="1"/>
  <c r="N93" i="16"/>
  <c r="O93" i="16" s="1"/>
  <c r="I93" i="16"/>
  <c r="J93" i="16" s="1"/>
  <c r="N92" i="16"/>
  <c r="O92" i="16" s="1"/>
  <c r="I92" i="16"/>
  <c r="J92" i="16" s="1"/>
  <c r="N91" i="16"/>
  <c r="O91" i="16" s="1"/>
  <c r="I91" i="16"/>
  <c r="J91" i="16" s="1"/>
  <c r="N90" i="16"/>
  <c r="O90" i="16" s="1"/>
  <c r="I90" i="16"/>
  <c r="J90" i="16" s="1"/>
  <c r="N89" i="16"/>
  <c r="O89" i="16" s="1"/>
  <c r="I89" i="16"/>
  <c r="J89" i="16" s="1"/>
  <c r="N88" i="16"/>
  <c r="O88" i="16" s="1"/>
  <c r="I88" i="16"/>
  <c r="J88" i="16" s="1"/>
  <c r="I81" i="16"/>
  <c r="I80" i="16"/>
  <c r="I79" i="16"/>
  <c r="I78" i="16"/>
  <c r="I77" i="16"/>
  <c r="I76" i="16"/>
  <c r="I75" i="16"/>
  <c r="I74" i="16"/>
  <c r="I73" i="16"/>
  <c r="I72" i="16"/>
  <c r="D60" i="16"/>
  <c r="D59" i="16"/>
  <c r="D58" i="16"/>
  <c r="D57" i="16"/>
  <c r="D56" i="16"/>
  <c r="D55" i="16"/>
  <c r="D54" i="16"/>
  <c r="D53" i="16"/>
  <c r="D52" i="16"/>
  <c r="D51" i="16"/>
  <c r="C46" i="16"/>
  <c r="C45" i="16"/>
  <c r="C44" i="16"/>
  <c r="C43" i="16"/>
  <c r="C42" i="16"/>
  <c r="C41" i="16"/>
  <c r="C40" i="16"/>
  <c r="C39" i="16"/>
  <c r="C38" i="16"/>
  <c r="C37" i="16"/>
  <c r="C36" i="16"/>
  <c r="J32" i="16"/>
  <c r="K32" i="16" s="1"/>
  <c r="K47" i="16" s="1"/>
  <c r="AE30" i="16"/>
  <c r="AE29" i="16"/>
  <c r="AE28" i="16"/>
  <c r="AE27" i="16"/>
  <c r="AE26" i="16"/>
  <c r="AE25" i="16"/>
  <c r="AE24" i="16"/>
  <c r="AE23" i="16"/>
  <c r="Q23" i="16"/>
  <c r="R23" i="16" s="1"/>
  <c r="J23" i="16"/>
  <c r="K23" i="16" s="1"/>
  <c r="D23" i="16"/>
  <c r="E23" i="16" s="1"/>
  <c r="AE22" i="16"/>
  <c r="Q22" i="16"/>
  <c r="R22" i="16" s="1"/>
  <c r="S23" i="16" s="1"/>
  <c r="J22" i="16"/>
  <c r="K22" i="16" s="1"/>
  <c r="L23" i="16" s="1"/>
  <c r="E22" i="16"/>
  <c r="D22" i="16"/>
  <c r="AE21" i="16"/>
  <c r="R21" i="16"/>
  <c r="S22" i="16" s="1"/>
  <c r="T23" i="16" s="1"/>
  <c r="Q21" i="16"/>
  <c r="J21" i="16"/>
  <c r="K21" i="16" s="1"/>
  <c r="D21" i="16"/>
  <c r="E21" i="16" s="1"/>
  <c r="Q20" i="16"/>
  <c r="R20" i="16" s="1"/>
  <c r="S21" i="16" s="1"/>
  <c r="T22" i="16" s="1"/>
  <c r="J20" i="16"/>
  <c r="K20" i="16" s="1"/>
  <c r="L21" i="16" s="1"/>
  <c r="D20" i="16"/>
  <c r="E20" i="16" s="1"/>
  <c r="Q19" i="16"/>
  <c r="R19" i="16" s="1"/>
  <c r="J19" i="16"/>
  <c r="K19" i="16" s="1"/>
  <c r="L20" i="16" s="1"/>
  <c r="D19" i="16"/>
  <c r="E19" i="16" s="1"/>
  <c r="Q18" i="16"/>
  <c r="R18" i="16" s="1"/>
  <c r="J18" i="16"/>
  <c r="K18" i="16" s="1"/>
  <c r="D18" i="16"/>
  <c r="E18" i="16" s="1"/>
  <c r="AD17" i="16"/>
  <c r="AE17" i="16" s="1"/>
  <c r="Q17" i="16"/>
  <c r="R17" i="16" s="1"/>
  <c r="J17" i="16"/>
  <c r="K17" i="16" s="1"/>
  <c r="D17" i="16"/>
  <c r="E17" i="16" s="1"/>
  <c r="AD16" i="16"/>
  <c r="AE16" i="16" s="1"/>
  <c r="Q16" i="16"/>
  <c r="R16" i="16" s="1"/>
  <c r="J16" i="16"/>
  <c r="K16" i="16" s="1"/>
  <c r="D16" i="16"/>
  <c r="E16" i="16" s="1"/>
  <c r="AD15" i="16"/>
  <c r="AE15" i="16" s="1"/>
  <c r="Q15" i="16"/>
  <c r="R15" i="16" s="1"/>
  <c r="J15" i="16"/>
  <c r="K15" i="16" s="1"/>
  <c r="D15" i="16"/>
  <c r="E15" i="16" s="1"/>
  <c r="AD14" i="16"/>
  <c r="AE14" i="16" s="1"/>
  <c r="Q14" i="16"/>
  <c r="R14" i="16" s="1"/>
  <c r="J14" i="16"/>
  <c r="K14" i="16" s="1"/>
  <c r="D14" i="16"/>
  <c r="E14" i="16" s="1"/>
  <c r="AD13" i="16"/>
  <c r="AE13" i="16" s="1"/>
  <c r="AD12" i="16"/>
  <c r="AE12" i="16" s="1"/>
  <c r="AD11" i="16"/>
  <c r="AE11" i="16" s="1"/>
  <c r="AD10" i="16"/>
  <c r="AE10" i="16" s="1"/>
  <c r="AD9" i="16"/>
  <c r="AE9" i="16" s="1"/>
  <c r="AD8" i="16"/>
  <c r="AE8" i="16" s="1"/>
  <c r="S20" i="16" l="1"/>
  <c r="T21" i="16" s="1"/>
  <c r="L22" i="16"/>
  <c r="L16" i="16"/>
  <c r="L15" i="16"/>
  <c r="L18" i="16"/>
  <c r="L19" i="16"/>
  <c r="S19" i="16"/>
  <c r="S18" i="16"/>
  <c r="S15" i="16"/>
  <c r="S16" i="16"/>
  <c r="S17" i="16"/>
  <c r="L17" i="16"/>
  <c r="K33" i="16"/>
  <c r="K48" i="16" s="1"/>
  <c r="K36" i="16"/>
  <c r="K51" i="16" s="1"/>
  <c r="K38" i="16"/>
  <c r="K53" i="16" s="1"/>
  <c r="K40" i="16"/>
  <c r="K55" i="16" s="1"/>
  <c r="K34" i="16"/>
  <c r="K49" i="16" s="1"/>
  <c r="K35" i="16"/>
  <c r="K50" i="16" s="1"/>
  <c r="K37" i="16"/>
  <c r="K52" i="16" s="1"/>
  <c r="K39" i="16"/>
  <c r="K54" i="16" s="1"/>
  <c r="K41" i="16"/>
  <c r="K56" i="16" s="1"/>
  <c r="C34" i="12"/>
  <c r="N86" i="12"/>
  <c r="O86" i="12" s="1"/>
  <c r="I111" i="12"/>
  <c r="J111" i="12" s="1"/>
  <c r="I110" i="12"/>
  <c r="J110" i="12" s="1"/>
  <c r="I109" i="12"/>
  <c r="J109" i="12" s="1"/>
  <c r="I108" i="12"/>
  <c r="J108" i="12" s="1"/>
  <c r="I107" i="12"/>
  <c r="J107" i="12" s="1"/>
  <c r="I106" i="12"/>
  <c r="J106" i="12" s="1"/>
  <c r="I105" i="12"/>
  <c r="J105" i="12" s="1"/>
  <c r="I104" i="12"/>
  <c r="J104" i="12" s="1"/>
  <c r="I103" i="12"/>
  <c r="J103" i="12" s="1"/>
  <c r="I102" i="12"/>
  <c r="J102" i="12" s="1"/>
  <c r="I101" i="12"/>
  <c r="J101" i="12" s="1"/>
  <c r="J21" i="12"/>
  <c r="K21" i="12" s="1"/>
  <c r="J20" i="12"/>
  <c r="K20" i="12" s="1"/>
  <c r="J19" i="12"/>
  <c r="K19" i="12" s="1"/>
  <c r="L20" i="12" s="1"/>
  <c r="J18" i="12"/>
  <c r="K18" i="12" s="1"/>
  <c r="J17" i="12"/>
  <c r="K17" i="12" s="1"/>
  <c r="J16" i="12"/>
  <c r="K16" i="12" s="1"/>
  <c r="L17" i="12" s="1"/>
  <c r="J15" i="12"/>
  <c r="K15" i="12" s="1"/>
  <c r="L16" i="12" s="1"/>
  <c r="K14" i="12"/>
  <c r="L15" i="12" s="1"/>
  <c r="J14" i="12"/>
  <c r="J13" i="12"/>
  <c r="K13" i="12" s="1"/>
  <c r="J12" i="12"/>
  <c r="K12" i="12" s="1"/>
  <c r="E12" i="12"/>
  <c r="D12" i="12"/>
  <c r="I86" i="12"/>
  <c r="J86" i="12" s="1"/>
  <c r="I87" i="12"/>
  <c r="J87" i="12" s="1"/>
  <c r="I88" i="12"/>
  <c r="J88" i="12" s="1"/>
  <c r="I89" i="12"/>
  <c r="J89" i="12" s="1"/>
  <c r="I90" i="12"/>
  <c r="J90" i="12" s="1"/>
  <c r="I91" i="12"/>
  <c r="J91" i="12" s="1"/>
  <c r="I92" i="12"/>
  <c r="J92" i="12" s="1"/>
  <c r="I93" i="12"/>
  <c r="J93" i="12" s="1"/>
  <c r="I94" i="12"/>
  <c r="J94" i="12" s="1"/>
  <c r="I95" i="12"/>
  <c r="J95" i="12" s="1"/>
  <c r="I96" i="12"/>
  <c r="J96" i="12" s="1"/>
  <c r="N87" i="12"/>
  <c r="N88" i="12"/>
  <c r="O88" i="12" s="1"/>
  <c r="N89" i="12"/>
  <c r="O89" i="12" s="1"/>
  <c r="N90" i="12"/>
  <c r="N91" i="12"/>
  <c r="O91" i="12" s="1"/>
  <c r="N92" i="12"/>
  <c r="O92" i="12" s="1"/>
  <c r="N93" i="12"/>
  <c r="O93" i="12" s="1"/>
  <c r="N94" i="12"/>
  <c r="N95" i="12"/>
  <c r="N96" i="12"/>
  <c r="O96" i="12" s="1"/>
  <c r="O95" i="12"/>
  <c r="O94" i="12"/>
  <c r="O90" i="12"/>
  <c r="O87" i="12"/>
  <c r="D49" i="12"/>
  <c r="I71" i="12"/>
  <c r="I72" i="12"/>
  <c r="I73" i="12"/>
  <c r="I74" i="12"/>
  <c r="I75" i="12"/>
  <c r="I70" i="12"/>
  <c r="I76" i="12"/>
  <c r="I77" i="12"/>
  <c r="I78" i="12"/>
  <c r="I79" i="12"/>
  <c r="L19" i="12" l="1"/>
  <c r="L13" i="12"/>
  <c r="T16" i="16"/>
  <c r="T17" i="16"/>
  <c r="T18" i="16"/>
  <c r="T19" i="16"/>
  <c r="T20" i="16"/>
  <c r="L14" i="12"/>
  <c r="L18" i="12"/>
  <c r="L21" i="12"/>
  <c r="P17" i="15" l="1"/>
  <c r="P18" i="15"/>
  <c r="P19" i="15"/>
  <c r="P20" i="15"/>
  <c r="P21" i="15"/>
  <c r="P22" i="15"/>
  <c r="P23" i="15"/>
  <c r="P24" i="15"/>
  <c r="P25" i="15"/>
  <c r="P26" i="15"/>
  <c r="P27" i="15"/>
  <c r="P16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J16" i="15"/>
  <c r="J14" i="13" l="1"/>
  <c r="K15" i="13" s="1"/>
  <c r="K14" i="13"/>
  <c r="K17" i="13"/>
  <c r="K18" i="13"/>
  <c r="K21" i="13"/>
  <c r="K22" i="13"/>
  <c r="K20" i="13" l="1"/>
  <c r="K16" i="13"/>
  <c r="K23" i="13"/>
  <c r="K19" i="13"/>
  <c r="J54" i="13" l="1"/>
  <c r="J52" i="13"/>
  <c r="J49" i="13"/>
  <c r="J55" i="13" s="1"/>
  <c r="K27" i="15"/>
  <c r="K44" i="15" s="1"/>
  <c r="L44" i="15" s="1"/>
  <c r="K16" i="15"/>
  <c r="K33" i="15" s="1"/>
  <c r="L33" i="15" s="1"/>
  <c r="K26" i="15"/>
  <c r="K17" i="15"/>
  <c r="K34" i="15" s="1"/>
  <c r="L34" i="15" s="1"/>
  <c r="K18" i="15"/>
  <c r="K35" i="15" s="1"/>
  <c r="K19" i="15"/>
  <c r="K36" i="15" s="1"/>
  <c r="L36" i="15" s="1"/>
  <c r="K20" i="15"/>
  <c r="K37" i="15" s="1"/>
  <c r="L37" i="15" s="1"/>
  <c r="K21" i="15"/>
  <c r="K38" i="15" s="1"/>
  <c r="L38" i="15" s="1"/>
  <c r="K22" i="15"/>
  <c r="K39" i="15" s="1"/>
  <c r="L39" i="15" s="1"/>
  <c r="K23" i="15"/>
  <c r="K40" i="15" s="1"/>
  <c r="L40" i="15" s="1"/>
  <c r="K24" i="15"/>
  <c r="K41" i="15" s="1"/>
  <c r="L41" i="15" s="1"/>
  <c r="K25" i="15"/>
  <c r="R30" i="15"/>
  <c r="R29" i="15"/>
  <c r="R28" i="15"/>
  <c r="I30" i="14"/>
  <c r="J30" i="14" s="1"/>
  <c r="J21" i="14"/>
  <c r="D21" i="14"/>
  <c r="E21" i="14" s="1"/>
  <c r="J20" i="14"/>
  <c r="D20" i="14"/>
  <c r="E20" i="14" s="1"/>
  <c r="J19" i="14"/>
  <c r="D19" i="14"/>
  <c r="E19" i="14" s="1"/>
  <c r="J18" i="14"/>
  <c r="D18" i="14"/>
  <c r="E18" i="14" s="1"/>
  <c r="J17" i="14"/>
  <c r="D17" i="14"/>
  <c r="E17" i="14" s="1"/>
  <c r="J16" i="14"/>
  <c r="D16" i="14"/>
  <c r="E16" i="14" s="1"/>
  <c r="J15" i="14"/>
  <c r="D15" i="14"/>
  <c r="E15" i="14" s="1"/>
  <c r="J14" i="14"/>
  <c r="D14" i="14"/>
  <c r="E14" i="14" s="1"/>
  <c r="K13" i="14"/>
  <c r="J13" i="14"/>
  <c r="J12" i="14"/>
  <c r="J51" i="13" l="1"/>
  <c r="J60" i="13"/>
  <c r="J58" i="13"/>
  <c r="J56" i="13"/>
  <c r="N35" i="15"/>
  <c r="S35" i="15" s="1"/>
  <c r="T35" i="15" s="1"/>
  <c r="U35" i="15" s="1"/>
  <c r="L35" i="15"/>
  <c r="K43" i="15"/>
  <c r="K42" i="15"/>
  <c r="J53" i="13"/>
  <c r="J57" i="13"/>
  <c r="J59" i="13"/>
  <c r="N39" i="15"/>
  <c r="S39" i="15" s="1"/>
  <c r="T39" i="15" s="1"/>
  <c r="U39" i="15" s="1"/>
  <c r="N36" i="15"/>
  <c r="S36" i="15" s="1"/>
  <c r="T36" i="15" s="1"/>
  <c r="U36" i="15" s="1"/>
  <c r="N40" i="15"/>
  <c r="S40" i="15" s="1"/>
  <c r="T40" i="15" s="1"/>
  <c r="U40" i="15" s="1"/>
  <c r="N33" i="15"/>
  <c r="S33" i="15" s="1"/>
  <c r="T33" i="15" s="1"/>
  <c r="U33" i="15" s="1"/>
  <c r="N37" i="15"/>
  <c r="S37" i="15" s="1"/>
  <c r="T37" i="15" s="1"/>
  <c r="U37" i="15" s="1"/>
  <c r="N34" i="15"/>
  <c r="S34" i="15" s="1"/>
  <c r="T34" i="15" s="1"/>
  <c r="U34" i="15" s="1"/>
  <c r="K45" i="15"/>
  <c r="J46" i="14"/>
  <c r="J44" i="14"/>
  <c r="J42" i="14"/>
  <c r="J40" i="14"/>
  <c r="J38" i="14"/>
  <c r="J36" i="14"/>
  <c r="J45" i="14"/>
  <c r="J43" i="14"/>
  <c r="J41" i="14"/>
  <c r="J39" i="14"/>
  <c r="J37" i="14"/>
  <c r="J35" i="14"/>
  <c r="D21" i="11"/>
  <c r="N42" i="15" l="1"/>
  <c r="L42" i="15"/>
  <c r="N43" i="15"/>
  <c r="L43" i="15"/>
  <c r="N41" i="15"/>
  <c r="S41" i="15" s="1"/>
  <c r="T41" i="15" s="1"/>
  <c r="U41" i="15" s="1"/>
  <c r="N44" i="15"/>
  <c r="S44" i="15" s="1"/>
  <c r="K46" i="15"/>
  <c r="N38" i="15"/>
  <c r="J35" i="11"/>
  <c r="L35" i="11" s="1"/>
  <c r="L49" i="13"/>
  <c r="I49" i="13"/>
  <c r="R25" i="13"/>
  <c r="R26" i="13"/>
  <c r="R24" i="13"/>
  <c r="I51" i="13" l="1"/>
  <c r="I59" i="13"/>
  <c r="I55" i="13"/>
  <c r="I52" i="13"/>
  <c r="I58" i="13"/>
  <c r="I54" i="13"/>
  <c r="I57" i="13"/>
  <c r="I53" i="13"/>
  <c r="I60" i="13"/>
  <c r="I56" i="13"/>
  <c r="M49" i="13"/>
  <c r="L58" i="13"/>
  <c r="L54" i="13"/>
  <c r="L57" i="13"/>
  <c r="L53" i="13"/>
  <c r="L60" i="13"/>
  <c r="L56" i="13"/>
  <c r="L52" i="13"/>
  <c r="L59" i="13"/>
  <c r="L55" i="13"/>
  <c r="L51" i="13"/>
  <c r="H49" i="13"/>
  <c r="N46" i="15"/>
  <c r="N45" i="15"/>
  <c r="S38" i="15"/>
  <c r="T44" i="15"/>
  <c r="U44" i="15" s="1"/>
  <c r="K29" i="13"/>
  <c r="N49" i="13" l="1"/>
  <c r="M55" i="13"/>
  <c r="M59" i="13"/>
  <c r="M51" i="13"/>
  <c r="M54" i="13"/>
  <c r="M58" i="13"/>
  <c r="M53" i="13"/>
  <c r="M57" i="13"/>
  <c r="M52" i="13"/>
  <c r="M56" i="13"/>
  <c r="M60" i="13"/>
  <c r="H59" i="13"/>
  <c r="H55" i="13"/>
  <c r="H58" i="13"/>
  <c r="H54" i="13"/>
  <c r="H57" i="13"/>
  <c r="H53" i="13"/>
  <c r="H51" i="13"/>
  <c r="H60" i="13"/>
  <c r="H56" i="13"/>
  <c r="H52" i="13"/>
  <c r="S45" i="15"/>
  <c r="T38" i="15"/>
  <c r="U38" i="15" s="1"/>
  <c r="S46" i="15"/>
  <c r="N29" i="13"/>
  <c r="K30" i="13"/>
  <c r="N30" i="13" s="1"/>
  <c r="S30" i="13" s="1"/>
  <c r="T30" i="13" s="1"/>
  <c r="U30" i="13" s="1"/>
  <c r="K35" i="13"/>
  <c r="N35" i="13" s="1"/>
  <c r="S35" i="13" s="1"/>
  <c r="T35" i="13" s="1"/>
  <c r="U35" i="13" s="1"/>
  <c r="K33" i="13"/>
  <c r="N33" i="13" s="1"/>
  <c r="S33" i="13" s="1"/>
  <c r="T33" i="13" s="1"/>
  <c r="U33" i="13" s="1"/>
  <c r="K31" i="13"/>
  <c r="N31" i="13" s="1"/>
  <c r="S31" i="13" s="1"/>
  <c r="T31" i="13" s="1"/>
  <c r="U31" i="13" s="1"/>
  <c r="K37" i="13"/>
  <c r="N37" i="13" s="1"/>
  <c r="S37" i="13" s="1"/>
  <c r="T37" i="13" s="1"/>
  <c r="U37" i="13" s="1"/>
  <c r="K32" i="13"/>
  <c r="N32" i="13" s="1"/>
  <c r="S32" i="13" s="1"/>
  <c r="T32" i="13" s="1"/>
  <c r="U32" i="13" s="1"/>
  <c r="K34" i="13"/>
  <c r="N34" i="13" s="1"/>
  <c r="K36" i="13"/>
  <c r="N36" i="13" s="1"/>
  <c r="S36" i="13" s="1"/>
  <c r="T36" i="13" s="1"/>
  <c r="U36" i="13" s="1"/>
  <c r="K38" i="13"/>
  <c r="D50" i="12"/>
  <c r="D51" i="12"/>
  <c r="D52" i="12"/>
  <c r="D53" i="12"/>
  <c r="D54" i="12"/>
  <c r="D55" i="12"/>
  <c r="D56" i="12"/>
  <c r="D57" i="12"/>
  <c r="D58" i="12"/>
  <c r="C35" i="12"/>
  <c r="C36" i="12"/>
  <c r="C37" i="12"/>
  <c r="C38" i="12"/>
  <c r="C39" i="12"/>
  <c r="C40" i="12"/>
  <c r="C41" i="12"/>
  <c r="C42" i="12"/>
  <c r="C43" i="12"/>
  <c r="C44" i="12"/>
  <c r="O49" i="13" l="1"/>
  <c r="N52" i="13"/>
  <c r="N56" i="13"/>
  <c r="N60" i="13"/>
  <c r="N55" i="13"/>
  <c r="N59" i="13"/>
  <c r="N54" i="13"/>
  <c r="N58" i="13"/>
  <c r="N51" i="13"/>
  <c r="N53" i="13"/>
  <c r="N57" i="13"/>
  <c r="S34" i="13"/>
  <c r="T34" i="13" s="1"/>
  <c r="U34" i="13" s="1"/>
  <c r="N39" i="13"/>
  <c r="K40" i="13"/>
  <c r="N38" i="13"/>
  <c r="K39" i="13"/>
  <c r="S29" i="13"/>
  <c r="T29" i="13" s="1"/>
  <c r="U29" i="13" s="1"/>
  <c r="AC28" i="12"/>
  <c r="AC27" i="12"/>
  <c r="AC26" i="12"/>
  <c r="AC25" i="12"/>
  <c r="AC24" i="12"/>
  <c r="AC23" i="12"/>
  <c r="AC22" i="12"/>
  <c r="AC21" i="12"/>
  <c r="AC20" i="12"/>
  <c r="AC19" i="12"/>
  <c r="AB15" i="12"/>
  <c r="AC15" i="12" s="1"/>
  <c r="AB14" i="12"/>
  <c r="AC14" i="12" s="1"/>
  <c r="AB13" i="12"/>
  <c r="AC13" i="12" s="1"/>
  <c r="AB12" i="12"/>
  <c r="AC12" i="12" s="1"/>
  <c r="AB11" i="12"/>
  <c r="AC11" i="12" s="1"/>
  <c r="AC10" i="12"/>
  <c r="AB10" i="12"/>
  <c r="AB9" i="12"/>
  <c r="AC9" i="12" s="1"/>
  <c r="AB8" i="12"/>
  <c r="AC8" i="12" s="1"/>
  <c r="AB7" i="12"/>
  <c r="AC7" i="12" s="1"/>
  <c r="AB6" i="12"/>
  <c r="AC6" i="12" s="1"/>
  <c r="P49" i="13" l="1"/>
  <c r="O53" i="13"/>
  <c r="O57" i="13"/>
  <c r="O52" i="13"/>
  <c r="O56" i="13"/>
  <c r="O60" i="13"/>
  <c r="O55" i="13"/>
  <c r="O59" i="13"/>
  <c r="O54" i="13"/>
  <c r="O58" i="13"/>
  <c r="O51" i="13"/>
  <c r="S38" i="13"/>
  <c r="S40" i="13" s="1"/>
  <c r="N40" i="13"/>
  <c r="S39" i="13"/>
  <c r="K31" i="12"/>
  <c r="K46" i="12" s="1"/>
  <c r="K32" i="12"/>
  <c r="K47" i="12" s="1"/>
  <c r="K33" i="12"/>
  <c r="K48" i="12" s="1"/>
  <c r="K34" i="12"/>
  <c r="K49" i="12" s="1"/>
  <c r="K35" i="12"/>
  <c r="K50" i="12" s="1"/>
  <c r="K36" i="12"/>
  <c r="K51" i="12" s="1"/>
  <c r="J30" i="12"/>
  <c r="K30" i="12" s="1"/>
  <c r="K45" i="12" s="1"/>
  <c r="Q13" i="12"/>
  <c r="R13" i="12" s="1"/>
  <c r="Q14" i="12"/>
  <c r="R14" i="12" s="1"/>
  <c r="Q15" i="12"/>
  <c r="R15" i="12" s="1"/>
  <c r="Q16" i="12"/>
  <c r="R16" i="12" s="1"/>
  <c r="Q17" i="12"/>
  <c r="R17" i="12" s="1"/>
  <c r="Q18" i="12"/>
  <c r="R18" i="12" s="1"/>
  <c r="S19" i="12" s="1"/>
  <c r="Q19" i="12"/>
  <c r="R19" i="12" s="1"/>
  <c r="Q20" i="12"/>
  <c r="R20" i="12" s="1"/>
  <c r="S21" i="12" s="1"/>
  <c r="Q21" i="12"/>
  <c r="R21" i="12" s="1"/>
  <c r="Q12" i="12"/>
  <c r="R12" i="12" s="1"/>
  <c r="S20" i="12" l="1"/>
  <c r="S17" i="12"/>
  <c r="S15" i="12"/>
  <c r="S18" i="12"/>
  <c r="S16" i="12"/>
  <c r="K39" i="12"/>
  <c r="K54" i="12" s="1"/>
  <c r="S13" i="12"/>
  <c r="K38" i="12"/>
  <c r="K53" i="12" s="1"/>
  <c r="S14" i="12"/>
  <c r="K37" i="12"/>
  <c r="K52" i="12" s="1"/>
  <c r="Q49" i="13"/>
  <c r="P54" i="13"/>
  <c r="P58" i="13"/>
  <c r="P51" i="13"/>
  <c r="P53" i="13"/>
  <c r="P57" i="13"/>
  <c r="P52" i="13"/>
  <c r="P56" i="13"/>
  <c r="P60" i="13"/>
  <c r="P55" i="13"/>
  <c r="P59" i="13"/>
  <c r="T38" i="13"/>
  <c r="U38" i="13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D14" i="12"/>
  <c r="E14" i="12" s="1"/>
  <c r="D13" i="12"/>
  <c r="E13" i="12" s="1"/>
  <c r="R49" i="13" l="1"/>
  <c r="Q55" i="13"/>
  <c r="Q59" i="13"/>
  <c r="Q54" i="13"/>
  <c r="Q58" i="13"/>
  <c r="Q51" i="13"/>
  <c r="Q53" i="13"/>
  <c r="Q57" i="13"/>
  <c r="Q52" i="13"/>
  <c r="Q56" i="13"/>
  <c r="Q60" i="13"/>
  <c r="J40" i="11"/>
  <c r="L40" i="11" s="1"/>
  <c r="J36" i="11"/>
  <c r="L36" i="11" s="1"/>
  <c r="J37" i="11"/>
  <c r="L37" i="11" s="1"/>
  <c r="J38" i="11"/>
  <c r="L38" i="11" s="1"/>
  <c r="J39" i="11"/>
  <c r="L39" i="11" s="1"/>
  <c r="J41" i="11"/>
  <c r="L41" i="11" s="1"/>
  <c r="J42" i="11"/>
  <c r="L42" i="11" s="1"/>
  <c r="J43" i="11"/>
  <c r="L43" i="11" s="1"/>
  <c r="J44" i="11"/>
  <c r="L44" i="11" s="1"/>
  <c r="J45" i="11"/>
  <c r="L45" i="11" s="1"/>
  <c r="J46" i="11"/>
  <c r="L46" i="11" s="1"/>
  <c r="S49" i="13" l="1"/>
  <c r="R52" i="13"/>
  <c r="R56" i="13"/>
  <c r="R60" i="13"/>
  <c r="R55" i="13"/>
  <c r="R59" i="13"/>
  <c r="R54" i="13"/>
  <c r="R58" i="13"/>
  <c r="R51" i="13"/>
  <c r="R53" i="13"/>
  <c r="R57" i="13"/>
  <c r="D12" i="11"/>
  <c r="E12" i="11" s="1"/>
  <c r="J12" i="11"/>
  <c r="J14" i="11"/>
  <c r="J15" i="11"/>
  <c r="J16" i="11"/>
  <c r="J17" i="11"/>
  <c r="J18" i="11"/>
  <c r="J19" i="11"/>
  <c r="J20" i="11"/>
  <c r="J21" i="11"/>
  <c r="K13" i="11"/>
  <c r="J13" i="11" s="1"/>
  <c r="C13" i="11"/>
  <c r="D16" i="11"/>
  <c r="E16" i="11" s="1"/>
  <c r="D20" i="11"/>
  <c r="E20" i="11" s="1"/>
  <c r="E21" i="11"/>
  <c r="D19" i="11"/>
  <c r="E19" i="11" s="1"/>
  <c r="D18" i="11"/>
  <c r="E18" i="11" s="1"/>
  <c r="D17" i="11"/>
  <c r="E17" i="11" s="1"/>
  <c r="D15" i="11"/>
  <c r="E15" i="11" s="1"/>
  <c r="D14" i="11"/>
  <c r="E14" i="11" s="1"/>
  <c r="S53" i="13" l="1"/>
  <c r="S57" i="13"/>
  <c r="S52" i="13"/>
  <c r="S56" i="13"/>
  <c r="S60" i="13"/>
  <c r="S55" i="13"/>
  <c r="S59" i="13"/>
  <c r="S54" i="13"/>
  <c r="S58" i="13"/>
  <c r="S51" i="13"/>
  <c r="D13" i="11"/>
  <c r="E13" i="11" s="1"/>
</calcChain>
</file>

<file path=xl/sharedStrings.xml><?xml version="1.0" encoding="utf-8"?>
<sst xmlns="http://schemas.openxmlformats.org/spreadsheetml/2006/main" count="467" uniqueCount="139">
  <si>
    <t xml:space="preserve"> spr rate</t>
  </si>
  <si>
    <t xml:space="preserve"> mWheel</t>
  </si>
  <si>
    <t xml:space="preserve"> ips</t>
  </si>
  <si>
    <t>ro</t>
  </si>
  <si>
    <t>r zeta</t>
  </si>
  <si>
    <t>r coeff</t>
  </si>
  <si>
    <t xml:space="preserve"> lev ratio at 100tr</t>
  </si>
  <si>
    <t xml:space="preserve"> Can you help? </t>
  </si>
  <si>
    <t>For example</t>
  </si>
  <si>
    <t xml:space="preserve"> desired zeta</t>
  </si>
  <si>
    <t xml:space="preserve"> current output</t>
  </si>
  <si>
    <t xml:space="preserve"> desired output</t>
  </si>
  <si>
    <t xml:space="preserve"> I would like to work this equation backwards and input the lev ratio, spring rate, mWheel and desired zeta value to calculate the required rebound force to get zeta.</t>
  </si>
  <si>
    <t xml:space="preserve"> 12-25-17</t>
  </si>
  <si>
    <t>Find damping coefficient needed to get target zeta value</t>
  </si>
  <si>
    <t>Inputs</t>
  </si>
  <si>
    <t>LR.foale</t>
  </si>
  <si>
    <t>K.spring</t>
  </si>
  <si>
    <t>M.wheel</t>
  </si>
  <si>
    <t>[-]</t>
  </si>
  <si>
    <t>[kg/mm]</t>
  </si>
  <si>
    <t>Target zeta</t>
  </si>
  <si>
    <t>zeta=</t>
  </si>
  <si>
    <t>Calculate damping coeff for target zeta</t>
  </si>
  <si>
    <t>k.spring</t>
  </si>
  <si>
    <t>[lbf/ft]</t>
  </si>
  <si>
    <t>c.damp</t>
  </si>
  <si>
    <t>[lbf-s/in]</t>
  </si>
  <si>
    <t>[lbm]</t>
  </si>
  <si>
    <t>Target damping curve</t>
  </si>
  <si>
    <t>u.shaft</t>
  </si>
  <si>
    <t>[in/s]</t>
  </si>
  <si>
    <t>F.damp</t>
  </si>
  <si>
    <t>[lbf]</t>
  </si>
  <si>
    <t xml:space="preserve"> This is calvin's original</t>
  </si>
  <si>
    <t xml:space="preserve"> I modified this for zeta = 1 at 1ips..</t>
  </si>
  <si>
    <t xml:space="preserve"> 2913 closest</t>
  </si>
  <si>
    <t xml:space="preserve"> coeff</t>
  </si>
  <si>
    <t xml:space="preserve"> aver ro</t>
  </si>
  <si>
    <t>ips</t>
  </si>
  <si>
    <t xml:space="preserve"> This formula works it backwards to give reb numbers</t>
  </si>
  <si>
    <t xml:space="preserve"> tab to see how we got aver ro</t>
  </si>
  <si>
    <t xml:space="preserve"> 2912 thru 2921  with carter shock,  all reb similar</t>
  </si>
  <si>
    <t xml:space="preserve"> 2912 - 2916</t>
  </si>
  <si>
    <t xml:space="preserve"> 2917 - 2921</t>
  </si>
  <si>
    <t xml:space="preserve"> aver</t>
  </si>
  <si>
    <t xml:space="preserve"> 2913 closest to aver</t>
  </si>
  <si>
    <t xml:space="preserve"> zeta</t>
  </si>
  <si>
    <t xml:space="preserve"> correction factor</t>
  </si>
  <si>
    <t>r/c</t>
  </si>
  <si>
    <t>linear</t>
  </si>
  <si>
    <t xml:space="preserve"> curve</t>
  </si>
  <si>
    <t xml:space="preserve"> % diff</t>
  </si>
  <si>
    <t xml:space="preserve"> --&gt; the r/c ratio changed same as correction factor</t>
  </si>
  <si>
    <t xml:space="preserve">  We are going to create ideal czeta the same as rzeta.</t>
  </si>
  <si>
    <t xml:space="preserve"> 2-19-18</t>
  </si>
  <si>
    <t xml:space="preserve"> This czeta curve from</t>
  </si>
  <si>
    <t xml:space="preserve"> zeta_czeta_target_nu_based_3075s.xlsx</t>
  </si>
  <si>
    <t xml:space="preserve"> It looks like all we do is enter the correct lev ratio, spring and zeta values from 1-50 ips.</t>
  </si>
  <si>
    <t xml:space="preserve"> To adjust czeta we can either make linear progressive change, linear change or digressive change.</t>
  </si>
  <si>
    <t xml:space="preserve"> To start we will use the czeta curve from Mike Kirsch 3075.</t>
  </si>
  <si>
    <t>czeta=</t>
  </si>
  <si>
    <t>Target czeta</t>
  </si>
  <si>
    <t xml:space="preserve"> This formula works it backwards to give comp  numbers</t>
  </si>
  <si>
    <t xml:space="preserve"> [copy]</t>
  </si>
  <si>
    <t>change</t>
  </si>
  <si>
    <t xml:space="preserve"> 50.10</t>
  </si>
  <si>
    <t xml:space="preserve"> 10.1</t>
  </si>
  <si>
    <t>adj co</t>
  </si>
  <si>
    <t>c zeta</t>
  </si>
  <si>
    <t xml:space="preserve"> based on 3075</t>
  </si>
  <si>
    <t xml:space="preserve">  --&gt; we will start linear, make some comparisons and adjust</t>
  </si>
  <si>
    <t xml:space="preserve"> percent increment ---&gt;  </t>
  </si>
  <si>
    <t>soft-1</t>
  </si>
  <si>
    <t>soft</t>
  </si>
  <si>
    <t>aver</t>
  </si>
  <si>
    <t>stiff</t>
  </si>
  <si>
    <t>stiff+1</t>
  </si>
  <si>
    <t>stiff+2</t>
  </si>
  <si>
    <t>stiff+3</t>
  </si>
  <si>
    <t>stiff+4</t>
  </si>
  <si>
    <t>stiff+5</t>
  </si>
  <si>
    <t>stiff+6</t>
  </si>
  <si>
    <t>stiff+7</t>
  </si>
  <si>
    <t>use this factor ---&gt;</t>
  </si>
  <si>
    <t xml:space="preserve"> The 'percent increment = 1.075.  But you can’t just multiply .075 x 6 = 1.6 for example.  Use these factors above to determine linear czeta curve.</t>
  </si>
  <si>
    <t xml:space="preserve"> &lt;--- czeta name</t>
  </si>
  <si>
    <t>soft-2</t>
  </si>
  <si>
    <t xml:space="preserve"> &lt;-- this needs to be divided by 2 for forks to work</t>
  </si>
  <si>
    <t/>
  </si>
  <si>
    <t>SHOCK</t>
  </si>
  <si>
    <t>FORK</t>
  </si>
  <si>
    <t xml:space="preserve"> wo ls</t>
  </si>
  <si>
    <t>w ls</t>
  </si>
  <si>
    <t xml:space="preserve"> This is from</t>
  </si>
  <si>
    <t xml:space="preserve">  zeta_fkc_aver_33tests.xlsx</t>
  </si>
  <si>
    <t xml:space="preserve"> 70.10</t>
  </si>
  <si>
    <t xml:space="preserve"> zeta_fkc_aver_33tests.xlsx</t>
  </si>
  <si>
    <t xml:space="preserve"> +2 lbs</t>
  </si>
  <si>
    <t xml:space="preserve"> 4-18-18</t>
  </si>
  <si>
    <t xml:space="preserve">   Since c-zeta is based on  'aver'  shc target numbers, we will just use the actual target numbers from   'fkc_target_nu_4CS_bv_mv_reb.xls'   to deteremine how c-zeta at 1ips steps down  </t>
  </si>
  <si>
    <t xml:space="preserve">   We will do this on the   'fkc_target_nu_4CS_bv_mv_reb.xls'   spreadsheet since that has the actual numbers.</t>
  </si>
  <si>
    <t xml:space="preserve"> Fork c-zeta worked backwards is based on three excel files,   fkc_target_nu_4CS_bv_mv_reb.xls,    zeta_backwards.xlsx,    zeta_fkc_aver_33tests.xlsx</t>
  </si>
  <si>
    <t xml:space="preserve"> -----------------------------------------------------------</t>
  </si>
  <si>
    <t xml:space="preserve"> 4-21-18</t>
  </si>
  <si>
    <r>
      <t xml:space="preserve"> We want another r-zeta curve between the two current ones we have on  </t>
    </r>
    <r>
      <rPr>
        <sz val="10"/>
        <color rgb="FF0070C0"/>
        <rFont val="Arial"/>
        <family val="2"/>
      </rPr>
      <t>openLevRatio_substiture_co_ro.php</t>
    </r>
  </si>
  <si>
    <t xml:space="preserve"> r-zeta .70 thru .70</t>
  </si>
  <si>
    <t xml:space="preserve"> r-zeta 1.0 thru .70</t>
  </si>
  <si>
    <t xml:space="preserve"> openLevRatioSh_import_reb03.php</t>
  </si>
  <si>
    <t xml:space="preserve"> We are assuming we want r-zeta - .70 at 20ips</t>
  </si>
  <si>
    <t xml:space="preserve"> &lt;-- r-zeta .70 at 20ips ---&gt;</t>
  </si>
  <si>
    <t xml:space="preserve"> --&gt; factor used to adjust for the r-zeta curve</t>
  </si>
  <si>
    <t xml:space="preserve"> openLevRatioSh_import_reb02.php</t>
  </si>
  <si>
    <t xml:space="preserve"> r-zeta new .86 thru .70</t>
  </si>
  <si>
    <t xml:space="preserve">  (in the middle)</t>
  </si>
  <si>
    <t xml:space="preserve"> New zeta curve with zeta at 1ips = 1.01</t>
  </si>
  <si>
    <t xml:space="preserve"> New zeta curve with zeta at 1ips = .86</t>
  </si>
  <si>
    <t xml:space="preserve">  8-8-18, we changed r-zeta to start at 1.00 and reach .70 at 10ips</t>
  </si>
  <si>
    <t xml:space="preserve"> was_orig</t>
  </si>
  <si>
    <t>was</t>
  </si>
  <si>
    <t xml:space="preserve"> SEE NEW</t>
  </si>
  <si>
    <t>  2016 SXF 250</t>
  </si>
  <si>
    <t>  4-25-18</t>
  </si>
  <si>
    <t>   spr =  </t>
  </si>
  <si>
    <t xml:space="preserve">id 8 </t>
  </si>
  <si>
    <t>  129_74_35_b</t>
  </si>
  <si>
    <t>   levratio =  </t>
  </si>
  <si>
    <t>co wogas</t>
  </si>
  <si>
    <t>[target]</t>
  </si>
  <si>
    <t>ro wogas</t>
  </si>
  <si>
    <t>r-zeta</t>
  </si>
  <si>
    <t>100_74_70</t>
  </si>
  <si>
    <t>cDamp</t>
  </si>
  <si>
    <t>coeff</t>
  </si>
  <si>
    <t>co-zeta</t>
  </si>
  <si>
    <t>129_74_35_b x 1.0</t>
  </si>
  <si>
    <t xml:space="preserve">not used </t>
  </si>
  <si>
    <t>ratio</t>
  </si>
  <si>
    <t>[targetl]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</si>
</sst>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9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Trebuchet MS"/>
      <family val="2"/>
    </font>
    <font>
      <b/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rgb="FF808080"/>
      <name val="Trebuchet MS"/>
      <family val="2"/>
    </font>
    <font>
      <sz val="9"/>
      <color theme="9" tint="-0.249977111117893"/>
      <name val="Arial"/>
      <family val="2"/>
    </font>
    <font>
      <sz val="8"/>
      <color theme="1"/>
      <name val="Arial"/>
      <family val="2"/>
    </font>
    <font>
      <sz val="9"/>
      <color theme="1"/>
      <name val="Trebuchet MS"/>
      <family val="2"/>
    </font>
    <font>
      <sz val="10"/>
      <name val="Arial"/>
      <family val="2"/>
    </font>
    <font>
      <sz val="9"/>
      <color rgb="FFC00000"/>
      <name val="Arial"/>
      <family val="2"/>
    </font>
    <font>
      <sz val="9"/>
      <color theme="1" tint="0.249977111117893"/>
      <name val="Trebuchet MS"/>
      <family val="2"/>
    </font>
    <font>
      <b/>
      <u/>
      <sz val="10"/>
      <color rgb="FFFF0000"/>
      <name val="Arial"/>
      <family val="2"/>
    </font>
    <font>
      <sz val="10"/>
      <color rgb="FF008000"/>
      <name val="Arial"/>
      <family val="2"/>
    </font>
    <font>
      <sz val="9"/>
      <color theme="1"/>
      <name val="Arial"/>
      <family val="2"/>
    </font>
    <font>
      <sz val="9"/>
      <color rgb="FF0070C0"/>
      <name val="Trebuchet MS"/>
      <family val="2"/>
    </font>
    <font>
      <b/>
      <sz val="16"/>
      <color rgb="FFFF0000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rgb="FF4A4A4A"/>
      <name val="Trebuchet MS"/>
      <family val="2"/>
    </font>
    <font>
      <sz val="9"/>
      <color rgb="FFCC3333"/>
      <name val="Trebuchet MS"/>
      <family val="2"/>
    </font>
    <font>
      <sz val="8"/>
      <color rgb="FF949494"/>
      <name val="Trebuchet MS"/>
      <family val="2"/>
    </font>
    <font>
      <sz val="9"/>
      <color rgb="FF646464"/>
      <name val="Trebuchet MS"/>
      <family val="2"/>
    </font>
    <font>
      <sz val="9"/>
      <color rgb="FFB34040"/>
      <name val="Trebuchet MS"/>
      <family val="2"/>
    </font>
    <font>
      <sz val="8"/>
      <color rgb="FFB34040"/>
      <name val="Trebuchet MS"/>
      <family val="2"/>
    </font>
    <font>
      <sz val="9"/>
      <color rgb="FF80000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BF1D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4F4F4"/>
      </right>
      <top style="thin">
        <color rgb="FFF4F4F4"/>
      </top>
      <bottom/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/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rgb="FFAABFAA"/>
      </left>
      <right style="thin">
        <color rgb="FFAABFAA"/>
      </right>
      <top style="thin">
        <color rgb="FFECECEC"/>
      </top>
      <bottom style="thin">
        <color rgb="FFECECEC"/>
      </bottom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ABFAA"/>
      </left>
      <right style="thin">
        <color rgb="FFAABFAA"/>
      </right>
      <top style="thin">
        <color rgb="FFAABFAA"/>
      </top>
      <bottom style="thin">
        <color rgb="FFAABFAA"/>
      </bottom>
      <diagonal/>
    </border>
    <border>
      <left style="thin">
        <color rgb="FFAABFAA"/>
      </left>
      <right/>
      <top style="thin">
        <color rgb="FFAABFAA"/>
      </top>
      <bottom style="thin">
        <color rgb="FFAABFAA"/>
      </bottom>
      <diagonal/>
    </border>
    <border>
      <left/>
      <right style="thin">
        <color rgb="FFAABFAA"/>
      </right>
      <top style="thin">
        <color rgb="FFAABFAA"/>
      </top>
      <bottom style="thin">
        <color rgb="FFAABFAA"/>
      </bottom>
      <diagonal/>
    </border>
    <border>
      <left/>
      <right/>
      <top style="thin">
        <color rgb="FFAABFAA"/>
      </top>
      <bottom style="thin">
        <color rgb="FFAABFAA"/>
      </bottom>
      <diagonal/>
    </border>
    <border>
      <left style="thin">
        <color rgb="FFAABFAA"/>
      </left>
      <right style="thin">
        <color rgb="FFAABFAA"/>
      </right>
      <top style="thin">
        <color rgb="FFAABFAA"/>
      </top>
      <bottom/>
      <diagonal/>
    </border>
    <border>
      <left style="thin">
        <color rgb="FFAABFAA"/>
      </left>
      <right style="thin">
        <color rgb="FFAABFAA"/>
      </right>
      <top/>
      <bottom/>
      <diagonal/>
    </border>
    <border>
      <left style="thin">
        <color rgb="FFAABFAA"/>
      </left>
      <right style="thin">
        <color rgb="FFAABFAA"/>
      </right>
      <top/>
      <bottom style="thin">
        <color rgb="FFECECEC"/>
      </bottom>
      <diagonal/>
    </border>
    <border>
      <left style="thin">
        <color rgb="FFAABFAA"/>
      </left>
      <right style="thin">
        <color rgb="FFAABFAA"/>
      </right>
      <top/>
      <bottom style="thin">
        <color rgb="FFAABFAA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2" borderId="0" xfId="0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2" fillId="0" borderId="0" xfId="0" applyNumberFormat="1" applyFont="1"/>
    <xf numFmtId="0" fontId="5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5" fillId="4" borderId="1" xfId="0" applyFont="1" applyFill="1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6" fillId="0" borderId="0" xfId="0" applyFont="1"/>
    <xf numFmtId="0" fontId="0" fillId="0" borderId="8" xfId="0" applyBorder="1" applyAlignment="1">
      <alignment horizontal="center"/>
    </xf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center"/>
    </xf>
    <xf numFmtId="0" fontId="5" fillId="4" borderId="2" xfId="0" applyFont="1" applyFill="1" applyBorder="1"/>
    <xf numFmtId="0" fontId="0" fillId="4" borderId="4" xfId="0" applyFill="1" applyBorder="1"/>
    <xf numFmtId="0" fontId="0" fillId="0" borderId="11" xfId="0" applyBorder="1"/>
    <xf numFmtId="0" fontId="5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1" fontId="5" fillId="6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quotePrefix="1" applyFont="1" applyAlignment="1">
      <alignment horizontal="left"/>
    </xf>
    <xf numFmtId="1" fontId="8" fillId="0" borderId="14" xfId="0" applyNumberFormat="1" applyFont="1" applyBorder="1" applyAlignment="1">
      <alignment horizontal="center" vertical="center" wrapText="1"/>
    </xf>
    <xf numFmtId="1" fontId="8" fillId="7" borderId="14" xfId="0" applyNumberFormat="1" applyFont="1" applyFill="1" applyBorder="1" applyAlignment="1">
      <alignment horizontal="center" vertical="center" wrapText="1"/>
    </xf>
    <xf numFmtId="0" fontId="0" fillId="0" borderId="13" xfId="0" quotePrefix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5" fillId="5" borderId="12" xfId="0" applyFont="1" applyFill="1" applyBorder="1"/>
    <xf numFmtId="0" fontId="0" fillId="5" borderId="5" xfId="0" applyFill="1" applyBorder="1"/>
    <xf numFmtId="0" fontId="0" fillId="5" borderId="6" xfId="0" applyFill="1" applyBorder="1"/>
    <xf numFmtId="164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9" xfId="0" applyBorder="1"/>
    <xf numFmtId="1" fontId="8" fillId="0" borderId="15" xfId="0" applyNumberFormat="1" applyFont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164" fontId="0" fillId="0" borderId="0" xfId="0" applyNumberFormat="1"/>
    <xf numFmtId="0" fontId="8" fillId="7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5" fillId="0" borderId="0" xfId="0" applyFont="1"/>
    <xf numFmtId="0" fontId="5" fillId="0" borderId="9" xfId="0" quotePrefix="1" applyFont="1" applyBorder="1" applyAlignment="1">
      <alignment horizontal="left"/>
    </xf>
    <xf numFmtId="0" fontId="5" fillId="4" borderId="2" xfId="0" quotePrefix="1" applyFont="1" applyFill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166" fontId="0" fillId="0" borderId="0" xfId="0" applyNumberFormat="1"/>
    <xf numFmtId="0" fontId="6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6" borderId="9" xfId="0" applyFont="1" applyFill="1" applyBorder="1" applyAlignment="1">
      <alignment horizontal="center"/>
    </xf>
    <xf numFmtId="1" fontId="5" fillId="6" borderId="10" xfId="0" applyNumberFormat="1" applyFont="1" applyFill="1" applyBorder="1" applyAlignment="1">
      <alignment horizontal="center"/>
    </xf>
    <xf numFmtId="1" fontId="14" fillId="0" borderId="14" xfId="0" applyNumberFormat="1" applyFont="1" applyBorder="1" applyAlignment="1">
      <alignment horizontal="center" vertical="center" wrapText="1"/>
    </xf>
    <xf numFmtId="1" fontId="14" fillId="6" borderId="14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2" fontId="14" fillId="6" borderId="14" xfId="0" applyNumberFormat="1" applyFont="1" applyFill="1" applyBorder="1" applyAlignment="1">
      <alignment horizontal="center" vertical="center" wrapText="1"/>
    </xf>
    <xf numFmtId="2" fontId="14" fillId="3" borderId="14" xfId="0" applyNumberFormat="1" applyFont="1" applyFill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0" fillId="0" borderId="12" xfId="0" applyBorder="1"/>
    <xf numFmtId="0" fontId="0" fillId="5" borderId="3" xfId="0" quotePrefix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5" borderId="2" xfId="0" quotePrefix="1" applyFill="1" applyBorder="1" applyAlignment="1">
      <alignment horizontal="left"/>
    </xf>
    <xf numFmtId="0" fontId="0" fillId="9" borderId="5" xfId="0" applyFill="1" applyBorder="1" applyAlignment="1">
      <alignment horizontal="center"/>
    </xf>
    <xf numFmtId="2" fontId="14" fillId="6" borderId="17" xfId="0" applyNumberFormat="1" applyFont="1" applyFill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9" borderId="5" xfId="0" quotePrefix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9" borderId="12" xfId="0" applyFill="1" applyBorder="1" applyAlignment="1">
      <alignment horizontal="center"/>
    </xf>
    <xf numFmtId="0" fontId="0" fillId="9" borderId="7" xfId="0" quotePrefix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64" fontId="5" fillId="6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0" xfId="0" quotePrefix="1" applyAlignment="1">
      <alignment horizontal="fill"/>
    </xf>
    <xf numFmtId="0" fontId="17" fillId="10" borderId="0" xfId="0" applyFont="1" applyFill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164" fontId="14" fillId="6" borderId="14" xfId="0" applyNumberFormat="1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18" fillId="6" borderId="14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 wrapText="1"/>
    </xf>
    <xf numFmtId="2" fontId="18" fillId="3" borderId="14" xfId="0" applyNumberFormat="1" applyFont="1" applyFill="1" applyBorder="1" applyAlignment="1">
      <alignment horizontal="center" vertical="center" wrapText="1"/>
    </xf>
    <xf numFmtId="2" fontId="18" fillId="6" borderId="17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64" fontId="14" fillId="6" borderId="15" xfId="0" applyNumberFormat="1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2" fontId="0" fillId="0" borderId="8" xfId="0" applyNumberFormat="1" applyBorder="1"/>
    <xf numFmtId="0" fontId="0" fillId="11" borderId="0" xfId="0" applyFill="1"/>
    <xf numFmtId="2" fontId="0" fillId="0" borderId="11" xfId="0" applyNumberFormat="1" applyBorder="1"/>
    <xf numFmtId="1" fontId="0" fillId="0" borderId="0" xfId="0" applyNumberFormat="1"/>
    <xf numFmtId="166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0" fontId="19" fillId="0" borderId="0" xfId="0" applyFont="1"/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 wrapText="1"/>
    </xf>
    <xf numFmtId="0" fontId="24" fillId="12" borderId="24" xfId="0" applyFont="1" applyFill="1" applyBorder="1" applyAlignment="1">
      <alignment horizontal="center" vertical="center" wrapText="1"/>
    </xf>
    <xf numFmtId="0" fontId="11" fillId="12" borderId="25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 wrapText="1"/>
    </xf>
    <xf numFmtId="0" fontId="11" fillId="12" borderId="24" xfId="0" applyFont="1" applyFill="1" applyBorder="1" applyAlignment="1">
      <alignment horizontal="center" vertical="center" wrapText="1"/>
    </xf>
    <xf numFmtId="0" fontId="22" fillId="12" borderId="25" xfId="0" applyFont="1" applyFill="1" applyBorder="1" applyAlignment="1">
      <alignment horizontal="center" vertical="center" wrapText="1"/>
    </xf>
    <xf numFmtId="0" fontId="11" fillId="13" borderId="1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4" fillId="13" borderId="16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0" fillId="12" borderId="24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top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26" xfId="0" applyBorder="1" applyAlignment="1">
      <alignment horizontal="right" vertical="top" wrapText="1"/>
    </xf>
    <xf numFmtId="0" fontId="22" fillId="12" borderId="24" xfId="0" applyFont="1" applyFill="1" applyBorder="1" applyAlignment="1">
      <alignment horizontal="center" vertical="center" wrapText="1"/>
    </xf>
    <xf numFmtId="0" fontId="26" fillId="12" borderId="23" xfId="0" applyFont="1" applyFill="1" applyBorder="1" applyAlignment="1">
      <alignment horizontal="center" vertical="center" wrapText="1"/>
    </xf>
    <xf numFmtId="0" fontId="26" fillId="12" borderId="24" xfId="0" applyFont="1" applyFill="1" applyBorder="1" applyAlignment="1">
      <alignment horizontal="center" vertical="center" wrapText="1"/>
    </xf>
    <xf numFmtId="0" fontId="27" fillId="12" borderId="25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7" fillId="13" borderId="16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right"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2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czeta_backwards_fk_kevin_mods!$R$33:$R$44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11">
                  <c:v>50</c:v>
                </c:pt>
              </c:numCache>
            </c:numRef>
          </c:xVal>
          <c:yVal>
            <c:numRef>
              <c:f>czeta_backwards_fk_kevin_mods!$U$33:$U$44</c:f>
              <c:numCache>
                <c:formatCode>0.00</c:formatCode>
                <c:ptCount val="12"/>
                <c:pt idx="0">
                  <c:v>0.43598967602062716</c:v>
                </c:pt>
                <c:pt idx="1">
                  <c:v>0.33099216230006323</c:v>
                </c:pt>
                <c:pt idx="2">
                  <c:v>0.2799933699215037</c:v>
                </c:pt>
                <c:pt idx="3">
                  <c:v>0.25449397373222382</c:v>
                </c:pt>
                <c:pt idx="4">
                  <c:v>0.23249449466696284</c:v>
                </c:pt>
                <c:pt idx="5">
                  <c:v>0.16499609298945753</c:v>
                </c:pt>
                <c:pt idx="6">
                  <c:v>0.12199711118008374</c:v>
                </c:pt>
                <c:pt idx="7">
                  <c:v>0.10799744268400854</c:v>
                </c:pt>
                <c:pt idx="8">
                  <c:v>0.10149759659654509</c:v>
                </c:pt>
                <c:pt idx="11">
                  <c:v>0.13019691701349917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15-40B5-98D4-720F92DA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64768"/>
        <c:axId val="105935232"/>
      </c:scatterChart>
      <c:valAx>
        <c:axId val="134064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5935232"/>
        <c:crosses val="autoZero"/>
        <c:crossBetween val="midCat"/>
      </c:valAx>
      <c:valAx>
        <c:axId val="105935232"/>
        <c:scaling>
          <c:orientation val="minMax"/>
          <c:max val="1.8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4064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rzeta_backwards_sh_ks_mods_new!$AC$21:$AC$30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rzeta_backwards_sh_ks_mods_new!$AE$21:$AE$30</c:f>
              <c:numCache>
                <c:formatCode>0.0</c:formatCode>
                <c:ptCount val="10"/>
                <c:pt idx="0">
                  <c:v>37</c:v>
                </c:pt>
                <c:pt idx="1">
                  <c:v>34</c:v>
                </c:pt>
                <c:pt idx="2">
                  <c:v>32</c:v>
                </c:pt>
                <c:pt idx="3">
                  <c:v>30.25</c:v>
                </c:pt>
                <c:pt idx="4">
                  <c:v>28.8</c:v>
                </c:pt>
                <c:pt idx="5">
                  <c:v>26</c:v>
                </c:pt>
                <c:pt idx="6">
                  <c:v>25.65</c:v>
                </c:pt>
                <c:pt idx="7">
                  <c:v>25.633333333333333</c:v>
                </c:pt>
                <c:pt idx="8">
                  <c:v>25.65</c:v>
                </c:pt>
                <c:pt idx="9">
                  <c:v>25.64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A4-48BF-818F-8AFC493B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4768"/>
        <c:axId val="103426304"/>
      </c:scatterChart>
      <c:valAx>
        <c:axId val="1034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426304"/>
        <c:crosses val="autoZero"/>
        <c:crossBetween val="midCat"/>
      </c:valAx>
      <c:valAx>
        <c:axId val="103426304"/>
        <c:scaling>
          <c:orientation val="minMax"/>
          <c:min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3424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rzeta_backwards_sh_ks_mods_new!$C$72:$C$81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rzeta_backwards_sh_ks_mods_new!$D$72:$D$81</c:f>
              <c:numCache>
                <c:formatCode>0.00</c:formatCode>
                <c:ptCount val="10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AE-41F9-A8EE-21E67ECE3F77}"/>
            </c:ext>
          </c:extLst>
        </c:ser>
        <c:ser>
          <c:idx val="1"/>
          <c:order val="1"/>
          <c:marker>
            <c:symbol val="none"/>
          </c:marker>
          <c:xVal>
            <c:numRef>
              <c:f>rzeta_backwards_sh_ks_mods_new!$M$72:$M$81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rzeta_backwards_sh_ks_mods_new!$N$72:$N$81</c:f>
              <c:numCache>
                <c:formatCode>0.00</c:formatCode>
                <c:ptCount val="10"/>
                <c:pt idx="0">
                  <c:v>1.0100559863113618</c:v>
                </c:pt>
                <c:pt idx="1">
                  <c:v>0.94180896020924276</c:v>
                </c:pt>
                <c:pt idx="2">
                  <c:v>0.87356193410712368</c:v>
                </c:pt>
                <c:pt idx="3">
                  <c:v>0.82578901583564035</c:v>
                </c:pt>
                <c:pt idx="4">
                  <c:v>0.78620574069641136</c:v>
                </c:pt>
                <c:pt idx="5">
                  <c:v>0.73706788190288564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AE-41F9-A8EE-21E67ECE3F77}"/>
            </c:ext>
          </c:extLst>
        </c:ser>
        <c:ser>
          <c:idx val="2"/>
          <c:order val="2"/>
          <c:marker>
            <c:symbol val="none"/>
          </c:marker>
          <c:xVal>
            <c:numRef>
              <c:f>rzeta_backwards_sh_ks_mods_new!$H$72:$H$81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rzeta_backwards_sh_ks_mods_new!$I$72:$I$81</c:f>
              <c:numCache>
                <c:formatCode>0.00</c:formatCode>
                <c:ptCount val="10"/>
                <c:pt idx="0">
                  <c:v>0.8550279931556809</c:v>
                </c:pt>
                <c:pt idx="1">
                  <c:v>0.82090448010462136</c:v>
                </c:pt>
                <c:pt idx="2">
                  <c:v>0.78678096705356182</c:v>
                </c:pt>
                <c:pt idx="3">
                  <c:v>0.76289450791782021</c:v>
                </c:pt>
                <c:pt idx="4">
                  <c:v>0.74310287034820566</c:v>
                </c:pt>
                <c:pt idx="5">
                  <c:v>0.71853394095144285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AE-41F9-A8EE-21E67ECE3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39744"/>
        <c:axId val="103462016"/>
      </c:scatterChart>
      <c:valAx>
        <c:axId val="10343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462016"/>
        <c:crosses val="autoZero"/>
        <c:crossBetween val="midCat"/>
      </c:valAx>
      <c:valAx>
        <c:axId val="1034620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439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czeta_backwards_sh_kevin_mods!$R$29:$R$38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czeta_backwards_sh_kevin_mods!$U$29:$U$38</c:f>
              <c:numCache>
                <c:formatCode>0.00</c:formatCode>
                <c:ptCount val="10"/>
                <c:pt idx="0">
                  <c:v>1.3742082755880367</c:v>
                </c:pt>
                <c:pt idx="1">
                  <c:v>1.0464154759064868</c:v>
                </c:pt>
                <c:pt idx="2">
                  <c:v>0.9077339068104463</c:v>
                </c:pt>
                <c:pt idx="3">
                  <c:v>0.8068745838315079</c:v>
                </c:pt>
                <c:pt idx="4">
                  <c:v>0.74383750696967132</c:v>
                </c:pt>
                <c:pt idx="5">
                  <c:v>0.60515593787363087</c:v>
                </c:pt>
                <c:pt idx="6">
                  <c:v>0.50429661489469235</c:v>
                </c:pt>
                <c:pt idx="7">
                  <c:v>0.45386695340522315</c:v>
                </c:pt>
                <c:pt idx="8">
                  <c:v>0.41604470728812126</c:v>
                </c:pt>
                <c:pt idx="9">
                  <c:v>0.39082987654338658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A0-4524-9798-F579CECE4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9616"/>
        <c:axId val="105885696"/>
      </c:scatterChart>
      <c:valAx>
        <c:axId val="133519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5885696"/>
        <c:crosses val="autoZero"/>
        <c:crossBetween val="midCat"/>
      </c:valAx>
      <c:valAx>
        <c:axId val="105885696"/>
        <c:scaling>
          <c:orientation val="minMax"/>
          <c:max val="1.8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51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rzeta_backwards_sh_ks_mods_orig!$O$12:$O$21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rzeta_backwards_sh_ks_mods_orig!$R$12:$R$21</c:f>
              <c:numCache>
                <c:formatCode>0.00</c:formatCode>
                <c:ptCount val="10"/>
                <c:pt idx="0">
                  <c:v>1.0100559863113618</c:v>
                </c:pt>
                <c:pt idx="1">
                  <c:v>0.94180896020924276</c:v>
                </c:pt>
                <c:pt idx="2">
                  <c:v>0.87356193410712368</c:v>
                </c:pt>
                <c:pt idx="3">
                  <c:v>0.82578901583564035</c:v>
                </c:pt>
                <c:pt idx="4">
                  <c:v>0.78620574069641136</c:v>
                </c:pt>
                <c:pt idx="5">
                  <c:v>0.73706788190288564</c:v>
                </c:pt>
                <c:pt idx="6">
                  <c:v>0.70021448780774131</c:v>
                </c:pt>
                <c:pt idx="7">
                  <c:v>0.6997595076337273</c:v>
                </c:pt>
                <c:pt idx="8">
                  <c:v>0.70021448780774131</c:v>
                </c:pt>
                <c:pt idx="9">
                  <c:v>0.69994149970333286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82-49F6-9958-6478708F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76192"/>
        <c:axId val="133577728"/>
      </c:scatterChart>
      <c:valAx>
        <c:axId val="1335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77728"/>
        <c:crosses val="autoZero"/>
        <c:crossBetween val="midCat"/>
      </c:valAx>
      <c:valAx>
        <c:axId val="133577728"/>
        <c:scaling>
          <c:orientation val="minMax"/>
          <c:max val="1.1000000000000001"/>
          <c:min val="0.60000000000000009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576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rzeta_backwards_sh_ks_mods_orig!$AA$6:$AA$15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rzeta_backwards_sh_ks_mods_orig!$AB$6:$AB$15</c:f>
              <c:numCache>
                <c:formatCode>0</c:formatCode>
                <c:ptCount val="10"/>
                <c:pt idx="0">
                  <c:v>36.5</c:v>
                </c:pt>
                <c:pt idx="1">
                  <c:v>64</c:v>
                </c:pt>
                <c:pt idx="2">
                  <c:v>92.5</c:v>
                </c:pt>
                <c:pt idx="3">
                  <c:v>119.5</c:v>
                </c:pt>
                <c:pt idx="4">
                  <c:v>145.5</c:v>
                </c:pt>
                <c:pt idx="5">
                  <c:v>269.5</c:v>
                </c:pt>
                <c:pt idx="6">
                  <c:v>532</c:v>
                </c:pt>
                <c:pt idx="7">
                  <c:v>852</c:v>
                </c:pt>
                <c:pt idx="8">
                  <c:v>1166</c:v>
                </c:pt>
                <c:pt idx="9">
                  <c:v>1467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00-4D18-B60F-DC71AD5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89248"/>
        <c:axId val="133595136"/>
      </c:scatterChart>
      <c:valAx>
        <c:axId val="13358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95136"/>
        <c:crosses val="autoZero"/>
        <c:crossBetween val="midCat"/>
      </c:valAx>
      <c:valAx>
        <c:axId val="1335951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3589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rzeta_backwards_sh_ks_mods_orig!$AA$6:$AA$15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rzeta_backwards_sh_ks_mods_orig!$AC$6:$AC$15</c:f>
              <c:numCache>
                <c:formatCode>0.0</c:formatCode>
                <c:ptCount val="10"/>
                <c:pt idx="0">
                  <c:v>36.5</c:v>
                </c:pt>
                <c:pt idx="1">
                  <c:v>32</c:v>
                </c:pt>
                <c:pt idx="2">
                  <c:v>30.833333333333332</c:v>
                </c:pt>
                <c:pt idx="3">
                  <c:v>29.875</c:v>
                </c:pt>
                <c:pt idx="4">
                  <c:v>29.1</c:v>
                </c:pt>
                <c:pt idx="5">
                  <c:v>26.95</c:v>
                </c:pt>
                <c:pt idx="6">
                  <c:v>26.6</c:v>
                </c:pt>
                <c:pt idx="7">
                  <c:v>28.4</c:v>
                </c:pt>
                <c:pt idx="8">
                  <c:v>29.15</c:v>
                </c:pt>
                <c:pt idx="9">
                  <c:v>29.34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CF-450C-A54A-EDAEF997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02688"/>
        <c:axId val="133629056"/>
      </c:scatterChart>
      <c:valAx>
        <c:axId val="1336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629056"/>
        <c:crosses val="autoZero"/>
        <c:crossBetween val="midCat"/>
      </c:valAx>
      <c:valAx>
        <c:axId val="133629056"/>
        <c:scaling>
          <c:orientation val="minMax"/>
          <c:min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360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rzeta_backwards_sh_ks_mods_orig!$AA$19:$AA$28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rzeta_backwards_sh_ks_mods_orig!$AC$19:$AC$28</c:f>
              <c:numCache>
                <c:formatCode>0.0</c:formatCode>
                <c:ptCount val="10"/>
                <c:pt idx="0">
                  <c:v>37</c:v>
                </c:pt>
                <c:pt idx="1">
                  <c:v>34</c:v>
                </c:pt>
                <c:pt idx="2">
                  <c:v>32</c:v>
                </c:pt>
                <c:pt idx="3">
                  <c:v>30.25</c:v>
                </c:pt>
                <c:pt idx="4">
                  <c:v>28.8</c:v>
                </c:pt>
                <c:pt idx="5">
                  <c:v>26</c:v>
                </c:pt>
                <c:pt idx="6">
                  <c:v>25.65</c:v>
                </c:pt>
                <c:pt idx="7">
                  <c:v>25.633333333333333</c:v>
                </c:pt>
                <c:pt idx="8">
                  <c:v>25.65</c:v>
                </c:pt>
                <c:pt idx="9">
                  <c:v>25.64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5A-462C-BFEC-C44C02303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44672"/>
        <c:axId val="133646208"/>
      </c:scatterChart>
      <c:valAx>
        <c:axId val="1336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646208"/>
        <c:crosses val="autoZero"/>
        <c:crossBetween val="midCat"/>
      </c:valAx>
      <c:valAx>
        <c:axId val="133646208"/>
        <c:scaling>
          <c:orientation val="minMax"/>
          <c:min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3644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rzeta_backwards_sh_ks_mods_orig!$C$70:$C$79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rzeta_backwards_sh_ks_mods_orig!$D$70:$D$79</c:f>
              <c:numCache>
                <c:formatCode>0.00</c:formatCode>
                <c:ptCount val="10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CA-4B2C-8D30-DA5A7C15CB87}"/>
            </c:ext>
          </c:extLst>
        </c:ser>
        <c:ser>
          <c:idx val="1"/>
          <c:order val="1"/>
          <c:marker>
            <c:symbol val="none"/>
          </c:marker>
          <c:xVal>
            <c:numRef>
              <c:f>rzeta_backwards_sh_ks_mods_orig!$M$70:$M$79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rzeta_backwards_sh_ks_mods_orig!$N$70:$N$79</c:f>
              <c:numCache>
                <c:formatCode>0.00</c:formatCode>
                <c:ptCount val="10"/>
                <c:pt idx="0">
                  <c:v>1.0100559863113618</c:v>
                </c:pt>
                <c:pt idx="1">
                  <c:v>0.94180896020924276</c:v>
                </c:pt>
                <c:pt idx="2">
                  <c:v>0.87356193410712368</c:v>
                </c:pt>
                <c:pt idx="3">
                  <c:v>0.82578901583564035</c:v>
                </c:pt>
                <c:pt idx="4">
                  <c:v>0.78620574069641136</c:v>
                </c:pt>
                <c:pt idx="5">
                  <c:v>0.73706788190288564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CA-4B2C-8D30-DA5A7C15CB87}"/>
            </c:ext>
          </c:extLst>
        </c:ser>
        <c:ser>
          <c:idx val="2"/>
          <c:order val="2"/>
          <c:marker>
            <c:symbol val="none"/>
          </c:marker>
          <c:xVal>
            <c:numRef>
              <c:f>rzeta_backwards_sh_ks_mods_orig!$H$70:$H$79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rzeta_backwards_sh_ks_mods_orig!$I$70:$I$79</c:f>
              <c:numCache>
                <c:formatCode>0.00</c:formatCode>
                <c:ptCount val="10"/>
                <c:pt idx="0">
                  <c:v>0.8550279931556809</c:v>
                </c:pt>
                <c:pt idx="1">
                  <c:v>0.82090448010462136</c:v>
                </c:pt>
                <c:pt idx="2">
                  <c:v>0.78678096705356182</c:v>
                </c:pt>
                <c:pt idx="3">
                  <c:v>0.76289450791782021</c:v>
                </c:pt>
                <c:pt idx="4">
                  <c:v>0.74310287034820566</c:v>
                </c:pt>
                <c:pt idx="5">
                  <c:v>0.71853394095144285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CA-4B2C-8D30-DA5A7C15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63744"/>
        <c:axId val="133677824"/>
      </c:scatterChart>
      <c:valAx>
        <c:axId val="1336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677824"/>
        <c:crosses val="autoZero"/>
        <c:crossBetween val="midCat"/>
      </c:valAx>
      <c:valAx>
        <c:axId val="133677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663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rzeta_backwards_sh_ks_mods_new!$O$14:$O$23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rzeta_backwards_sh_ks_mods_new!$R$14:$R$23</c:f>
              <c:numCache>
                <c:formatCode>0.000</c:formatCode>
                <c:ptCount val="10"/>
                <c:pt idx="0">
                  <c:v>0.99913646213502283</c:v>
                </c:pt>
                <c:pt idx="1">
                  <c:v>0.91451014976839518</c:v>
                </c:pt>
                <c:pt idx="2">
                  <c:v>0.84262328227416305</c:v>
                </c:pt>
                <c:pt idx="3">
                  <c:v>0.78484080017436897</c:v>
                </c:pt>
                <c:pt idx="4">
                  <c:v>0.74252764399105509</c:v>
                </c:pt>
                <c:pt idx="5">
                  <c:v>0.70021448780774131</c:v>
                </c:pt>
                <c:pt idx="6">
                  <c:v>0.70021448780774131</c:v>
                </c:pt>
                <c:pt idx="7">
                  <c:v>0.6997595076337273</c:v>
                </c:pt>
                <c:pt idx="8">
                  <c:v>0.70021448780774131</c:v>
                </c:pt>
                <c:pt idx="9">
                  <c:v>0.69994149970333286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AB-4841-B1E1-1ADEA688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02688"/>
        <c:axId val="135204224"/>
      </c:scatterChart>
      <c:valAx>
        <c:axId val="1352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04224"/>
        <c:crosses val="autoZero"/>
        <c:crossBetween val="midCat"/>
      </c:valAx>
      <c:valAx>
        <c:axId val="135204224"/>
        <c:scaling>
          <c:orientation val="minMax"/>
          <c:max val="1.1000000000000001"/>
          <c:min val="0.6000000000000000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520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rzeta_backwards_sh_ks_mods_new!$AC$8:$AC$17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rzeta_backwards_sh_ks_mods_new!$AD$8:$AD$17</c:f>
              <c:numCache>
                <c:formatCode>0</c:formatCode>
                <c:ptCount val="10"/>
                <c:pt idx="0">
                  <c:v>36.5</c:v>
                </c:pt>
                <c:pt idx="1">
                  <c:v>64</c:v>
                </c:pt>
                <c:pt idx="2">
                  <c:v>92.5</c:v>
                </c:pt>
                <c:pt idx="3">
                  <c:v>119.5</c:v>
                </c:pt>
                <c:pt idx="4">
                  <c:v>145.5</c:v>
                </c:pt>
                <c:pt idx="5">
                  <c:v>269.5</c:v>
                </c:pt>
                <c:pt idx="6">
                  <c:v>532</c:v>
                </c:pt>
                <c:pt idx="7">
                  <c:v>852</c:v>
                </c:pt>
                <c:pt idx="8">
                  <c:v>1166</c:v>
                </c:pt>
                <c:pt idx="9">
                  <c:v>1467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15-4A9F-8EE6-4F9C4A49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85376"/>
        <c:axId val="135287168"/>
      </c:scatterChart>
      <c:valAx>
        <c:axId val="1352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87168"/>
        <c:crosses val="autoZero"/>
        <c:crossBetween val="midCat"/>
      </c:valAx>
      <c:valAx>
        <c:axId val="1352871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5285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rzeta_backwards_sh_ks_mods_new!$AC$8:$AC$17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rzeta_backwards_sh_ks_mods_new!$AE$8:$AE$17</c:f>
              <c:numCache>
                <c:formatCode>0.0</c:formatCode>
                <c:ptCount val="10"/>
                <c:pt idx="0">
                  <c:v>36.5</c:v>
                </c:pt>
                <c:pt idx="1">
                  <c:v>32</c:v>
                </c:pt>
                <c:pt idx="2">
                  <c:v>30.833333333333332</c:v>
                </c:pt>
                <c:pt idx="3">
                  <c:v>29.875</c:v>
                </c:pt>
                <c:pt idx="4">
                  <c:v>29.1</c:v>
                </c:pt>
                <c:pt idx="5">
                  <c:v>26.95</c:v>
                </c:pt>
                <c:pt idx="6">
                  <c:v>26.6</c:v>
                </c:pt>
                <c:pt idx="7">
                  <c:v>28.4</c:v>
                </c:pt>
                <c:pt idx="8">
                  <c:v>29.15</c:v>
                </c:pt>
                <c:pt idx="9">
                  <c:v>29.34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46-4CE2-A7B5-3995051E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5456"/>
        <c:axId val="135316992"/>
      </c:scatterChart>
      <c:valAx>
        <c:axId val="1353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316992"/>
        <c:crosses val="autoZero"/>
        <c:crossBetween val="midCat"/>
      </c:valAx>
      <c:valAx>
        <c:axId val="135316992"/>
        <c:scaling>
          <c:orientation val="minMax"/>
          <c:min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5315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127000</xdr:rowOff>
    </xdr:from>
    <xdr:to>
      <xdr:col>5</xdr:col>
      <xdr:colOff>0</xdr:colOff>
      <xdr:row>10</xdr:row>
      <xdr:rowOff>42333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946400" y="1841500"/>
          <a:ext cx="101600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</xdr:row>
      <xdr:rowOff>137584</xdr:rowOff>
    </xdr:from>
    <xdr:to>
      <xdr:col>11</xdr:col>
      <xdr:colOff>1</xdr:colOff>
      <xdr:row>10</xdr:row>
      <xdr:rowOff>52917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375400" y="1852084"/>
          <a:ext cx="101601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232832</xdr:colOff>
      <xdr:row>13</xdr:row>
      <xdr:rowOff>186531</xdr:rowOff>
    </xdr:from>
    <xdr:to>
      <xdr:col>24</xdr:col>
      <xdr:colOff>111126</xdr:colOff>
      <xdr:row>25</xdr:row>
      <xdr:rowOff>38365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508000</xdr:colOff>
      <xdr:row>29</xdr:row>
      <xdr:rowOff>148167</xdr:rowOff>
    </xdr:from>
    <xdr:to>
      <xdr:col>16</xdr:col>
      <xdr:colOff>381000</xdr:colOff>
      <xdr:row>43</xdr:row>
      <xdr:rowOff>63500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8385175" y="4910667"/>
          <a:ext cx="1701800" cy="22013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127000</xdr:rowOff>
    </xdr:from>
    <xdr:to>
      <xdr:col>5</xdr:col>
      <xdr:colOff>0</xdr:colOff>
      <xdr:row>10</xdr:row>
      <xdr:rowOff>42333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2963333" y="1841500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</xdr:row>
      <xdr:rowOff>137584</xdr:rowOff>
    </xdr:from>
    <xdr:to>
      <xdr:col>11</xdr:col>
      <xdr:colOff>1</xdr:colOff>
      <xdr:row>10</xdr:row>
      <xdr:rowOff>52917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6413500" y="1852084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31750</xdr:rowOff>
    </xdr:from>
    <xdr:to>
      <xdr:col>4</xdr:col>
      <xdr:colOff>518584</xdr:colOff>
      <xdr:row>10</xdr:row>
      <xdr:rowOff>42333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2963333" y="1746250"/>
          <a:ext cx="10584" cy="201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105836</xdr:colOff>
      <xdr:row>5</xdr:row>
      <xdr:rowOff>158751</xdr:rowOff>
    </xdr:from>
    <xdr:to>
      <xdr:col>18</xdr:col>
      <xdr:colOff>10584</xdr:colOff>
      <xdr:row>10</xdr:row>
      <xdr:rowOff>21167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9641419" y="1111251"/>
          <a:ext cx="1132415" cy="8149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608540</xdr:colOff>
      <xdr:row>22</xdr:row>
      <xdr:rowOff>51858</xdr:rowOff>
    </xdr:from>
    <xdr:to>
      <xdr:col>21</xdr:col>
      <xdr:colOff>179916</xdr:colOff>
      <xdr:row>35</xdr:row>
      <xdr:rowOff>42333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105834</xdr:colOff>
      <xdr:row>11</xdr:row>
      <xdr:rowOff>127000</xdr:rowOff>
    </xdr:from>
    <xdr:to>
      <xdr:col>17</xdr:col>
      <xdr:colOff>105833</xdr:colOff>
      <xdr:row>25</xdr:row>
      <xdr:rowOff>127000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4783667" y="2222500"/>
          <a:ext cx="5471583" cy="2667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343958</xdr:colOff>
      <xdr:row>0</xdr:row>
      <xdr:rowOff>104774</xdr:rowOff>
    </xdr:from>
    <xdr:to>
      <xdr:col>36</xdr:col>
      <xdr:colOff>179916</xdr:colOff>
      <xdr:row>11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269874</xdr:colOff>
      <xdr:row>0</xdr:row>
      <xdr:rowOff>83607</xdr:rowOff>
    </xdr:from>
    <xdr:to>
      <xdr:col>42</xdr:col>
      <xdr:colOff>10583</xdr:colOff>
      <xdr:row>11</xdr:row>
      <xdr:rowOff>137583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301625</xdr:colOff>
      <xdr:row>13</xdr:row>
      <xdr:rowOff>9524</xdr:rowOff>
    </xdr:from>
    <xdr:to>
      <xdr:col>39</xdr:col>
      <xdr:colOff>576791</xdr:colOff>
      <xdr:row>27</xdr:row>
      <xdr:rowOff>85724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391583</xdr:colOff>
      <xdr:row>44</xdr:row>
      <xdr:rowOff>52917</xdr:rowOff>
    </xdr:from>
    <xdr:to>
      <xdr:col>3</xdr:col>
      <xdr:colOff>137583</xdr:colOff>
      <xdr:row>46</xdr:row>
      <xdr:rowOff>116417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619250" y="8434917"/>
          <a:ext cx="359833" cy="444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47623</xdr:colOff>
      <xdr:row>81</xdr:row>
      <xdr:rowOff>9522</xdr:rowOff>
    </xdr:from>
    <xdr:to>
      <xdr:col>6</xdr:col>
      <xdr:colOff>264583</xdr:colOff>
      <xdr:row>91</xdr:row>
      <xdr:rowOff>158749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11</xdr:row>
      <xdr:rowOff>31750</xdr:rowOff>
    </xdr:from>
    <xdr:to>
      <xdr:col>4</xdr:col>
      <xdr:colOff>518584</xdr:colOff>
      <xdr:row>12</xdr:row>
      <xdr:rowOff>42333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2946400" y="1746250"/>
          <a:ext cx="10584" cy="201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105836</xdr:colOff>
      <xdr:row>7</xdr:row>
      <xdr:rowOff>158751</xdr:rowOff>
    </xdr:from>
    <xdr:to>
      <xdr:col>18</xdr:col>
      <xdr:colOff>10584</xdr:colOff>
      <xdr:row>12</xdr:row>
      <xdr:rowOff>21167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9811811" y="1111251"/>
          <a:ext cx="1123948" cy="81491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608540</xdr:colOff>
      <xdr:row>24</xdr:row>
      <xdr:rowOff>51858</xdr:rowOff>
    </xdr:from>
    <xdr:to>
      <xdr:col>21</xdr:col>
      <xdr:colOff>179916</xdr:colOff>
      <xdr:row>37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105834</xdr:colOff>
      <xdr:row>13</xdr:row>
      <xdr:rowOff>127000</xdr:rowOff>
    </xdr:from>
    <xdr:to>
      <xdr:col>17</xdr:col>
      <xdr:colOff>105833</xdr:colOff>
      <xdr:row>27</xdr:row>
      <xdr:rowOff>127000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4982634" y="2222500"/>
          <a:ext cx="5438774" cy="2667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343958</xdr:colOff>
      <xdr:row>0</xdr:row>
      <xdr:rowOff>104774</xdr:rowOff>
    </xdr:from>
    <xdr:to>
      <xdr:col>38</xdr:col>
      <xdr:colOff>179916</xdr:colOff>
      <xdr:row>13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269874</xdr:colOff>
      <xdr:row>0</xdr:row>
      <xdr:rowOff>83607</xdr:rowOff>
    </xdr:from>
    <xdr:to>
      <xdr:col>44</xdr:col>
      <xdr:colOff>10583</xdr:colOff>
      <xdr:row>13</xdr:row>
      <xdr:rowOff>137583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301625</xdr:colOff>
      <xdr:row>15</xdr:row>
      <xdr:rowOff>9524</xdr:rowOff>
    </xdr:from>
    <xdr:to>
      <xdr:col>41</xdr:col>
      <xdr:colOff>576791</xdr:colOff>
      <xdr:row>29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391583</xdr:colOff>
      <xdr:row>46</xdr:row>
      <xdr:rowOff>52917</xdr:rowOff>
    </xdr:from>
    <xdr:to>
      <xdr:col>3</xdr:col>
      <xdr:colOff>137583</xdr:colOff>
      <xdr:row>48</xdr:row>
      <xdr:rowOff>116417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1610783" y="8434917"/>
          <a:ext cx="355600" cy="444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47623</xdr:colOff>
      <xdr:row>83</xdr:row>
      <xdr:rowOff>9522</xdr:rowOff>
    </xdr:from>
    <xdr:to>
      <xdr:col>6</xdr:col>
      <xdr:colOff>264583</xdr:colOff>
      <xdr:row>93</xdr:row>
      <xdr:rowOff>158749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185207</xdr:colOff>
      <xdr:row>11</xdr:row>
      <xdr:rowOff>127000</xdr:rowOff>
    </xdr:from>
    <xdr:to>
      <xdr:col>21</xdr:col>
      <xdr:colOff>63500</xdr:colOff>
      <xdr:row>22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508000</xdr:colOff>
      <xdr:row>25</xdr:row>
      <xdr:rowOff>148167</xdr:rowOff>
    </xdr:from>
    <xdr:to>
      <xdr:col>16</xdr:col>
      <xdr:colOff>381000</xdr:colOff>
      <xdr:row>37</xdr:row>
      <xdr:rowOff>63500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8276167" y="8911167"/>
          <a:ext cx="1714500" cy="22013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X170"/>
  <sheetViews>
    <sheetView showGridLines="0" zoomScale="90" zoomScaleNormal="90" workbookViewId="0">
      <selection activeCell="F6" sqref="F6"/>
    </sheetView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24" ht="15" customHeight="1" x14ac:dyDescent="0.2">
      <c r="A1" s="120" t="s">
        <v>89</v>
      </c>
      <c r="K1" t="s">
        <v>91</v>
      </c>
    </row>
    <row r="2" spans="1:24" ht="15" customHeight="1" x14ac:dyDescent="0.2">
      <c r="A2" t="s">
        <v>13</v>
      </c>
      <c r="B2" s="11" t="s">
        <v>12</v>
      </c>
    </row>
    <row r="3" spans="1:24" ht="15" customHeight="1" x14ac:dyDescent="0.2">
      <c r="B3" s="11" t="s">
        <v>7</v>
      </c>
    </row>
    <row r="4" spans="1:24" ht="15" customHeight="1" x14ac:dyDescent="0.2"/>
    <row r="5" spans="1:24" ht="15" customHeight="1" x14ac:dyDescent="0.2">
      <c r="I5" t="s">
        <v>8</v>
      </c>
    </row>
    <row r="6" spans="1:24" ht="15" customHeight="1" x14ac:dyDescent="0.2">
      <c r="B6" s="3">
        <v>2.52</v>
      </c>
      <c r="C6" s="1" t="s">
        <v>6</v>
      </c>
      <c r="E6" s="3"/>
      <c r="I6" s="3">
        <v>0.9</v>
      </c>
      <c r="J6" s="1" t="s">
        <v>6</v>
      </c>
    </row>
    <row r="7" spans="1:24" ht="15" customHeight="1" x14ac:dyDescent="0.2">
      <c r="B7" s="3">
        <v>4.6500000000000004</v>
      </c>
      <c r="C7" t="s">
        <v>0</v>
      </c>
      <c r="I7" s="3">
        <v>0.96</v>
      </c>
      <c r="J7" t="s">
        <v>0</v>
      </c>
    </row>
    <row r="8" spans="1:24" ht="15" customHeight="1" x14ac:dyDescent="0.2">
      <c r="B8" s="3">
        <v>85</v>
      </c>
      <c r="C8" s="1" t="s">
        <v>1</v>
      </c>
      <c r="I8" s="3">
        <v>85</v>
      </c>
      <c r="J8" s="1" t="s">
        <v>1</v>
      </c>
      <c r="P8" s="146">
        <v>3171</v>
      </c>
      <c r="Q8" s="180" t="s">
        <v>121</v>
      </c>
      <c r="R8" s="181"/>
      <c r="S8" s="147" t="s">
        <v>122</v>
      </c>
      <c r="T8" s="148"/>
      <c r="U8" s="149"/>
      <c r="V8" s="182" t="s">
        <v>123</v>
      </c>
      <c r="W8" s="183"/>
      <c r="X8" s="150">
        <v>4.2</v>
      </c>
    </row>
    <row r="9" spans="1:24" ht="15" customHeight="1" x14ac:dyDescent="0.2">
      <c r="B9" s="3"/>
      <c r="C9" s="1"/>
      <c r="I9" s="14">
        <v>0.7</v>
      </c>
      <c r="J9" s="1" t="s">
        <v>9</v>
      </c>
      <c r="P9" s="150" t="s">
        <v>124</v>
      </c>
      <c r="Q9" s="180" t="s">
        <v>125</v>
      </c>
      <c r="R9" s="184"/>
      <c r="S9" s="181"/>
      <c r="T9" s="148"/>
      <c r="U9" s="149"/>
      <c r="V9" s="182" t="s">
        <v>126</v>
      </c>
      <c r="W9" s="183"/>
      <c r="X9" s="150">
        <v>2.52</v>
      </c>
    </row>
    <row r="10" spans="1:24" ht="15" customHeight="1" x14ac:dyDescent="0.2">
      <c r="F10" t="s">
        <v>10</v>
      </c>
      <c r="L10" t="s">
        <v>11</v>
      </c>
      <c r="P10" s="151" t="s">
        <v>39</v>
      </c>
      <c r="Q10" s="151" t="s">
        <v>127</v>
      </c>
      <c r="R10" s="151" t="s">
        <v>129</v>
      </c>
      <c r="S10" s="151" t="s">
        <v>130</v>
      </c>
      <c r="T10" s="151" t="s">
        <v>132</v>
      </c>
      <c r="U10" s="151" t="s">
        <v>134</v>
      </c>
      <c r="V10" s="151" t="s">
        <v>134</v>
      </c>
      <c r="W10" s="151"/>
      <c r="X10" s="173" t="s">
        <v>49</v>
      </c>
    </row>
    <row r="11" spans="1:24" ht="15" customHeight="1" x14ac:dyDescent="0.2">
      <c r="B11" s="4" t="s">
        <v>2</v>
      </c>
      <c r="C11" s="4" t="s">
        <v>3</v>
      </c>
      <c r="D11" s="5" t="s">
        <v>5</v>
      </c>
      <c r="E11" s="4" t="s">
        <v>4</v>
      </c>
      <c r="I11" s="4" t="s">
        <v>2</v>
      </c>
      <c r="J11" s="5" t="s">
        <v>5</v>
      </c>
      <c r="K11" s="4" t="s">
        <v>3</v>
      </c>
      <c r="P11" s="152"/>
      <c r="Q11" s="156"/>
      <c r="R11" s="156"/>
      <c r="S11" s="163" t="s">
        <v>131</v>
      </c>
      <c r="T11" s="156" t="s">
        <v>133</v>
      </c>
      <c r="U11" s="156"/>
      <c r="V11" s="163" t="s">
        <v>135</v>
      </c>
      <c r="W11" s="172" t="s">
        <v>136</v>
      </c>
      <c r="X11" s="174" t="s">
        <v>137</v>
      </c>
    </row>
    <row r="12" spans="1:24" ht="15" customHeight="1" x14ac:dyDescent="0.2">
      <c r="B12" s="2">
        <v>1</v>
      </c>
      <c r="C12" s="7">
        <v>49.249000000000002</v>
      </c>
      <c r="D12" s="12">
        <f>C12/B12</f>
        <v>49.249000000000002</v>
      </c>
      <c r="E12" s="9">
        <f>SQRT(12*32.2*D12^2/(4*$B$8*($B$7*56)*$B$6^2))</f>
        <v>1.2910869345452374</v>
      </c>
      <c r="I12" s="2">
        <v>1</v>
      </c>
      <c r="J12" s="12">
        <f t="shared" ref="J12:J21" si="0">K12/I12</f>
        <v>-25.45</v>
      </c>
      <c r="K12" s="7">
        <v>-25.45</v>
      </c>
      <c r="P12" s="153"/>
      <c r="Q12" s="157" t="s">
        <v>128</v>
      </c>
      <c r="R12" s="157" t="s">
        <v>128</v>
      </c>
      <c r="S12" s="157" t="s">
        <v>128</v>
      </c>
      <c r="T12" s="157" t="s">
        <v>128</v>
      </c>
      <c r="U12" s="157" t="s">
        <v>128</v>
      </c>
      <c r="V12" s="157" t="s">
        <v>128</v>
      </c>
      <c r="W12" s="157"/>
      <c r="X12" s="175" t="s">
        <v>138</v>
      </c>
    </row>
    <row r="13" spans="1:24" ht="15" customHeight="1" x14ac:dyDescent="0.2">
      <c r="B13" s="6">
        <v>2</v>
      </c>
      <c r="C13" s="8">
        <v>78.593000000000004</v>
      </c>
      <c r="D13" s="13">
        <f>C13/B13</f>
        <v>39.296500000000002</v>
      </c>
      <c r="E13" s="10">
        <f>SQRT(12*32.2*D13^2/(4*$B$8*($B$7*56)*$B$6^2))</f>
        <v>1.0301772162552929</v>
      </c>
      <c r="I13" s="6">
        <v>2</v>
      </c>
      <c r="J13" s="13">
        <f t="shared" si="0"/>
        <v>-25.45</v>
      </c>
      <c r="K13" s="8">
        <f>-50.9</f>
        <v>-50.9</v>
      </c>
      <c r="P13" s="154">
        <v>0</v>
      </c>
      <c r="Q13" s="83"/>
      <c r="R13" s="159"/>
      <c r="S13" s="164"/>
      <c r="T13" s="162"/>
      <c r="U13" s="162"/>
      <c r="V13" s="83"/>
      <c r="W13" s="83"/>
      <c r="X13" s="176"/>
    </row>
    <row r="14" spans="1:24" ht="15" customHeight="1" x14ac:dyDescent="0.2">
      <c r="B14" s="2">
        <v>3</v>
      </c>
      <c r="C14" s="7">
        <v>103.008</v>
      </c>
      <c r="D14" s="12">
        <f t="shared" ref="D14:D20" si="1">C14/B14</f>
        <v>34.335999999999999</v>
      </c>
      <c r="E14" s="9">
        <f t="shared" ref="E14:E21" si="2">SQRT(12*32.2*D14^2/(4*$B$8*($B$7*56)*$B$6^2))</f>
        <v>0.90013525116337922</v>
      </c>
      <c r="I14" s="2">
        <v>3</v>
      </c>
      <c r="J14" s="12">
        <f t="shared" si="0"/>
        <v>-25.453333333333333</v>
      </c>
      <c r="K14" s="7">
        <v>-76.36</v>
      </c>
      <c r="P14" s="154">
        <v>1</v>
      </c>
      <c r="Q14" s="158">
        <v>46.808</v>
      </c>
      <c r="R14" s="160">
        <v>-36.207999999999998</v>
      </c>
      <c r="S14" s="165">
        <v>1</v>
      </c>
      <c r="T14" s="162">
        <v>47</v>
      </c>
      <c r="U14" s="158">
        <v>1.2911999999999999</v>
      </c>
      <c r="V14" s="168">
        <v>1.2927</v>
      </c>
      <c r="W14" s="158"/>
      <c r="X14" s="177">
        <v>0.77400000000000002</v>
      </c>
    </row>
    <row r="15" spans="1:24" ht="15" customHeight="1" x14ac:dyDescent="0.2">
      <c r="B15" s="2">
        <v>4</v>
      </c>
      <c r="C15" s="7">
        <v>124.026</v>
      </c>
      <c r="D15" s="12">
        <f t="shared" si="1"/>
        <v>31.006499999999999</v>
      </c>
      <c r="E15" s="9">
        <f t="shared" si="2"/>
        <v>0.8128507591215437</v>
      </c>
      <c r="I15" s="2">
        <v>4</v>
      </c>
      <c r="J15" s="12">
        <f t="shared" si="0"/>
        <v>-25.452500000000001</v>
      </c>
      <c r="K15" s="7">
        <v>-101.81</v>
      </c>
      <c r="P15" s="154">
        <v>2</v>
      </c>
      <c r="Q15" s="84">
        <v>71.522999999999996</v>
      </c>
      <c r="R15" s="161">
        <v>-60.091999999999999</v>
      </c>
      <c r="S15" s="166">
        <v>0.83</v>
      </c>
      <c r="T15" s="162">
        <v>36</v>
      </c>
      <c r="U15" s="84">
        <v>0.98650000000000004</v>
      </c>
      <c r="V15" s="169">
        <v>0.98799999999999999</v>
      </c>
      <c r="W15" s="84"/>
      <c r="X15" s="178">
        <v>0.84</v>
      </c>
    </row>
    <row r="16" spans="1:24" ht="15" customHeight="1" x14ac:dyDescent="0.2">
      <c r="B16" s="6">
        <v>5</v>
      </c>
      <c r="C16" s="8">
        <v>143.15700000000001</v>
      </c>
      <c r="D16" s="13">
        <f t="shared" si="1"/>
        <v>28.631400000000003</v>
      </c>
      <c r="E16" s="10">
        <f t="shared" si="2"/>
        <v>0.750586335920293</v>
      </c>
      <c r="I16" s="6">
        <v>5</v>
      </c>
      <c r="J16" s="13">
        <f t="shared" si="0"/>
        <v>-25.454000000000001</v>
      </c>
      <c r="K16" s="8">
        <v>-127.27</v>
      </c>
      <c r="P16" s="154">
        <v>3</v>
      </c>
      <c r="Q16" s="83">
        <v>93.456999999999994</v>
      </c>
      <c r="R16" s="162">
        <v>-83.605999999999995</v>
      </c>
      <c r="S16" s="164">
        <v>0.77</v>
      </c>
      <c r="T16" s="162">
        <v>31</v>
      </c>
      <c r="U16" s="83">
        <v>0.85929999999999995</v>
      </c>
      <c r="V16" s="170">
        <v>0.86070000000000002</v>
      </c>
      <c r="W16" s="83"/>
      <c r="X16" s="179">
        <v>0.89500000000000002</v>
      </c>
    </row>
    <row r="17" spans="2:24" ht="15" customHeight="1" x14ac:dyDescent="0.2">
      <c r="B17" s="2">
        <v>10</v>
      </c>
      <c r="C17" s="7">
        <v>223.96100000000001</v>
      </c>
      <c r="D17" s="12">
        <f t="shared" si="1"/>
        <v>22.396100000000001</v>
      </c>
      <c r="E17" s="9">
        <f t="shared" si="2"/>
        <v>0.58712485725128605</v>
      </c>
      <c r="I17" s="2">
        <v>10</v>
      </c>
      <c r="J17" s="12">
        <f t="shared" si="0"/>
        <v>-25.452999999999999</v>
      </c>
      <c r="K17" s="7">
        <v>-254.53</v>
      </c>
      <c r="P17" s="154">
        <v>4</v>
      </c>
      <c r="Q17" s="83">
        <v>113.783</v>
      </c>
      <c r="R17" s="162">
        <v>-107.41</v>
      </c>
      <c r="S17" s="164">
        <v>0.74199999999999999</v>
      </c>
      <c r="T17" s="162">
        <v>28</v>
      </c>
      <c r="U17" s="83">
        <v>0.78469999999999995</v>
      </c>
      <c r="V17" s="170">
        <v>0.78600000000000003</v>
      </c>
      <c r="W17" s="83"/>
      <c r="X17" s="179">
        <v>0.94399999999999995</v>
      </c>
    </row>
    <row r="18" spans="2:24" ht="15" customHeight="1" x14ac:dyDescent="0.2">
      <c r="B18" s="2">
        <v>20</v>
      </c>
      <c r="C18" s="7">
        <v>365.01100000000002</v>
      </c>
      <c r="D18" s="12">
        <f t="shared" si="1"/>
        <v>18.25055</v>
      </c>
      <c r="E18" s="9">
        <f t="shared" si="2"/>
        <v>0.47844721016192371</v>
      </c>
      <c r="I18" s="2">
        <v>20</v>
      </c>
      <c r="J18" s="12">
        <f t="shared" si="0"/>
        <v>-25.452500000000001</v>
      </c>
      <c r="K18" s="7">
        <v>-509.05</v>
      </c>
      <c r="P18" s="154">
        <v>5</v>
      </c>
      <c r="Q18" s="84">
        <v>133.56700000000001</v>
      </c>
      <c r="R18" s="161">
        <v>-133.34800000000001</v>
      </c>
      <c r="S18" s="166">
        <v>0.73699999999999999</v>
      </c>
      <c r="T18" s="162">
        <v>27</v>
      </c>
      <c r="U18" s="84">
        <v>0.7369</v>
      </c>
      <c r="V18" s="169">
        <v>0.73809999999999998</v>
      </c>
      <c r="W18" s="84"/>
      <c r="X18" s="178">
        <v>0.998</v>
      </c>
    </row>
    <row r="19" spans="2:24" ht="15" customHeight="1" x14ac:dyDescent="0.2">
      <c r="B19" s="2">
        <v>30</v>
      </c>
      <c r="C19" s="7">
        <v>495.28800000000001</v>
      </c>
      <c r="D19" s="12">
        <f t="shared" si="1"/>
        <v>16.509599999999999</v>
      </c>
      <c r="E19" s="9">
        <f t="shared" si="2"/>
        <v>0.43280734338906474</v>
      </c>
      <c r="I19" s="2">
        <v>30</v>
      </c>
      <c r="J19" s="12">
        <f t="shared" si="0"/>
        <v>-25.453333333333333</v>
      </c>
      <c r="K19" s="7">
        <v>-763.6</v>
      </c>
      <c r="P19" s="154">
        <v>10</v>
      </c>
      <c r="Q19" s="83">
        <v>210.52500000000001</v>
      </c>
      <c r="R19" s="162">
        <v>-260.54399999999998</v>
      </c>
      <c r="S19" s="164">
        <v>0.72</v>
      </c>
      <c r="T19" s="162">
        <v>21</v>
      </c>
      <c r="U19" s="83">
        <v>0.58069999999999999</v>
      </c>
      <c r="V19" s="170">
        <v>0.58179999999999998</v>
      </c>
      <c r="W19" s="83"/>
      <c r="X19" s="179">
        <v>1.238</v>
      </c>
    </row>
    <row r="20" spans="2:24" ht="15" customHeight="1" x14ac:dyDescent="0.2">
      <c r="B20" s="6">
        <v>40</v>
      </c>
      <c r="C20" s="8">
        <v>616.96100000000001</v>
      </c>
      <c r="D20" s="13">
        <f t="shared" si="1"/>
        <v>15.424025</v>
      </c>
      <c r="E20" s="10">
        <f t="shared" si="2"/>
        <v>0.40434845693514798</v>
      </c>
      <c r="I20" s="6">
        <v>40</v>
      </c>
      <c r="J20" s="13">
        <f t="shared" si="0"/>
        <v>-25.452500000000001</v>
      </c>
      <c r="K20" s="8">
        <v>-1018.1</v>
      </c>
      <c r="P20" s="154">
        <v>20</v>
      </c>
      <c r="Q20" s="83">
        <v>335.459</v>
      </c>
      <c r="R20" s="162">
        <v>-506.577</v>
      </c>
      <c r="S20" s="164">
        <v>0.7</v>
      </c>
      <c r="T20" s="162">
        <v>17</v>
      </c>
      <c r="U20" s="83">
        <v>0.4627</v>
      </c>
      <c r="V20" s="170">
        <v>0.46350000000000002</v>
      </c>
      <c r="W20" s="83"/>
      <c r="X20" s="179">
        <v>1.51</v>
      </c>
    </row>
    <row r="21" spans="2:24" ht="15" customHeight="1" x14ac:dyDescent="0.2">
      <c r="B21" s="2">
        <v>50</v>
      </c>
      <c r="C21" s="7">
        <v>728.62099999999998</v>
      </c>
      <c r="D21" s="12">
        <f>C21/B21</f>
        <v>14.572419999999999</v>
      </c>
      <c r="E21" s="9">
        <f t="shared" si="2"/>
        <v>0.38202320994752592</v>
      </c>
      <c r="I21" s="2">
        <v>50</v>
      </c>
      <c r="J21" s="12">
        <f t="shared" si="0"/>
        <v>-25.452199999999998</v>
      </c>
      <c r="K21" s="7">
        <v>-1272.6099999999999</v>
      </c>
      <c r="P21" s="154">
        <v>30</v>
      </c>
      <c r="Q21" s="83">
        <v>447.11500000000001</v>
      </c>
      <c r="R21" s="162">
        <v>-759.846</v>
      </c>
      <c r="S21" s="164">
        <v>0.7</v>
      </c>
      <c r="T21" s="162">
        <v>15</v>
      </c>
      <c r="U21" s="83">
        <v>0.41110000000000002</v>
      </c>
      <c r="V21" s="170">
        <v>0.41189999999999999</v>
      </c>
      <c r="W21" s="83"/>
      <c r="X21" s="179">
        <v>1.6990000000000001</v>
      </c>
    </row>
    <row r="22" spans="2:24" ht="15" customHeight="1" x14ac:dyDescent="0.2">
      <c r="P22" s="154">
        <v>40</v>
      </c>
      <c r="Q22" s="83">
        <v>547.77099999999996</v>
      </c>
      <c r="R22" s="161">
        <v>-1013.115</v>
      </c>
      <c r="S22" s="166">
        <v>0.7</v>
      </c>
      <c r="T22" s="162">
        <v>14</v>
      </c>
      <c r="U22" s="83">
        <v>0.37769999999999998</v>
      </c>
      <c r="V22" s="170">
        <v>0.37919999999999998</v>
      </c>
      <c r="W22" s="83"/>
      <c r="X22" s="179">
        <v>1.85</v>
      </c>
    </row>
    <row r="23" spans="2:24" ht="15" customHeight="1" x14ac:dyDescent="0.2">
      <c r="B23" s="48" t="s">
        <v>34</v>
      </c>
      <c r="P23" s="154">
        <v>50</v>
      </c>
      <c r="Q23" s="84">
        <v>636.596</v>
      </c>
      <c r="R23" s="162">
        <v>-1266.3119999999999</v>
      </c>
      <c r="S23" s="164">
        <v>0.7</v>
      </c>
      <c r="T23" s="162">
        <v>13</v>
      </c>
      <c r="U23" s="84">
        <v>0.35120000000000001</v>
      </c>
      <c r="V23" s="169">
        <v>0.35299999999999998</v>
      </c>
      <c r="W23" s="84"/>
      <c r="X23" s="178">
        <v>1.9890000000000001</v>
      </c>
    </row>
    <row r="24" spans="2:24" ht="15" customHeight="1" x14ac:dyDescent="0.2">
      <c r="P24" s="155"/>
      <c r="Q24" s="155"/>
      <c r="R24" s="155"/>
      <c r="S24" s="155"/>
      <c r="T24" s="167"/>
      <c r="U24" s="167"/>
      <c r="V24" s="171"/>
      <c r="W24" s="171"/>
      <c r="X24" s="155"/>
    </row>
    <row r="25" spans="2:24" ht="15" customHeight="1" x14ac:dyDescent="0.2">
      <c r="B25" s="15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24" ht="15" customHeight="1" x14ac:dyDescent="0.2"/>
    <row r="27" spans="2:24" ht="15" customHeight="1" x14ac:dyDescent="0.2">
      <c r="B27" s="18" t="s">
        <v>15</v>
      </c>
      <c r="C27" s="19"/>
      <c r="D27" s="20"/>
      <c r="F27" s="27" t="s">
        <v>21</v>
      </c>
      <c r="G27" s="28"/>
      <c r="I27" s="30" t="s">
        <v>23</v>
      </c>
      <c r="J27" s="31"/>
      <c r="K27" s="31"/>
      <c r="L27" s="32"/>
    </row>
    <row r="28" spans="2:24" ht="15" customHeight="1" x14ac:dyDescent="0.2">
      <c r="B28" s="21" t="s">
        <v>16</v>
      </c>
      <c r="C28" s="22" t="s">
        <v>19</v>
      </c>
      <c r="D28" s="23">
        <v>0.9</v>
      </c>
      <c r="F28" s="24" t="s">
        <v>22</v>
      </c>
      <c r="G28" s="26">
        <v>0.7</v>
      </c>
      <c r="I28" s="33" t="s">
        <v>24</v>
      </c>
      <c r="J28" s="34" t="s">
        <v>26</v>
      </c>
      <c r="K28" s="19"/>
      <c r="L28" s="20"/>
    </row>
    <row r="29" spans="2:24" ht="15" customHeight="1" x14ac:dyDescent="0.2">
      <c r="B29" s="21" t="s">
        <v>17</v>
      </c>
      <c r="C29" s="22" t="s">
        <v>20</v>
      </c>
      <c r="D29" s="23">
        <v>0.96</v>
      </c>
      <c r="I29" s="35" t="s">
        <v>25</v>
      </c>
      <c r="J29" s="36" t="s">
        <v>27</v>
      </c>
      <c r="L29" s="37"/>
    </row>
    <row r="30" spans="2:24" ht="15" customHeight="1" x14ac:dyDescent="0.2">
      <c r="B30" s="24" t="s">
        <v>18</v>
      </c>
      <c r="C30" s="25" t="s">
        <v>28</v>
      </c>
      <c r="D30" s="26">
        <v>85</v>
      </c>
      <c r="I30" s="38">
        <f>D29*2.20462*25.4*12</f>
        <v>645.0894489599998</v>
      </c>
      <c r="J30" s="39">
        <f>(G28*D28*SQRT(4*D30*I30/32.2)/12)/2</f>
        <v>2.1664606226104683</v>
      </c>
      <c r="K30" s="40" t="s">
        <v>88</v>
      </c>
      <c r="L30" s="29"/>
    </row>
    <row r="31" spans="2:24" ht="15" customHeight="1" x14ac:dyDescent="0.2"/>
    <row r="32" spans="2:24" ht="15" customHeight="1" x14ac:dyDescent="0.2">
      <c r="I32" s="30" t="s">
        <v>29</v>
      </c>
      <c r="J32" s="31"/>
      <c r="K32" s="32"/>
    </row>
    <row r="33" spans="9:12" ht="15" customHeight="1" x14ac:dyDescent="0.2">
      <c r="I33" s="33" t="s">
        <v>30</v>
      </c>
      <c r="J33" s="34" t="s">
        <v>32</v>
      </c>
      <c r="K33" s="41"/>
    </row>
    <row r="34" spans="9:12" ht="15" customHeight="1" x14ac:dyDescent="0.2">
      <c r="I34" s="35" t="s">
        <v>31</v>
      </c>
      <c r="J34" s="36" t="s">
        <v>33</v>
      </c>
      <c r="K34" s="23"/>
    </row>
    <row r="35" spans="9:12" ht="15" customHeight="1" x14ac:dyDescent="0.2">
      <c r="I35" s="42">
        <v>1</v>
      </c>
      <c r="J35" s="12">
        <f>I35*J$30</f>
        <v>2.1664606226104683</v>
      </c>
      <c r="K35" s="23"/>
      <c r="L35" s="119">
        <v>2.1664606226104683</v>
      </c>
    </row>
    <row r="36" spans="9:12" ht="15" customHeight="1" x14ac:dyDescent="0.2">
      <c r="I36" s="46">
        <v>2</v>
      </c>
      <c r="J36" s="118">
        <f t="shared" ref="J36:J46" si="3">I36*J$30</f>
        <v>4.3329212452209367</v>
      </c>
      <c r="K36" s="23"/>
      <c r="L36" s="119">
        <v>4.3329212452209367</v>
      </c>
    </row>
    <row r="37" spans="9:12" ht="15" customHeight="1" x14ac:dyDescent="0.2">
      <c r="I37" s="42">
        <v>3</v>
      </c>
      <c r="J37" s="12">
        <f t="shared" si="3"/>
        <v>6.4993818678314046</v>
      </c>
      <c r="K37" s="23"/>
      <c r="L37" s="119">
        <v>6.4993818678314046</v>
      </c>
    </row>
    <row r="38" spans="9:12" ht="15" customHeight="1" x14ac:dyDescent="0.2">
      <c r="I38" s="42">
        <v>4</v>
      </c>
      <c r="J38" s="12">
        <f t="shared" si="3"/>
        <v>8.6658424904418734</v>
      </c>
      <c r="K38" s="23"/>
      <c r="L38" s="119">
        <v>8.6658424904418734</v>
      </c>
    </row>
    <row r="39" spans="9:12" ht="15" customHeight="1" x14ac:dyDescent="0.2">
      <c r="I39" s="46">
        <v>5</v>
      </c>
      <c r="J39" s="118">
        <f t="shared" si="3"/>
        <v>10.832303113052342</v>
      </c>
      <c r="K39" s="23"/>
      <c r="L39" s="119">
        <v>10.832303113052342</v>
      </c>
    </row>
    <row r="40" spans="9:12" ht="15" customHeight="1" x14ac:dyDescent="0.2">
      <c r="I40" s="42">
        <v>10</v>
      </c>
      <c r="J40" s="12">
        <f t="shared" si="3"/>
        <v>21.664606226104684</v>
      </c>
      <c r="K40" s="23"/>
      <c r="L40" s="119">
        <v>21.664606226104684</v>
      </c>
    </row>
    <row r="41" spans="9:12" ht="15" customHeight="1" x14ac:dyDescent="0.2">
      <c r="I41" s="42">
        <v>20</v>
      </c>
      <c r="J41" s="12">
        <f t="shared" si="3"/>
        <v>43.329212452209369</v>
      </c>
      <c r="K41" s="23"/>
      <c r="L41" s="119">
        <v>43.329212452209369</v>
      </c>
    </row>
    <row r="42" spans="9:12" ht="15" customHeight="1" x14ac:dyDescent="0.2">
      <c r="I42" s="42">
        <v>30</v>
      </c>
      <c r="J42" s="12">
        <f t="shared" si="3"/>
        <v>64.993818678314057</v>
      </c>
      <c r="K42" s="23"/>
      <c r="L42" s="119">
        <v>64.993818678314057</v>
      </c>
    </row>
    <row r="43" spans="9:12" ht="15" customHeight="1" x14ac:dyDescent="0.2">
      <c r="I43" s="46">
        <v>40</v>
      </c>
      <c r="J43" s="118">
        <f t="shared" si="3"/>
        <v>86.658424904418737</v>
      </c>
      <c r="K43" s="23"/>
      <c r="L43" s="119">
        <v>86.658424904418737</v>
      </c>
    </row>
    <row r="44" spans="9:12" ht="15" customHeight="1" x14ac:dyDescent="0.2">
      <c r="I44" s="42">
        <v>50</v>
      </c>
      <c r="J44" s="12">
        <f t="shared" si="3"/>
        <v>108.32303113052342</v>
      </c>
      <c r="K44" s="23"/>
      <c r="L44" s="119">
        <v>108.32303113052342</v>
      </c>
    </row>
    <row r="45" spans="9:12" ht="15" customHeight="1" x14ac:dyDescent="0.2">
      <c r="I45" s="42">
        <v>60</v>
      </c>
      <c r="J45" s="12">
        <f t="shared" si="3"/>
        <v>129.98763735662811</v>
      </c>
      <c r="K45" s="23"/>
      <c r="L45" s="119">
        <v>129.98763735662811</v>
      </c>
    </row>
    <row r="46" spans="9:12" ht="15" customHeight="1" x14ac:dyDescent="0.2">
      <c r="I46" s="42">
        <v>70</v>
      </c>
      <c r="J46" s="12">
        <f t="shared" si="3"/>
        <v>151.65224358273278</v>
      </c>
      <c r="K46" s="23"/>
      <c r="L46" s="119">
        <v>151.65224358273278</v>
      </c>
    </row>
    <row r="47" spans="9:12" ht="15" customHeight="1" x14ac:dyDescent="0.2">
      <c r="I47" s="43"/>
      <c r="J47" s="39"/>
      <c r="K47" s="26"/>
    </row>
    <row r="48" spans="9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mergeCells count="4">
    <mergeCell ref="Q8:R8"/>
    <mergeCell ref="V8:W8"/>
    <mergeCell ref="Q9:S9"/>
    <mergeCell ref="V9:W9"/>
  </mergeCells>
  <pageMargins left="0.45" right="0.45" top="0.5" bottom="0.5" header="0.3" footer="0.3"/>
  <pageSetup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X166"/>
  <sheetViews>
    <sheetView showGridLines="0" zoomScale="80" zoomScaleNormal="80" workbookViewId="0">
      <selection activeCell="G33" sqref="G33"/>
    </sheetView>
  </sheetViews>
  <sheetFormatPr defaultRowHeight="12.75" x14ac:dyDescent="0.2"/>
  <cols>
    <col min="3" max="3" width="9.140625" customWidth="1"/>
    <col min="7" max="7" width="9.140625" customWidth="1"/>
    <col min="9" max="9" width="9.140625" customWidth="1"/>
    <col min="11" max="12" width="9.140625" customWidth="1"/>
    <col min="13" max="13" width="8.42578125" customWidth="1"/>
    <col min="15" max="15" width="9.140625" customWidth="1"/>
    <col min="20" max="20" width="9.140625" customWidth="1"/>
  </cols>
  <sheetData>
    <row r="1" spans="1:16" ht="15" customHeight="1" x14ac:dyDescent="0.2">
      <c r="K1" t="s">
        <v>91</v>
      </c>
    </row>
    <row r="2" spans="1:16" ht="15" customHeight="1" x14ac:dyDescent="0.2">
      <c r="A2" t="s">
        <v>55</v>
      </c>
      <c r="B2" s="11" t="s">
        <v>54</v>
      </c>
    </row>
    <row r="3" spans="1:16" ht="15" customHeight="1" x14ac:dyDescent="0.2">
      <c r="B3" s="11"/>
    </row>
    <row r="4" spans="1:16" ht="15" customHeight="1" x14ac:dyDescent="0.2">
      <c r="A4" s="1" t="s">
        <v>102</v>
      </c>
      <c r="B4" s="11"/>
    </row>
    <row r="5" spans="1:16" ht="15" customHeight="1" x14ac:dyDescent="0.2"/>
    <row r="6" spans="1:16" ht="15" customHeight="1" x14ac:dyDescent="0.2">
      <c r="B6" s="15" t="s">
        <v>14</v>
      </c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6" ht="15" customHeight="1" x14ac:dyDescent="0.2">
      <c r="B7" s="48" t="s">
        <v>58</v>
      </c>
    </row>
    <row r="8" spans="1:16" ht="15" customHeight="1" x14ac:dyDescent="0.2">
      <c r="B8" s="48" t="s">
        <v>60</v>
      </c>
    </row>
    <row r="9" spans="1:16" ht="15" customHeight="1" x14ac:dyDescent="0.2">
      <c r="B9" s="48" t="s">
        <v>59</v>
      </c>
    </row>
    <row r="10" spans="1:16" ht="15" customHeight="1" x14ac:dyDescent="0.2">
      <c r="B10" s="101" t="s">
        <v>71</v>
      </c>
    </row>
    <row r="11" spans="1:16" ht="15" customHeight="1" x14ac:dyDescent="0.2">
      <c r="B11" s="80"/>
    </row>
    <row r="12" spans="1:16" ht="15" customHeight="1" x14ac:dyDescent="0.2"/>
    <row r="13" spans="1:16" ht="15" customHeight="1" x14ac:dyDescent="0.2">
      <c r="B13" s="18" t="s">
        <v>15</v>
      </c>
      <c r="C13" s="19"/>
      <c r="D13" s="20"/>
      <c r="F13" s="1" t="s">
        <v>56</v>
      </c>
      <c r="J13" s="56" t="s">
        <v>23</v>
      </c>
      <c r="K13" s="57"/>
      <c r="L13" s="57"/>
      <c r="M13" s="58"/>
    </row>
    <row r="14" spans="1:16" ht="15" customHeight="1" x14ac:dyDescent="0.2">
      <c r="B14" s="21" t="s">
        <v>16</v>
      </c>
      <c r="C14" s="22" t="s">
        <v>19</v>
      </c>
      <c r="D14" s="23">
        <v>0.9</v>
      </c>
      <c r="F14" s="1" t="s">
        <v>97</v>
      </c>
      <c r="J14" s="33" t="s">
        <v>24</v>
      </c>
      <c r="K14" s="34" t="s">
        <v>26</v>
      </c>
      <c r="L14" s="19"/>
      <c r="M14" s="20"/>
    </row>
    <row r="15" spans="1:16" ht="15" customHeight="1" x14ac:dyDescent="0.2">
      <c r="B15" s="21" t="s">
        <v>17</v>
      </c>
      <c r="C15" s="22" t="s">
        <v>20</v>
      </c>
      <c r="D15" s="23">
        <v>0.96</v>
      </c>
      <c r="F15" s="27" t="s">
        <v>39</v>
      </c>
      <c r="G15" s="82" t="s">
        <v>62</v>
      </c>
      <c r="H15" s="28"/>
      <c r="J15" s="35" t="s">
        <v>25</v>
      </c>
      <c r="K15" s="36" t="s">
        <v>27</v>
      </c>
      <c r="M15" s="37"/>
      <c r="O15" s="87">
        <v>0.432</v>
      </c>
      <c r="P15" s="87">
        <v>0.497</v>
      </c>
    </row>
    <row r="16" spans="1:16" ht="15" customHeight="1" x14ac:dyDescent="0.2">
      <c r="B16" s="24" t="s">
        <v>18</v>
      </c>
      <c r="C16" s="25" t="s">
        <v>28</v>
      </c>
      <c r="D16" s="26">
        <v>85</v>
      </c>
      <c r="F16" s="55">
        <v>1</v>
      </c>
      <c r="G16" s="81" t="s">
        <v>61</v>
      </c>
      <c r="H16" s="83">
        <v>0.872</v>
      </c>
      <c r="I16" s="83">
        <v>0.84</v>
      </c>
      <c r="J16" s="59">
        <f>D15*2.20462*25.4*12</f>
        <v>645.0894489599998</v>
      </c>
      <c r="K16" s="71">
        <f>(H16*D$14*SQRT(4*D$16*J$16/32.2)/12)/2</f>
        <v>2.6987909470233262</v>
      </c>
      <c r="M16" s="37"/>
      <c r="N16" s="83">
        <v>0.92</v>
      </c>
      <c r="O16" s="53">
        <f>I16*$O$15</f>
        <v>0.36287999999999998</v>
      </c>
      <c r="P16" s="71">
        <f>H16*$P$15</f>
        <v>0.43338399999999999</v>
      </c>
    </row>
    <row r="17" spans="2:21" ht="15" customHeight="1" x14ac:dyDescent="0.2">
      <c r="F17" s="55">
        <v>2</v>
      </c>
      <c r="G17" s="81" t="s">
        <v>61</v>
      </c>
      <c r="H17" s="83">
        <v>0.66200000000000003</v>
      </c>
      <c r="I17" s="83">
        <v>0.63</v>
      </c>
      <c r="J17" s="60"/>
      <c r="K17" s="71">
        <f t="shared" ref="K17:K26" si="0">(H17*D$14*SQRT(4*D$16*J$16/32.2)/12)/2</f>
        <v>2.0488527602401856</v>
      </c>
      <c r="M17" s="37"/>
      <c r="N17" s="83">
        <v>0.64</v>
      </c>
      <c r="O17" s="53">
        <f t="shared" ref="O17:O27" si="1">I17*$O$15</f>
        <v>0.27216000000000001</v>
      </c>
      <c r="P17" s="71">
        <f t="shared" ref="P17:P27" si="2">H17*$P$15</f>
        <v>0.32901400000000003</v>
      </c>
    </row>
    <row r="18" spans="2:21" ht="15" customHeight="1" x14ac:dyDescent="0.2">
      <c r="F18" s="55">
        <v>3</v>
      </c>
      <c r="G18" s="81" t="s">
        <v>61</v>
      </c>
      <c r="H18" s="84">
        <v>0.56000000000000005</v>
      </c>
      <c r="I18" s="84">
        <v>0.53800000000000003</v>
      </c>
      <c r="J18" s="60"/>
      <c r="K18" s="71">
        <f t="shared" si="0"/>
        <v>1.733168498088375</v>
      </c>
      <c r="M18" s="37"/>
      <c r="N18" s="84">
        <v>0.57999999999999996</v>
      </c>
      <c r="O18" s="53">
        <f t="shared" si="1"/>
        <v>0.23241600000000001</v>
      </c>
      <c r="P18" s="71">
        <f t="shared" si="2"/>
        <v>0.27832000000000001</v>
      </c>
    </row>
    <row r="19" spans="2:21" ht="15" customHeight="1" x14ac:dyDescent="0.2">
      <c r="F19" s="55">
        <v>4</v>
      </c>
      <c r="G19" s="81" t="s">
        <v>61</v>
      </c>
      <c r="H19" s="83">
        <v>0.50900000000000001</v>
      </c>
      <c r="I19" s="83">
        <v>0.48499999999999999</v>
      </c>
      <c r="J19" s="60"/>
      <c r="K19" s="71">
        <f t="shared" si="0"/>
        <v>1.5753263670124689</v>
      </c>
      <c r="M19" s="37"/>
      <c r="N19" s="83">
        <v>0.54</v>
      </c>
      <c r="O19" s="53">
        <f t="shared" si="1"/>
        <v>0.20951999999999998</v>
      </c>
      <c r="P19" s="71">
        <f t="shared" si="2"/>
        <v>0.252973</v>
      </c>
    </row>
    <row r="20" spans="2:21" ht="15" customHeight="1" x14ac:dyDescent="0.2">
      <c r="B20" t="s">
        <v>94</v>
      </c>
      <c r="F20" s="55">
        <v>5</v>
      </c>
      <c r="G20" s="81" t="s">
        <v>61</v>
      </c>
      <c r="H20" s="83">
        <v>0.46500000000000002</v>
      </c>
      <c r="I20" s="83">
        <v>0.44600000000000001</v>
      </c>
      <c r="J20" s="60"/>
      <c r="K20" s="71">
        <f t="shared" si="0"/>
        <v>1.4391488421626681</v>
      </c>
      <c r="M20" s="37"/>
      <c r="N20" s="83">
        <v>0.5</v>
      </c>
      <c r="O20" s="53">
        <f t="shared" si="1"/>
        <v>0.19267200000000001</v>
      </c>
      <c r="P20" s="71">
        <f t="shared" si="2"/>
        <v>0.231105</v>
      </c>
    </row>
    <row r="21" spans="2:21" ht="15" customHeight="1" x14ac:dyDescent="0.2">
      <c r="B21" s="1" t="s">
        <v>95</v>
      </c>
      <c r="F21" s="55">
        <v>10</v>
      </c>
      <c r="G21" s="81" t="s">
        <v>61</v>
      </c>
      <c r="H21" s="84">
        <v>0.33</v>
      </c>
      <c r="I21" s="84">
        <v>0.317</v>
      </c>
      <c r="J21" s="60"/>
      <c r="K21" s="71">
        <f t="shared" si="0"/>
        <v>1.0213314363735064</v>
      </c>
      <c r="M21" s="37"/>
      <c r="N21" s="84">
        <v>0.34</v>
      </c>
      <c r="O21" s="53">
        <f t="shared" si="1"/>
        <v>0.13694400000000001</v>
      </c>
      <c r="P21" s="71">
        <f t="shared" si="2"/>
        <v>0.16401000000000002</v>
      </c>
    </row>
    <row r="22" spans="2:21" ht="15" customHeight="1" x14ac:dyDescent="0.2">
      <c r="B22" s="121" t="s">
        <v>92</v>
      </c>
      <c r="C22" s="121" t="s">
        <v>93</v>
      </c>
      <c r="F22" s="55">
        <v>20</v>
      </c>
      <c r="G22" s="81" t="s">
        <v>61</v>
      </c>
      <c r="H22" s="83">
        <v>0.24399999999999999</v>
      </c>
      <c r="I22" s="83">
        <v>0.24099999999999999</v>
      </c>
      <c r="J22" s="60"/>
      <c r="K22" s="71">
        <f t="shared" si="0"/>
        <v>0.75516627416707749</v>
      </c>
      <c r="M22" s="37"/>
      <c r="N22" s="83">
        <v>0.24</v>
      </c>
      <c r="O22" s="53">
        <f t="shared" si="1"/>
        <v>0.104112</v>
      </c>
      <c r="P22" s="71">
        <f t="shared" si="2"/>
        <v>0.121268</v>
      </c>
    </row>
    <row r="23" spans="2:21" ht="15" customHeight="1" x14ac:dyDescent="0.2">
      <c r="B23" s="83">
        <v>0.92</v>
      </c>
      <c r="C23" s="83">
        <v>1.62</v>
      </c>
      <c r="F23" s="55">
        <v>30</v>
      </c>
      <c r="G23" s="81" t="s">
        <v>61</v>
      </c>
      <c r="H23" s="83">
        <v>0.216</v>
      </c>
      <c r="I23" s="83">
        <v>0.21299999999999999</v>
      </c>
      <c r="J23" s="60"/>
      <c r="K23" s="71">
        <f t="shared" si="0"/>
        <v>0.66850784926265872</v>
      </c>
      <c r="M23" s="37"/>
      <c r="N23" s="83">
        <v>0.21</v>
      </c>
      <c r="O23" s="53">
        <f t="shared" si="1"/>
        <v>9.2016000000000001E-2</v>
      </c>
      <c r="P23" s="71">
        <f t="shared" si="2"/>
        <v>0.107352</v>
      </c>
    </row>
    <row r="24" spans="2:21" ht="15" customHeight="1" x14ac:dyDescent="0.2">
      <c r="B24" s="83">
        <v>0.64</v>
      </c>
      <c r="C24" s="83">
        <v>1</v>
      </c>
      <c r="F24" s="55">
        <v>40</v>
      </c>
      <c r="G24" s="81" t="s">
        <v>61</v>
      </c>
      <c r="H24" s="83">
        <v>0.20300000000000001</v>
      </c>
      <c r="I24" s="83">
        <v>0.2</v>
      </c>
      <c r="J24" s="60"/>
      <c r="K24" s="71">
        <f t="shared" si="0"/>
        <v>0.62827358055703586</v>
      </c>
      <c r="M24" s="37"/>
      <c r="N24" s="83">
        <v>0.19</v>
      </c>
      <c r="O24" s="53">
        <f t="shared" si="1"/>
        <v>8.6400000000000005E-2</v>
      </c>
      <c r="P24" s="71">
        <f t="shared" si="2"/>
        <v>0.10089100000000001</v>
      </c>
    </row>
    <row r="25" spans="2:21" ht="15" customHeight="1" x14ac:dyDescent="0.2">
      <c r="B25" s="84">
        <v>0.57999999999999996</v>
      </c>
      <c r="C25" s="84">
        <v>0.78</v>
      </c>
      <c r="F25" s="55">
        <v>50</v>
      </c>
      <c r="G25" s="81" t="s">
        <v>61</v>
      </c>
      <c r="H25" s="83">
        <v>0.19500000000000001</v>
      </c>
      <c r="I25" s="83">
        <v>0.193</v>
      </c>
      <c r="J25" s="60"/>
      <c r="K25" s="71">
        <f t="shared" si="0"/>
        <v>0.60351403058434483</v>
      </c>
      <c r="M25" s="37"/>
      <c r="N25" s="83">
        <v>0.19</v>
      </c>
      <c r="O25" s="53">
        <f t="shared" si="1"/>
        <v>8.3376000000000006E-2</v>
      </c>
      <c r="P25" s="71">
        <f t="shared" si="2"/>
        <v>9.6915000000000001E-2</v>
      </c>
    </row>
    <row r="26" spans="2:21" ht="15" customHeight="1" x14ac:dyDescent="0.2">
      <c r="B26" s="83">
        <v>0.54</v>
      </c>
      <c r="C26" s="83">
        <v>0.65</v>
      </c>
      <c r="F26" s="55">
        <v>60</v>
      </c>
      <c r="G26" s="81" t="s">
        <v>61</v>
      </c>
      <c r="H26" s="83">
        <v>0.19</v>
      </c>
      <c r="I26" s="83">
        <v>0.189</v>
      </c>
      <c r="J26" s="60"/>
      <c r="K26" s="71">
        <f t="shared" si="0"/>
        <v>0.58803931185141278</v>
      </c>
      <c r="M26" s="37"/>
      <c r="N26" s="83">
        <v>0.18</v>
      </c>
      <c r="O26" s="53">
        <f t="shared" si="1"/>
        <v>8.1647999999999998E-2</v>
      </c>
      <c r="P26" s="71">
        <f t="shared" si="2"/>
        <v>9.443E-2</v>
      </c>
    </row>
    <row r="27" spans="2:21" ht="15" customHeight="1" x14ac:dyDescent="0.2">
      <c r="B27" s="83">
        <v>0.5</v>
      </c>
      <c r="C27" s="83">
        <v>0.56000000000000005</v>
      </c>
      <c r="F27" s="55">
        <v>70</v>
      </c>
      <c r="G27" s="81" t="s">
        <v>61</v>
      </c>
      <c r="H27" s="84">
        <v>0.186</v>
      </c>
      <c r="I27" s="84">
        <v>0.186</v>
      </c>
      <c r="J27" s="61"/>
      <c r="K27" s="72">
        <f>(H27*D$14*SQRT(4*D$16*J$16/32.2)/12)/2</f>
        <v>0.57565953686506721</v>
      </c>
      <c r="L27" s="40"/>
      <c r="M27" s="29"/>
      <c r="N27" s="84">
        <v>0.18</v>
      </c>
      <c r="O27" s="53">
        <f t="shared" si="1"/>
        <v>8.0351999999999993E-2</v>
      </c>
      <c r="P27" s="71">
        <f t="shared" si="2"/>
        <v>9.2441999999999996E-2</v>
      </c>
    </row>
    <row r="28" spans="2:21" ht="15" customHeight="1" x14ac:dyDescent="0.2">
      <c r="B28" s="84">
        <v>0.34</v>
      </c>
      <c r="C28" s="84">
        <v>0.35</v>
      </c>
      <c r="R28" s="100">
        <f>D14</f>
        <v>0.9</v>
      </c>
      <c r="S28" s="1" t="s">
        <v>6</v>
      </c>
    </row>
    <row r="29" spans="2:21" ht="15" customHeight="1" x14ac:dyDescent="0.2">
      <c r="B29" s="83">
        <v>0.24</v>
      </c>
      <c r="C29" s="83">
        <v>0.24</v>
      </c>
      <c r="J29" s="1" t="s">
        <v>63</v>
      </c>
      <c r="R29" s="100">
        <f>D15</f>
        <v>0.96</v>
      </c>
      <c r="S29" t="s">
        <v>0</v>
      </c>
    </row>
    <row r="30" spans="2:21" ht="15" customHeight="1" x14ac:dyDescent="0.2">
      <c r="B30" s="83">
        <v>0.21</v>
      </c>
      <c r="C30" s="83">
        <v>0.21</v>
      </c>
      <c r="J30" s="30" t="s">
        <v>29</v>
      </c>
      <c r="K30" s="31"/>
      <c r="L30" s="32"/>
      <c r="N30" s="87">
        <v>1</v>
      </c>
      <c r="R30" s="100">
        <f>D16</f>
        <v>85</v>
      </c>
      <c r="S30" s="1" t="s">
        <v>1</v>
      </c>
    </row>
    <row r="31" spans="2:21" ht="15" customHeight="1" x14ac:dyDescent="0.2">
      <c r="B31" s="83">
        <v>0.19</v>
      </c>
      <c r="C31" s="83">
        <v>0.2</v>
      </c>
      <c r="J31" s="135" t="s">
        <v>30</v>
      </c>
      <c r="K31" s="106" t="s">
        <v>32</v>
      </c>
      <c r="L31" s="37"/>
      <c r="N31" s="86" t="s">
        <v>50</v>
      </c>
      <c r="S31" s="1" t="s">
        <v>70</v>
      </c>
    </row>
    <row r="32" spans="2:21" ht="15" customHeight="1" x14ac:dyDescent="0.2">
      <c r="B32" s="83">
        <v>0.19</v>
      </c>
      <c r="C32" s="83">
        <v>0.19</v>
      </c>
      <c r="J32" s="35" t="s">
        <v>31</v>
      </c>
      <c r="K32" s="36" t="s">
        <v>33</v>
      </c>
      <c r="L32" s="23" t="s">
        <v>98</v>
      </c>
      <c r="M32" s="36" t="s">
        <v>64</v>
      </c>
      <c r="N32" s="36" t="s">
        <v>65</v>
      </c>
      <c r="R32" s="4" t="s">
        <v>2</v>
      </c>
      <c r="S32" s="64" t="s">
        <v>68</v>
      </c>
      <c r="T32" s="52" t="s">
        <v>37</v>
      </c>
      <c r="U32" s="5" t="s">
        <v>69</v>
      </c>
    </row>
    <row r="33" spans="1:24" ht="15" customHeight="1" x14ac:dyDescent="0.2">
      <c r="B33" s="83">
        <v>0.18</v>
      </c>
      <c r="C33" s="83">
        <v>0.19</v>
      </c>
      <c r="J33" s="42">
        <v>1</v>
      </c>
      <c r="K33" s="12">
        <f>J33*K16</f>
        <v>2.6987909470233262</v>
      </c>
      <c r="L33" s="133">
        <f>K33+2</f>
        <v>4.6987909470233262</v>
      </c>
      <c r="M33" s="130">
        <v>2.8473482468594731</v>
      </c>
      <c r="N33" s="99">
        <f t="shared" ref="N33:N44" si="3">K33*$N$30</f>
        <v>2.6987909470233262</v>
      </c>
      <c r="R33" s="93">
        <v>1</v>
      </c>
      <c r="S33" s="93">
        <f>N33</f>
        <v>2.6987909470233262</v>
      </c>
      <c r="T33" s="93">
        <f>S33/R33</f>
        <v>2.6987909470233262</v>
      </c>
      <c r="U33" s="96">
        <f>SQRT(12*32.2*T33^2/(4*$D$16*($D$15*56)*$D$14^2))</f>
        <v>0.43598967602062716</v>
      </c>
    </row>
    <row r="34" spans="1:24" ht="15" customHeight="1" x14ac:dyDescent="0.2">
      <c r="B34" s="84">
        <v>0.18</v>
      </c>
      <c r="C34" s="84">
        <v>0.19</v>
      </c>
      <c r="J34" s="42">
        <v>2</v>
      </c>
      <c r="K34" s="12">
        <f t="shared" ref="K34:K43" si="4">J34*K17</f>
        <v>4.0977055204803712</v>
      </c>
      <c r="L34" s="133">
        <f t="shared" ref="L34:L44" si="5">K34+2</f>
        <v>6.0977055204803712</v>
      </c>
      <c r="M34" s="131">
        <v>3.9615279956305707</v>
      </c>
      <c r="N34" s="123">
        <f t="shared" si="3"/>
        <v>4.0977055204803712</v>
      </c>
      <c r="R34" s="94">
        <v>2</v>
      </c>
      <c r="S34" s="94">
        <f t="shared" ref="S34:S44" si="6">N34</f>
        <v>4.0977055204803712</v>
      </c>
      <c r="T34" s="94">
        <f t="shared" ref="T34:T44" si="7">S34/R34</f>
        <v>2.0488527602401856</v>
      </c>
      <c r="U34" s="97">
        <f t="shared" ref="U34:U44" si="8">SQRT(12*32.2*T34^2/(4*$D$16*($D$15*56)*$D$14^2))</f>
        <v>0.33099216230006323</v>
      </c>
    </row>
    <row r="35" spans="1:24" ht="15" customHeight="1" x14ac:dyDescent="0.2">
      <c r="J35" s="46">
        <v>3</v>
      </c>
      <c r="K35" s="118">
        <f t="shared" si="4"/>
        <v>5.1995054942651251</v>
      </c>
      <c r="L35" s="133">
        <f t="shared" si="5"/>
        <v>7.1995054942651251</v>
      </c>
      <c r="M35" s="130">
        <v>5.385202119060307</v>
      </c>
      <c r="N35" s="99">
        <f>K35*$N$30</f>
        <v>5.1995054942651251</v>
      </c>
      <c r="R35" s="93">
        <v>3</v>
      </c>
      <c r="S35" s="93">
        <f t="shared" si="6"/>
        <v>5.1995054942651251</v>
      </c>
      <c r="T35" s="93">
        <f t="shared" si="7"/>
        <v>1.733168498088375</v>
      </c>
      <c r="U35" s="96">
        <f t="shared" si="8"/>
        <v>0.2799933699215037</v>
      </c>
    </row>
    <row r="36" spans="1:24" ht="15" customHeight="1" x14ac:dyDescent="0.2">
      <c r="J36" s="42">
        <v>4</v>
      </c>
      <c r="K36" s="12">
        <f t="shared" si="4"/>
        <v>6.3013054680498755</v>
      </c>
      <c r="L36" s="133">
        <f t="shared" si="5"/>
        <v>8.3013054680498755</v>
      </c>
      <c r="M36" s="130">
        <v>6.6850784926265883</v>
      </c>
      <c r="N36" s="99">
        <f t="shared" si="3"/>
        <v>6.3013054680498755</v>
      </c>
      <c r="R36" s="93">
        <v>4</v>
      </c>
      <c r="S36" s="93">
        <f t="shared" si="6"/>
        <v>6.3013054680498755</v>
      </c>
      <c r="T36" s="93">
        <f t="shared" si="7"/>
        <v>1.5753263670124689</v>
      </c>
      <c r="U36" s="96">
        <f t="shared" si="8"/>
        <v>0.25449397373222382</v>
      </c>
    </row>
    <row r="37" spans="1:24" ht="15" customHeight="1" x14ac:dyDescent="0.2">
      <c r="J37" s="42">
        <v>5</v>
      </c>
      <c r="K37" s="12">
        <f t="shared" si="4"/>
        <v>7.1957442108133405</v>
      </c>
      <c r="L37" s="133">
        <f t="shared" si="5"/>
        <v>9.1957442108133414</v>
      </c>
      <c r="M37" s="131">
        <v>7.7373593664659577</v>
      </c>
      <c r="N37" s="123">
        <f t="shared" si="3"/>
        <v>7.1957442108133405</v>
      </c>
      <c r="R37" s="94">
        <v>5</v>
      </c>
      <c r="S37" s="94">
        <f t="shared" si="6"/>
        <v>7.1957442108133405</v>
      </c>
      <c r="T37" s="94">
        <f t="shared" si="7"/>
        <v>1.4391488421626681</v>
      </c>
      <c r="U37" s="97">
        <f t="shared" si="8"/>
        <v>0.23249449466696284</v>
      </c>
    </row>
    <row r="38" spans="1:24" ht="15" customHeight="1" x14ac:dyDescent="0.2">
      <c r="J38" s="46">
        <v>10</v>
      </c>
      <c r="K38" s="118">
        <f t="shared" si="4"/>
        <v>10.213314363735064</v>
      </c>
      <c r="L38" s="133">
        <f t="shared" si="5"/>
        <v>12.213314363735064</v>
      </c>
      <c r="M38" s="132">
        <v>10.522808738393705</v>
      </c>
      <c r="N38" s="124">
        <f t="shared" si="3"/>
        <v>10.213314363735064</v>
      </c>
      <c r="R38" s="95">
        <v>10</v>
      </c>
      <c r="S38" s="95">
        <f t="shared" si="6"/>
        <v>10.213314363735064</v>
      </c>
      <c r="T38" s="95">
        <f t="shared" si="7"/>
        <v>1.0213314363735064</v>
      </c>
      <c r="U38" s="98">
        <f t="shared" si="8"/>
        <v>0.16499609298945753</v>
      </c>
    </row>
    <row r="39" spans="1:24" ht="15" customHeight="1" x14ac:dyDescent="0.2">
      <c r="J39" s="42">
        <v>20</v>
      </c>
      <c r="K39" s="12">
        <f t="shared" si="4"/>
        <v>15.10332548334155</v>
      </c>
      <c r="L39" s="133">
        <f t="shared" si="5"/>
        <v>17.10332548334155</v>
      </c>
      <c r="M39" s="130">
        <v>14.855729983614639</v>
      </c>
      <c r="N39" s="99">
        <f t="shared" si="3"/>
        <v>15.10332548334155</v>
      </c>
      <c r="R39" s="93">
        <v>20</v>
      </c>
      <c r="S39" s="93">
        <f t="shared" si="6"/>
        <v>15.10332548334155</v>
      </c>
      <c r="T39" s="93">
        <f t="shared" si="7"/>
        <v>0.75516627416707749</v>
      </c>
      <c r="U39" s="96">
        <f t="shared" si="8"/>
        <v>0.12199711118008374</v>
      </c>
    </row>
    <row r="40" spans="1:24" ht="15" customHeight="1" x14ac:dyDescent="0.2">
      <c r="J40" s="42">
        <v>30</v>
      </c>
      <c r="K40" s="12">
        <f t="shared" si="4"/>
        <v>20.055235477879762</v>
      </c>
      <c r="L40" s="133">
        <f t="shared" si="5"/>
        <v>22.055235477879762</v>
      </c>
      <c r="M40" s="130">
        <v>19.498145603494212</v>
      </c>
      <c r="N40" s="99">
        <f t="shared" si="3"/>
        <v>20.055235477879762</v>
      </c>
      <c r="R40" s="93">
        <v>30</v>
      </c>
      <c r="S40" s="93">
        <f t="shared" si="6"/>
        <v>20.055235477879762</v>
      </c>
      <c r="T40" s="93">
        <f t="shared" si="7"/>
        <v>0.66850784926265872</v>
      </c>
      <c r="U40" s="96">
        <f t="shared" si="8"/>
        <v>0.10799744268400854</v>
      </c>
    </row>
    <row r="41" spans="1:24" ht="15" customHeight="1" x14ac:dyDescent="0.2">
      <c r="J41" s="42">
        <v>40</v>
      </c>
      <c r="K41" s="12">
        <f t="shared" si="4"/>
        <v>25.130943222281434</v>
      </c>
      <c r="L41" s="133">
        <f t="shared" si="5"/>
        <v>27.130943222281434</v>
      </c>
      <c r="M41" s="130">
        <v>23.521572474056512</v>
      </c>
      <c r="N41" s="99">
        <f>K41*$N$30</f>
        <v>25.130943222281434</v>
      </c>
      <c r="R41" s="93">
        <v>40</v>
      </c>
      <c r="S41" s="93">
        <f t="shared" si="6"/>
        <v>25.130943222281434</v>
      </c>
      <c r="T41" s="93">
        <f t="shared" si="7"/>
        <v>0.62827358055703586</v>
      </c>
      <c r="U41" s="96">
        <f t="shared" si="8"/>
        <v>0.10149759659654509</v>
      </c>
    </row>
    <row r="42" spans="1:24" ht="15" customHeight="1" x14ac:dyDescent="0.2">
      <c r="J42" s="42">
        <v>50</v>
      </c>
      <c r="K42" s="12">
        <f t="shared" si="4"/>
        <v>30.175701529217243</v>
      </c>
      <c r="L42" s="133">
        <f t="shared" si="5"/>
        <v>32.175701529217243</v>
      </c>
      <c r="M42" s="130">
        <v>29.40196559257064</v>
      </c>
      <c r="N42" s="99">
        <f t="shared" ref="N42:N43" si="9">K42*$N$30</f>
        <v>30.175701529217243</v>
      </c>
      <c r="R42" s="93"/>
      <c r="S42" s="93"/>
      <c r="T42" s="93"/>
      <c r="U42" s="96"/>
    </row>
    <row r="43" spans="1:24" ht="15" customHeight="1" x14ac:dyDescent="0.2">
      <c r="J43" s="42">
        <v>60</v>
      </c>
      <c r="K43" s="12">
        <f t="shared" si="4"/>
        <v>35.282358711084768</v>
      </c>
      <c r="L43" s="133">
        <f t="shared" si="5"/>
        <v>37.282358711084768</v>
      </c>
      <c r="M43" s="130">
        <v>33.425392463132937</v>
      </c>
      <c r="N43" s="99">
        <f t="shared" si="9"/>
        <v>35.282358711084768</v>
      </c>
      <c r="R43" s="93"/>
      <c r="S43" s="93"/>
      <c r="T43" s="93"/>
      <c r="U43" s="96"/>
    </row>
    <row r="44" spans="1:24" ht="15" customHeight="1" x14ac:dyDescent="0.2">
      <c r="J44" s="91">
        <v>70</v>
      </c>
      <c r="K44" s="122">
        <f>J44*K27</f>
        <v>40.296167580554702</v>
      </c>
      <c r="L44" s="134">
        <f t="shared" si="5"/>
        <v>42.296167580554702</v>
      </c>
      <c r="M44" s="131">
        <v>38.996291206988424</v>
      </c>
      <c r="N44" s="123">
        <f t="shared" si="3"/>
        <v>40.296167580554702</v>
      </c>
      <c r="R44" s="94">
        <v>50</v>
      </c>
      <c r="S44" s="94">
        <f t="shared" si="6"/>
        <v>40.296167580554702</v>
      </c>
      <c r="T44" s="94">
        <f t="shared" si="7"/>
        <v>0.80592335161109407</v>
      </c>
      <c r="U44" s="97">
        <f t="shared" si="8"/>
        <v>0.13019691701349917</v>
      </c>
    </row>
    <row r="45" spans="1:24" ht="15" customHeight="1" x14ac:dyDescent="0.2">
      <c r="J45" s="88" t="s">
        <v>67</v>
      </c>
      <c r="K45" s="89">
        <f>K38/K33</f>
        <v>3.7844036697247705</v>
      </c>
      <c r="L45" s="2"/>
      <c r="N45" s="89">
        <f>N38/N33</f>
        <v>3.7844036697247705</v>
      </c>
      <c r="R45" s="88" t="s">
        <v>67</v>
      </c>
      <c r="S45" s="89">
        <f>S38/S33</f>
        <v>3.7844036697247705</v>
      </c>
    </row>
    <row r="46" spans="1:24" ht="15" customHeight="1" x14ac:dyDescent="0.2">
      <c r="J46" s="88" t="s">
        <v>96</v>
      </c>
      <c r="K46" s="89">
        <f>K44/K38</f>
        <v>3.9454545454545449</v>
      </c>
      <c r="L46" s="2"/>
      <c r="N46" s="89">
        <f>N44/N38</f>
        <v>3.9454545454545449</v>
      </c>
      <c r="R46" s="90" t="s">
        <v>66</v>
      </c>
      <c r="S46" s="89">
        <f>S44/S38</f>
        <v>3.9454545454545449</v>
      </c>
    </row>
    <row r="47" spans="1:24" ht="15" customHeight="1" x14ac:dyDescent="0.2">
      <c r="J47" s="2"/>
      <c r="K47" s="12"/>
      <c r="L47" s="2"/>
    </row>
    <row r="48" spans="1:24" ht="15" customHeight="1" thickBot="1" x14ac:dyDescent="0.25">
      <c r="A48" s="136"/>
      <c r="B48" s="136"/>
      <c r="C48" s="136"/>
      <c r="D48" s="136"/>
      <c r="E48" s="136"/>
      <c r="F48" s="136"/>
      <c r="G48" s="136"/>
      <c r="H48" s="136"/>
      <c r="I48" s="136"/>
      <c r="J48" s="137"/>
      <c r="K48" s="138"/>
      <c r="L48" s="137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spans="1:1" ht="15" customHeight="1" x14ac:dyDescent="0.2"/>
    <row r="50" spans="1:1" ht="15" customHeight="1" x14ac:dyDescent="0.2">
      <c r="A50" t="s">
        <v>99</v>
      </c>
    </row>
    <row r="51" spans="1:1" ht="15" customHeight="1" x14ac:dyDescent="0.2">
      <c r="A51" s="1" t="s">
        <v>100</v>
      </c>
    </row>
    <row r="52" spans="1:1" ht="15" customHeight="1" x14ac:dyDescent="0.2">
      <c r="A52" t="s">
        <v>101</v>
      </c>
    </row>
    <row r="53" spans="1:1" ht="15" customHeight="1" x14ac:dyDescent="0.2"/>
    <row r="54" spans="1:1" ht="15" customHeight="1" x14ac:dyDescent="0.2"/>
    <row r="55" spans="1:1" ht="15" customHeight="1" x14ac:dyDescent="0.2"/>
    <row r="56" spans="1:1" ht="15" customHeight="1" x14ac:dyDescent="0.2"/>
    <row r="57" spans="1:1" ht="15" customHeight="1" x14ac:dyDescent="0.2"/>
    <row r="58" spans="1:1" ht="15" customHeight="1" x14ac:dyDescent="0.2"/>
    <row r="59" spans="1:1" ht="15" customHeight="1" x14ac:dyDescent="0.2"/>
    <row r="60" spans="1:1" ht="15" customHeight="1" x14ac:dyDescent="0.2"/>
    <row r="61" spans="1:1" ht="15" customHeight="1" x14ac:dyDescent="0.2"/>
    <row r="62" spans="1:1" ht="15" customHeight="1" x14ac:dyDescent="0.2"/>
    <row r="63" spans="1:1" ht="15" customHeight="1" x14ac:dyDescent="0.2"/>
    <row r="64" spans="1: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</sheetData>
  <pageMargins left="0.2" right="0.2" top="0.5" bottom="0.5" header="0.3" footer="0.3"/>
  <pageSetup scale="9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pageSetUpPr fitToPage="1"/>
  </sheetPr>
  <dimension ref="A1:L170"/>
  <sheetViews>
    <sheetView showGridLines="0" tabSelected="1" zoomScale="90" zoomScaleNormal="90" workbookViewId="0">
      <selection activeCell="J30" sqref="J30"/>
    </sheetView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12" ht="15" customHeight="1" x14ac:dyDescent="0.2">
      <c r="K1" t="s">
        <v>90</v>
      </c>
    </row>
    <row r="2" spans="1:12" ht="15" customHeight="1" x14ac:dyDescent="0.2">
      <c r="A2" t="s">
        <v>13</v>
      </c>
      <c r="B2" s="11" t="s">
        <v>12</v>
      </c>
    </row>
    <row r="3" spans="1:12" ht="15" customHeight="1" x14ac:dyDescent="0.2">
      <c r="B3" s="11" t="s">
        <v>7</v>
      </c>
    </row>
    <row r="4" spans="1:12" ht="15" customHeight="1" x14ac:dyDescent="0.2"/>
    <row r="5" spans="1:12" ht="15" customHeight="1" x14ac:dyDescent="0.2">
      <c r="I5" t="s">
        <v>8</v>
      </c>
    </row>
    <row r="6" spans="1:12" ht="15" customHeight="1" x14ac:dyDescent="0.2">
      <c r="B6" s="3">
        <v>2.46</v>
      </c>
      <c r="C6" s="1" t="s">
        <v>6</v>
      </c>
      <c r="E6" s="3"/>
      <c r="I6" s="3">
        <v>2.46</v>
      </c>
      <c r="J6" s="1" t="s">
        <v>6</v>
      </c>
    </row>
    <row r="7" spans="1:12" ht="15" customHeight="1" x14ac:dyDescent="0.2">
      <c r="B7" s="3">
        <v>4.5</v>
      </c>
      <c r="C7" t="s">
        <v>0</v>
      </c>
      <c r="I7" s="3">
        <v>4.5</v>
      </c>
      <c r="J7" t="s">
        <v>0</v>
      </c>
    </row>
    <row r="8" spans="1:12" ht="15" customHeight="1" x14ac:dyDescent="0.2">
      <c r="B8" s="3">
        <v>85</v>
      </c>
      <c r="C8" s="1" t="s">
        <v>1</v>
      </c>
      <c r="I8" s="3">
        <v>85</v>
      </c>
      <c r="J8" s="1" t="s">
        <v>1</v>
      </c>
    </row>
    <row r="9" spans="1:12" ht="15" customHeight="1" x14ac:dyDescent="0.2">
      <c r="B9" s="3"/>
      <c r="C9" s="1"/>
      <c r="I9" s="14">
        <v>0.7</v>
      </c>
      <c r="J9" s="1" t="s">
        <v>9</v>
      </c>
    </row>
    <row r="10" spans="1:12" ht="15" customHeight="1" x14ac:dyDescent="0.2">
      <c r="F10" t="s">
        <v>10</v>
      </c>
      <c r="L10" t="s">
        <v>11</v>
      </c>
    </row>
    <row r="11" spans="1:12" ht="15" customHeight="1" x14ac:dyDescent="0.2">
      <c r="B11" s="4" t="s">
        <v>2</v>
      </c>
      <c r="C11" s="4" t="s">
        <v>3</v>
      </c>
      <c r="D11" s="5" t="s">
        <v>5</v>
      </c>
      <c r="E11" s="4" t="s">
        <v>4</v>
      </c>
      <c r="I11" s="4" t="s">
        <v>2</v>
      </c>
      <c r="J11" s="5" t="s">
        <v>5</v>
      </c>
      <c r="K11" s="4" t="s">
        <v>3</v>
      </c>
    </row>
    <row r="12" spans="1:12" ht="15" customHeight="1" x14ac:dyDescent="0.2">
      <c r="B12" s="2">
        <v>1</v>
      </c>
      <c r="C12" s="7">
        <v>-4.4000000000000004</v>
      </c>
      <c r="D12" s="12">
        <f>C12/B12</f>
        <v>-4.4000000000000004</v>
      </c>
      <c r="E12" s="9">
        <f>SQRT(12*32.2*D12^2/(4*$B$8*($B$7*56)*$B$6^2))</f>
        <v>0.12011476593972951</v>
      </c>
      <c r="I12" s="2">
        <v>1</v>
      </c>
      <c r="J12" s="12">
        <f t="shared" ref="J12:J21" si="0">K12/I12</f>
        <v>-25.45</v>
      </c>
      <c r="K12" s="7">
        <v>-25.45</v>
      </c>
    </row>
    <row r="13" spans="1:12" ht="15" customHeight="1" x14ac:dyDescent="0.2">
      <c r="B13" s="6">
        <v>2</v>
      </c>
      <c r="C13" s="8">
        <f>-50.9</f>
        <v>-50.9</v>
      </c>
      <c r="D13" s="13">
        <f t="shared" ref="D13:D20" si="1">C13/B13</f>
        <v>-25.45</v>
      </c>
      <c r="E13" s="10">
        <f t="shared" ref="E13:E21" si="2">SQRT(12*32.2*D13^2/(4*$B$8*($B$7*56)*$B$6^2))</f>
        <v>0.69475472571957186</v>
      </c>
      <c r="I13" s="6">
        <v>2</v>
      </c>
      <c r="J13" s="13">
        <f t="shared" si="0"/>
        <v>-25.45</v>
      </c>
      <c r="K13" s="8">
        <f>-50.9</f>
        <v>-50.9</v>
      </c>
    </row>
    <row r="14" spans="1:12" ht="15" customHeight="1" x14ac:dyDescent="0.2">
      <c r="B14" s="2">
        <v>3</v>
      </c>
      <c r="C14" s="7">
        <v>-76.36</v>
      </c>
      <c r="D14" s="12">
        <f t="shared" si="1"/>
        <v>-25.453333333333333</v>
      </c>
      <c r="E14" s="9">
        <f t="shared" si="2"/>
        <v>0.69484572175437465</v>
      </c>
      <c r="I14" s="2">
        <v>3</v>
      </c>
      <c r="J14" s="12">
        <f t="shared" si="0"/>
        <v>-25.453333333333333</v>
      </c>
      <c r="K14" s="7">
        <v>-76.36</v>
      </c>
    </row>
    <row r="15" spans="1:12" ht="15" customHeight="1" x14ac:dyDescent="0.2">
      <c r="B15" s="2">
        <v>4</v>
      </c>
      <c r="C15" s="7">
        <v>-101.81</v>
      </c>
      <c r="D15" s="12">
        <f t="shared" si="1"/>
        <v>-25.452500000000001</v>
      </c>
      <c r="E15" s="9">
        <f t="shared" si="2"/>
        <v>0.69482297274567395</v>
      </c>
      <c r="I15" s="2">
        <v>4</v>
      </c>
      <c r="J15" s="12">
        <f t="shared" si="0"/>
        <v>-25.452500000000001</v>
      </c>
      <c r="K15" s="7">
        <v>-101.81</v>
      </c>
    </row>
    <row r="16" spans="1:12" ht="15" customHeight="1" x14ac:dyDescent="0.2">
      <c r="B16" s="6">
        <v>5</v>
      </c>
      <c r="C16" s="8">
        <v>-127.27</v>
      </c>
      <c r="D16" s="13">
        <f t="shared" si="1"/>
        <v>-25.454000000000001</v>
      </c>
      <c r="E16" s="10">
        <f t="shared" si="2"/>
        <v>0.6948639209613352</v>
      </c>
      <c r="I16" s="6">
        <v>5</v>
      </c>
      <c r="J16" s="13">
        <f t="shared" si="0"/>
        <v>-25.454000000000001</v>
      </c>
      <c r="K16" s="8">
        <v>-127.27</v>
      </c>
    </row>
    <row r="17" spans="2:12" ht="15" customHeight="1" x14ac:dyDescent="0.2">
      <c r="B17" s="2">
        <v>10</v>
      </c>
      <c r="C17" s="7">
        <v>-254.53</v>
      </c>
      <c r="D17" s="12">
        <f t="shared" si="1"/>
        <v>-25.452999999999999</v>
      </c>
      <c r="E17" s="9">
        <f t="shared" si="2"/>
        <v>0.69483662215089437</v>
      </c>
      <c r="I17" s="2">
        <v>10</v>
      </c>
      <c r="J17" s="12">
        <f t="shared" si="0"/>
        <v>-25.452999999999999</v>
      </c>
      <c r="K17" s="7">
        <v>-254.53</v>
      </c>
    </row>
    <row r="18" spans="2:12" ht="15" customHeight="1" x14ac:dyDescent="0.2">
      <c r="B18" s="2">
        <v>20</v>
      </c>
      <c r="C18" s="7">
        <v>-509.05</v>
      </c>
      <c r="D18" s="12">
        <f t="shared" si="1"/>
        <v>-25.452500000000001</v>
      </c>
      <c r="E18" s="9">
        <f t="shared" si="2"/>
        <v>0.69482297274567395</v>
      </c>
      <c r="I18" s="2">
        <v>20</v>
      </c>
      <c r="J18" s="12">
        <f t="shared" si="0"/>
        <v>-25.452500000000001</v>
      </c>
      <c r="K18" s="7">
        <v>-509.05</v>
      </c>
    </row>
    <row r="19" spans="2:12" ht="15" customHeight="1" x14ac:dyDescent="0.2">
      <c r="B19" s="2">
        <v>30</v>
      </c>
      <c r="C19" s="7">
        <v>-763.6</v>
      </c>
      <c r="D19" s="12">
        <f t="shared" si="1"/>
        <v>-25.453333333333333</v>
      </c>
      <c r="E19" s="9">
        <f t="shared" si="2"/>
        <v>0.69484572175437465</v>
      </c>
      <c r="I19" s="2">
        <v>30</v>
      </c>
      <c r="J19" s="12">
        <f t="shared" si="0"/>
        <v>-25.453333333333333</v>
      </c>
      <c r="K19" s="7">
        <v>-763.6</v>
      </c>
    </row>
    <row r="20" spans="2:12" ht="15" customHeight="1" x14ac:dyDescent="0.2">
      <c r="B20" s="6">
        <v>40</v>
      </c>
      <c r="C20" s="8">
        <v>-1018.1</v>
      </c>
      <c r="D20" s="13">
        <f t="shared" si="1"/>
        <v>-25.452500000000001</v>
      </c>
      <c r="E20" s="10">
        <f t="shared" si="2"/>
        <v>0.69482297274567395</v>
      </c>
      <c r="I20" s="6">
        <v>40</v>
      </c>
      <c r="J20" s="13">
        <f t="shared" si="0"/>
        <v>-25.452500000000001</v>
      </c>
      <c r="K20" s="8">
        <v>-1018.1</v>
      </c>
    </row>
    <row r="21" spans="2:12" ht="15" customHeight="1" x14ac:dyDescent="0.2">
      <c r="B21" s="2">
        <v>50</v>
      </c>
      <c r="C21" s="7">
        <v>-1272.6099999999999</v>
      </c>
      <c r="D21" s="12">
        <f>C21/B21</f>
        <v>-25.452199999999998</v>
      </c>
      <c r="E21" s="9">
        <f t="shared" si="2"/>
        <v>0.69481478310254163</v>
      </c>
      <c r="I21" s="2">
        <v>50</v>
      </c>
      <c r="J21" s="12">
        <f t="shared" si="0"/>
        <v>-25.452199999999998</v>
      </c>
      <c r="K21" s="7">
        <v>-1272.6099999999999</v>
      </c>
    </row>
    <row r="22" spans="2:12" ht="15" customHeight="1" x14ac:dyDescent="0.2"/>
    <row r="23" spans="2:12" ht="15" customHeight="1" x14ac:dyDescent="0.2">
      <c r="B23" s="48" t="s">
        <v>34</v>
      </c>
    </row>
    <row r="24" spans="2:12" ht="15" customHeight="1" x14ac:dyDescent="0.2"/>
    <row r="25" spans="2:12" ht="15" customHeight="1" x14ac:dyDescent="0.2">
      <c r="B25" s="15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12" ht="15" customHeight="1" x14ac:dyDescent="0.2"/>
    <row r="27" spans="2:12" ht="15" customHeight="1" x14ac:dyDescent="0.2">
      <c r="B27" s="18" t="s">
        <v>15</v>
      </c>
      <c r="C27" s="19"/>
      <c r="D27" s="20"/>
      <c r="F27" s="27" t="s">
        <v>21</v>
      </c>
      <c r="G27" s="28"/>
      <c r="I27" s="30" t="s">
        <v>23</v>
      </c>
      <c r="J27" s="31"/>
      <c r="K27" s="31"/>
      <c r="L27" s="32"/>
    </row>
    <row r="28" spans="2:12" ht="15" customHeight="1" x14ac:dyDescent="0.2">
      <c r="B28" s="21" t="s">
        <v>16</v>
      </c>
      <c r="C28" s="22" t="s">
        <v>19</v>
      </c>
      <c r="D28" s="23">
        <v>2.46</v>
      </c>
      <c r="F28" s="24" t="s">
        <v>22</v>
      </c>
      <c r="G28" s="26">
        <v>0.69479999999999997</v>
      </c>
      <c r="I28" s="33" t="s">
        <v>24</v>
      </c>
      <c r="J28" s="34" t="s">
        <v>26</v>
      </c>
      <c r="K28" s="19"/>
      <c r="L28" s="20"/>
    </row>
    <row r="29" spans="2:12" ht="15" customHeight="1" x14ac:dyDescent="0.2">
      <c r="B29" s="21" t="s">
        <v>17</v>
      </c>
      <c r="C29" s="22" t="s">
        <v>20</v>
      </c>
      <c r="D29" s="23">
        <v>4.5</v>
      </c>
      <c r="I29" s="35" t="s">
        <v>25</v>
      </c>
      <c r="J29" s="36" t="s">
        <v>27</v>
      </c>
      <c r="L29" s="37"/>
    </row>
    <row r="30" spans="2:12" ht="15" customHeight="1" x14ac:dyDescent="0.2">
      <c r="B30" s="24" t="s">
        <v>18</v>
      </c>
      <c r="C30" s="25" t="s">
        <v>28</v>
      </c>
      <c r="D30" s="26">
        <v>85</v>
      </c>
      <c r="I30" s="38">
        <f>D29*2.20462*25.4*12</f>
        <v>3023.8567919999996</v>
      </c>
      <c r="J30" s="39">
        <f>G28*D28*SQRT(4*D30*I30/32.2)/12</f>
        <v>25.451055804767716</v>
      </c>
      <c r="K30" s="40" t="s">
        <v>88</v>
      </c>
      <c r="L30" s="29"/>
    </row>
    <row r="31" spans="2:12" ht="15" customHeight="1" x14ac:dyDescent="0.2"/>
    <row r="32" spans="2:12" ht="15" customHeight="1" x14ac:dyDescent="0.2">
      <c r="I32" s="30" t="s">
        <v>29</v>
      </c>
      <c r="J32" s="31"/>
      <c r="K32" s="32"/>
    </row>
    <row r="33" spans="9:12" ht="15" customHeight="1" x14ac:dyDescent="0.2">
      <c r="I33" s="33" t="s">
        <v>30</v>
      </c>
      <c r="J33" s="34" t="s">
        <v>32</v>
      </c>
      <c r="K33" s="41"/>
    </row>
    <row r="34" spans="9:12" ht="15" customHeight="1" x14ac:dyDescent="0.2">
      <c r="I34" s="35" t="s">
        <v>31</v>
      </c>
      <c r="J34" s="36" t="s">
        <v>33</v>
      </c>
      <c r="K34" s="23"/>
    </row>
    <row r="35" spans="9:12" ht="15" customHeight="1" x14ac:dyDescent="0.2">
      <c r="I35" s="42">
        <v>1</v>
      </c>
      <c r="J35" s="12">
        <f>I35*J$30</f>
        <v>25.451055804767716</v>
      </c>
      <c r="K35" s="23"/>
      <c r="L35" s="119">
        <f>J35/2</f>
        <v>12.725527902383858</v>
      </c>
    </row>
    <row r="36" spans="9:12" ht="15" customHeight="1" x14ac:dyDescent="0.2">
      <c r="I36" s="46">
        <v>2</v>
      </c>
      <c r="J36" s="118">
        <f t="shared" ref="J36:J46" si="3">I36*J$30</f>
        <v>50.902111609535432</v>
      </c>
      <c r="K36" s="23"/>
      <c r="L36" s="119">
        <f t="shared" ref="L36:L46" si="4">J36/2</f>
        <v>25.451055804767716</v>
      </c>
    </row>
    <row r="37" spans="9:12" ht="15" customHeight="1" x14ac:dyDescent="0.2">
      <c r="I37" s="42">
        <v>3</v>
      </c>
      <c r="J37" s="12">
        <f t="shared" si="3"/>
        <v>76.353167414303144</v>
      </c>
      <c r="K37" s="23"/>
      <c r="L37" s="119">
        <f t="shared" si="4"/>
        <v>38.176583707151572</v>
      </c>
    </row>
    <row r="38" spans="9:12" ht="15" customHeight="1" x14ac:dyDescent="0.2">
      <c r="I38" s="42">
        <v>4</v>
      </c>
      <c r="J38" s="12">
        <f t="shared" si="3"/>
        <v>101.80422321907086</v>
      </c>
      <c r="K38" s="23"/>
      <c r="L38" s="119">
        <f t="shared" si="4"/>
        <v>50.902111609535432</v>
      </c>
    </row>
    <row r="39" spans="9:12" ht="15" customHeight="1" x14ac:dyDescent="0.2">
      <c r="I39" s="46">
        <v>5</v>
      </c>
      <c r="J39" s="118">
        <f t="shared" si="3"/>
        <v>127.25527902383858</v>
      </c>
      <c r="K39" s="23"/>
      <c r="L39" s="119">
        <f t="shared" si="4"/>
        <v>63.627639511919291</v>
      </c>
    </row>
    <row r="40" spans="9:12" ht="15" customHeight="1" x14ac:dyDescent="0.2">
      <c r="I40" s="42">
        <v>10</v>
      </c>
      <c r="J40" s="12">
        <f t="shared" si="3"/>
        <v>254.51055804767716</v>
      </c>
      <c r="K40" s="23"/>
      <c r="L40" s="119">
        <f t="shared" si="4"/>
        <v>127.25527902383858</v>
      </c>
    </row>
    <row r="41" spans="9:12" ht="15" customHeight="1" x14ac:dyDescent="0.2">
      <c r="I41" s="42">
        <v>20</v>
      </c>
      <c r="J41" s="12">
        <f t="shared" si="3"/>
        <v>509.02111609535433</v>
      </c>
      <c r="K41" s="23"/>
      <c r="L41" s="119">
        <f t="shared" si="4"/>
        <v>254.51055804767716</v>
      </c>
    </row>
    <row r="42" spans="9:12" ht="15" customHeight="1" x14ac:dyDescent="0.2">
      <c r="I42" s="42">
        <v>30</v>
      </c>
      <c r="J42" s="12">
        <f t="shared" si="3"/>
        <v>763.53167414303152</v>
      </c>
      <c r="K42" s="23"/>
      <c r="L42" s="119">
        <f t="shared" si="4"/>
        <v>381.76583707151576</v>
      </c>
    </row>
    <row r="43" spans="9:12" ht="15" customHeight="1" x14ac:dyDescent="0.2">
      <c r="I43" s="46">
        <v>40</v>
      </c>
      <c r="J43" s="118">
        <f t="shared" si="3"/>
        <v>1018.0422321907087</v>
      </c>
      <c r="K43" s="23"/>
      <c r="L43" s="119">
        <f t="shared" si="4"/>
        <v>509.02111609535433</v>
      </c>
    </row>
    <row r="44" spans="9:12" ht="15" customHeight="1" x14ac:dyDescent="0.2">
      <c r="I44" s="42">
        <v>50</v>
      </c>
      <c r="J44" s="12">
        <f t="shared" si="3"/>
        <v>1272.5527902383858</v>
      </c>
      <c r="K44" s="23"/>
      <c r="L44" s="119">
        <f t="shared" si="4"/>
        <v>636.2763951191929</v>
      </c>
    </row>
    <row r="45" spans="9:12" ht="15" customHeight="1" x14ac:dyDescent="0.2">
      <c r="I45" s="42">
        <v>60</v>
      </c>
      <c r="J45" s="12">
        <f t="shared" si="3"/>
        <v>1527.063348286063</v>
      </c>
      <c r="K45" s="23"/>
      <c r="L45" s="119">
        <f t="shared" si="4"/>
        <v>763.53167414303152</v>
      </c>
    </row>
    <row r="46" spans="9:12" ht="15" customHeight="1" x14ac:dyDescent="0.2">
      <c r="I46" s="42">
        <v>70</v>
      </c>
      <c r="J46" s="12">
        <f t="shared" si="3"/>
        <v>1781.5739063337401</v>
      </c>
      <c r="K46" s="23"/>
      <c r="L46" s="119">
        <f t="shared" si="4"/>
        <v>890.78695316687003</v>
      </c>
    </row>
    <row r="47" spans="9:12" ht="15" customHeight="1" x14ac:dyDescent="0.2">
      <c r="I47" s="43"/>
      <c r="J47" s="39"/>
      <c r="K47" s="26"/>
    </row>
    <row r="48" spans="9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pageMargins left="0.45" right="0.45" top="0.5" bottom="0.5" header="0.3" footer="0.3"/>
  <pageSetup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AC170"/>
  <sheetViews>
    <sheetView showGridLines="0" zoomScale="90" zoomScaleNormal="90" workbookViewId="0">
      <selection activeCell="G7" sqref="G7"/>
    </sheetView>
  </sheetViews>
  <sheetFormatPr defaultRowHeight="12.75" x14ac:dyDescent="0.2"/>
  <cols>
    <col min="3" max="3" width="9.140625" customWidth="1"/>
    <col min="7" max="7" width="9.140625" customWidth="1"/>
    <col min="9" max="9" width="9.140625" customWidth="1"/>
    <col min="11" max="12" width="9.140625" customWidth="1"/>
    <col min="13" max="13" width="8.42578125" customWidth="1"/>
    <col min="15" max="15" width="9.140625" customWidth="1"/>
    <col min="20" max="20" width="5.7109375" customWidth="1"/>
  </cols>
  <sheetData>
    <row r="1" spans="1:29" ht="15" customHeight="1" x14ac:dyDescent="0.2">
      <c r="K1" t="s">
        <v>90</v>
      </c>
    </row>
    <row r="2" spans="1:29" ht="15" customHeight="1" x14ac:dyDescent="0.2">
      <c r="A2" t="s">
        <v>13</v>
      </c>
      <c r="B2" s="11" t="s">
        <v>12</v>
      </c>
    </row>
    <row r="3" spans="1:29" ht="15.75" customHeight="1" x14ac:dyDescent="0.2">
      <c r="B3" s="11" t="s">
        <v>7</v>
      </c>
      <c r="X3" t="s">
        <v>42</v>
      </c>
    </row>
    <row r="4" spans="1:29" ht="42" customHeight="1" x14ac:dyDescent="0.3">
      <c r="B4" s="145" t="s">
        <v>120</v>
      </c>
      <c r="G4" s="140"/>
      <c r="H4" s="140"/>
      <c r="I4" s="140"/>
      <c r="J4" s="140"/>
      <c r="K4" s="140"/>
      <c r="L4" s="140"/>
      <c r="AB4" t="s">
        <v>36</v>
      </c>
    </row>
    <row r="5" spans="1:29" ht="15" customHeight="1" x14ac:dyDescent="0.2">
      <c r="H5" s="1" t="s">
        <v>116</v>
      </c>
      <c r="O5" s="1" t="s">
        <v>115</v>
      </c>
      <c r="X5" t="s">
        <v>43</v>
      </c>
      <c r="Z5" t="s">
        <v>44</v>
      </c>
      <c r="AB5" s="65" t="s">
        <v>45</v>
      </c>
      <c r="AC5" t="s">
        <v>37</v>
      </c>
    </row>
    <row r="6" spans="1:29" ht="15" customHeight="1" x14ac:dyDescent="0.2">
      <c r="B6" s="3">
        <v>2.46</v>
      </c>
      <c r="C6" s="1" t="s">
        <v>6</v>
      </c>
      <c r="E6" s="3"/>
      <c r="L6" s="48"/>
      <c r="S6" s="48" t="s">
        <v>41</v>
      </c>
      <c r="X6" s="66">
        <v>-37</v>
      </c>
      <c r="Z6" s="66">
        <v>-36</v>
      </c>
      <c r="AA6">
        <v>1</v>
      </c>
      <c r="AB6" s="50">
        <f>(X6+Z6)/2*-1</f>
        <v>36.5</v>
      </c>
      <c r="AC6" s="67">
        <f>AB6/AA6</f>
        <v>36.5</v>
      </c>
    </row>
    <row r="7" spans="1:29" ht="15" customHeight="1" x14ac:dyDescent="0.2">
      <c r="B7" s="3">
        <v>4.5</v>
      </c>
      <c r="C7" t="s">
        <v>0</v>
      </c>
      <c r="H7" s="3">
        <v>2.46</v>
      </c>
      <c r="I7" s="1" t="s">
        <v>6</v>
      </c>
      <c r="O7" s="3">
        <v>2.46</v>
      </c>
      <c r="P7" s="1" t="s">
        <v>6</v>
      </c>
      <c r="X7" s="68">
        <v>-64</v>
      </c>
      <c r="Z7" s="68">
        <v>-64</v>
      </c>
      <c r="AA7">
        <v>2</v>
      </c>
      <c r="AB7" s="51">
        <f t="shared" ref="AB7:AB15" si="0">(X7+Z7)/2*-1</f>
        <v>64</v>
      </c>
      <c r="AC7" s="67">
        <f t="shared" ref="AC7:AC15" si="1">AB7/AA7</f>
        <v>32</v>
      </c>
    </row>
    <row r="8" spans="1:29" ht="15" customHeight="1" x14ac:dyDescent="0.2">
      <c r="B8" s="3">
        <v>85</v>
      </c>
      <c r="C8" s="1" t="s">
        <v>1</v>
      </c>
      <c r="H8" s="3">
        <v>4.5</v>
      </c>
      <c r="I8" t="s">
        <v>0</v>
      </c>
      <c r="O8" s="3">
        <v>4.5</v>
      </c>
      <c r="P8" t="s">
        <v>0</v>
      </c>
      <c r="X8" s="66">
        <v>-93</v>
      </c>
      <c r="Z8" s="66">
        <v>-92</v>
      </c>
      <c r="AA8">
        <v>3</v>
      </c>
      <c r="AB8" s="50">
        <f t="shared" si="0"/>
        <v>92.5</v>
      </c>
      <c r="AC8" s="67">
        <f t="shared" si="1"/>
        <v>30.833333333333332</v>
      </c>
    </row>
    <row r="9" spans="1:29" ht="15" customHeight="1" x14ac:dyDescent="0.2">
      <c r="B9" s="3"/>
      <c r="C9" s="1"/>
      <c r="E9" t="s">
        <v>10</v>
      </c>
      <c r="H9" s="3">
        <v>85</v>
      </c>
      <c r="I9" s="1" t="s">
        <v>1</v>
      </c>
      <c r="O9" s="3">
        <v>85</v>
      </c>
      <c r="P9" s="1" t="s">
        <v>1</v>
      </c>
      <c r="X9" s="66">
        <v>-120</v>
      </c>
      <c r="Z9" s="66">
        <v>-119</v>
      </c>
      <c r="AA9">
        <v>4</v>
      </c>
      <c r="AB9" s="50">
        <f t="shared" si="0"/>
        <v>119.5</v>
      </c>
      <c r="AC9" s="67">
        <f t="shared" si="1"/>
        <v>29.875</v>
      </c>
    </row>
    <row r="10" spans="1:29" ht="15" customHeight="1" x14ac:dyDescent="0.2">
      <c r="I10" t="s">
        <v>36</v>
      </c>
      <c r="P10" t="s">
        <v>36</v>
      </c>
      <c r="X10" s="68">
        <v>-146</v>
      </c>
      <c r="Z10" s="68">
        <v>-145</v>
      </c>
      <c r="AA10">
        <v>5</v>
      </c>
      <c r="AB10" s="51">
        <f t="shared" si="0"/>
        <v>145.5</v>
      </c>
      <c r="AC10" s="67">
        <f t="shared" si="1"/>
        <v>29.1</v>
      </c>
    </row>
    <row r="11" spans="1:29" ht="15" customHeight="1" x14ac:dyDescent="0.2">
      <c r="B11" s="4" t="s">
        <v>2</v>
      </c>
      <c r="C11" s="4" t="s">
        <v>3</v>
      </c>
      <c r="D11" s="5" t="s">
        <v>5</v>
      </c>
      <c r="E11" s="4" t="s">
        <v>4</v>
      </c>
      <c r="H11" s="4" t="s">
        <v>2</v>
      </c>
      <c r="I11" s="64" t="s">
        <v>38</v>
      </c>
      <c r="J11" s="52" t="s">
        <v>37</v>
      </c>
      <c r="K11" s="4" t="s">
        <v>4</v>
      </c>
      <c r="O11" s="4" t="s">
        <v>2</v>
      </c>
      <c r="P11" s="64" t="s">
        <v>38</v>
      </c>
      <c r="Q11" s="52" t="s">
        <v>37</v>
      </c>
      <c r="R11" s="4" t="s">
        <v>4</v>
      </c>
      <c r="X11" s="66">
        <v>-270</v>
      </c>
      <c r="Z11" s="66">
        <v>-269</v>
      </c>
      <c r="AA11">
        <v>10</v>
      </c>
      <c r="AB11" s="50">
        <f t="shared" si="0"/>
        <v>269.5</v>
      </c>
      <c r="AC11" s="67">
        <f t="shared" si="1"/>
        <v>26.95</v>
      </c>
    </row>
    <row r="12" spans="1:29" ht="15" customHeight="1" x14ac:dyDescent="0.2">
      <c r="B12" s="2">
        <v>1</v>
      </c>
      <c r="C12" s="7">
        <v>-25.75</v>
      </c>
      <c r="D12" s="12">
        <f>C12/B12</f>
        <v>-25.75</v>
      </c>
      <c r="E12" s="9">
        <f>SQRT(12*32.2*D12^2/(4*$B$8*($B$7*56)*$B$6^2))</f>
        <v>0.7029443688518261</v>
      </c>
      <c r="G12" s="50">
        <v>37</v>
      </c>
      <c r="H12" s="2">
        <v>1</v>
      </c>
      <c r="I12" s="50">
        <v>31.502458250000345</v>
      </c>
      <c r="J12" s="50">
        <f>I12/H12</f>
        <v>31.502458250000345</v>
      </c>
      <c r="K12" s="53">
        <f>SQRT(12*32.2*J12^2/(4*$H$9*($H$8*56)*$H$7^2))</f>
        <v>0.85997963618747553</v>
      </c>
      <c r="N12" s="50">
        <v>37</v>
      </c>
      <c r="O12" s="2">
        <v>1</v>
      </c>
      <c r="P12" s="50">
        <v>37</v>
      </c>
      <c r="Q12" s="50">
        <f>P12/O12</f>
        <v>37</v>
      </c>
      <c r="R12" s="53">
        <f>SQRT(12*32.2*Q12^2/(4*$O$9*($O$8*56)*$O$7^2))</f>
        <v>1.0100559863113618</v>
      </c>
      <c r="X12" s="66">
        <v>-533</v>
      </c>
      <c r="Z12" s="66">
        <v>-531</v>
      </c>
      <c r="AA12">
        <v>20</v>
      </c>
      <c r="AB12" s="50">
        <f t="shared" si="0"/>
        <v>532</v>
      </c>
      <c r="AC12" s="67">
        <f t="shared" si="1"/>
        <v>26.6</v>
      </c>
    </row>
    <row r="13" spans="1:29" ht="15" customHeight="1" x14ac:dyDescent="0.2">
      <c r="B13" s="6">
        <v>2</v>
      </c>
      <c r="C13" s="8">
        <v>-51.5</v>
      </c>
      <c r="D13" s="13">
        <f t="shared" ref="D13:D21" si="2">C13/B13</f>
        <v>-25.75</v>
      </c>
      <c r="E13" s="10">
        <f t="shared" ref="E13:E21" si="3">SQRT(12*32.2*D13^2/(4*$B$8*($B$7*56)*$B$6^2))</f>
        <v>0.7029443688518261</v>
      </c>
      <c r="G13" s="51">
        <v>68</v>
      </c>
      <c r="H13" s="6">
        <v>2</v>
      </c>
      <c r="I13" s="51">
        <v>60.074455267442509</v>
      </c>
      <c r="J13" s="51">
        <f t="shared" ref="J13:J21" si="4">I13/H13</f>
        <v>30.037227633721255</v>
      </c>
      <c r="K13" s="54">
        <f t="shared" ref="K13:K21" si="5">SQRT(12*32.2*J13^2/(4*$O$9*($O$8*56)*$O$7^2))</f>
        <v>0.81998058334154633</v>
      </c>
      <c r="L13" s="85">
        <f>K12-K13</f>
        <v>3.9999052845929195E-2</v>
      </c>
      <c r="N13" s="51">
        <v>68</v>
      </c>
      <c r="O13" s="6">
        <v>2</v>
      </c>
      <c r="P13" s="51">
        <v>69</v>
      </c>
      <c r="Q13" s="51">
        <f t="shared" ref="Q13:Q21" si="6">P13/O13</f>
        <v>34.5</v>
      </c>
      <c r="R13" s="54">
        <f t="shared" ref="R13:R21" si="7">SQRT(12*32.2*Q13^2/(4*$O$9*($O$8*56)*$O$7^2))</f>
        <v>0.94180896020924276</v>
      </c>
      <c r="S13" s="85">
        <f>R12-R13</f>
        <v>6.8247026102119079E-2</v>
      </c>
      <c r="X13" s="66">
        <v>-851</v>
      </c>
      <c r="Z13" s="66">
        <v>-853</v>
      </c>
      <c r="AA13">
        <v>30</v>
      </c>
      <c r="AB13" s="50">
        <f t="shared" si="0"/>
        <v>852</v>
      </c>
      <c r="AC13" s="67">
        <f t="shared" si="1"/>
        <v>28.4</v>
      </c>
    </row>
    <row r="14" spans="1:29" ht="15" customHeight="1" x14ac:dyDescent="0.2">
      <c r="B14" s="2">
        <v>3</v>
      </c>
      <c r="C14" s="7">
        <v>-77</v>
      </c>
      <c r="D14" s="12">
        <f t="shared" si="2"/>
        <v>-25.666666666666668</v>
      </c>
      <c r="E14" s="9">
        <f t="shared" si="3"/>
        <v>0.70066946798175544</v>
      </c>
      <c r="G14" s="50">
        <v>96</v>
      </c>
      <c r="H14" s="2">
        <v>3</v>
      </c>
      <c r="I14" s="50">
        <v>86.81491401453583</v>
      </c>
      <c r="J14" s="50">
        <f t="shared" si="4"/>
        <v>28.938304671511943</v>
      </c>
      <c r="K14" s="53">
        <f t="shared" si="5"/>
        <v>0.78998129370709957</v>
      </c>
      <c r="L14" s="85">
        <f t="shared" ref="L14:L16" si="8">K13-K14</f>
        <v>2.9999289634446757E-2</v>
      </c>
      <c r="N14" s="50">
        <v>96</v>
      </c>
      <c r="O14" s="2">
        <v>3</v>
      </c>
      <c r="P14" s="50">
        <v>96</v>
      </c>
      <c r="Q14" s="50">
        <f t="shared" si="6"/>
        <v>32</v>
      </c>
      <c r="R14" s="53">
        <f t="shared" si="7"/>
        <v>0.87356193410712368</v>
      </c>
      <c r="S14" s="85">
        <f t="shared" ref="S14:S16" si="9">R13-R14</f>
        <v>6.8247026102119079E-2</v>
      </c>
      <c r="X14" s="68">
        <v>-1164</v>
      </c>
      <c r="Z14" s="68">
        <v>-1168</v>
      </c>
      <c r="AA14">
        <v>40</v>
      </c>
      <c r="AB14" s="51">
        <f t="shared" si="0"/>
        <v>1166</v>
      </c>
      <c r="AC14" s="67">
        <f t="shared" si="1"/>
        <v>29.15</v>
      </c>
    </row>
    <row r="15" spans="1:29" ht="15" customHeight="1" x14ac:dyDescent="0.2">
      <c r="B15" s="2">
        <v>4</v>
      </c>
      <c r="C15" s="7">
        <v>-103</v>
      </c>
      <c r="D15" s="12">
        <f t="shared" si="2"/>
        <v>-25.75</v>
      </c>
      <c r="E15" s="9">
        <f t="shared" si="3"/>
        <v>0.7029443688518261</v>
      </c>
      <c r="G15" s="50">
        <v>121</v>
      </c>
      <c r="H15" s="2">
        <v>4</v>
      </c>
      <c r="I15" s="50">
        <v>111.3575268372105</v>
      </c>
      <c r="J15" s="50">
        <f t="shared" si="4"/>
        <v>27.839381709302625</v>
      </c>
      <c r="K15" s="53">
        <f t="shared" si="5"/>
        <v>0.75998200407265259</v>
      </c>
      <c r="L15" s="85">
        <f t="shared" si="8"/>
        <v>2.9999289634446979E-2</v>
      </c>
      <c r="N15" s="50">
        <v>121</v>
      </c>
      <c r="O15" s="2">
        <v>4</v>
      </c>
      <c r="P15" s="50">
        <v>121</v>
      </c>
      <c r="Q15" s="50">
        <f t="shared" si="6"/>
        <v>30.25</v>
      </c>
      <c r="R15" s="53">
        <f t="shared" si="7"/>
        <v>0.82578901583564035</v>
      </c>
      <c r="S15" s="85">
        <f t="shared" si="9"/>
        <v>4.7772918271483333E-2</v>
      </c>
      <c r="X15" s="66">
        <v>-1465</v>
      </c>
      <c r="Z15" s="66">
        <v>-1469</v>
      </c>
      <c r="AA15">
        <v>50</v>
      </c>
      <c r="AB15" s="50">
        <f t="shared" si="0"/>
        <v>1467</v>
      </c>
      <c r="AC15" s="67">
        <f t="shared" si="1"/>
        <v>29.34</v>
      </c>
    </row>
    <row r="16" spans="1:29" ht="15" customHeight="1" x14ac:dyDescent="0.2">
      <c r="B16" s="6">
        <v>5</v>
      </c>
      <c r="C16" s="8">
        <v>-128.4</v>
      </c>
      <c r="D16" s="13">
        <f t="shared" si="2"/>
        <v>-25.68</v>
      </c>
      <c r="E16" s="10">
        <f t="shared" si="3"/>
        <v>0.70103345212096679</v>
      </c>
      <c r="G16" s="51">
        <v>144</v>
      </c>
      <c r="H16" s="6">
        <v>5</v>
      </c>
      <c r="I16" s="51">
        <v>135.53383200581544</v>
      </c>
      <c r="J16" s="51">
        <f t="shared" si="4"/>
        <v>27.106766401163089</v>
      </c>
      <c r="K16" s="54">
        <f t="shared" si="5"/>
        <v>0.73998247764968828</v>
      </c>
      <c r="L16" s="85">
        <f t="shared" si="8"/>
        <v>1.999952642296432E-2</v>
      </c>
      <c r="N16" s="51">
        <v>144</v>
      </c>
      <c r="O16" s="6">
        <v>5</v>
      </c>
      <c r="P16" s="51">
        <v>144</v>
      </c>
      <c r="Q16" s="51">
        <f t="shared" si="6"/>
        <v>28.8</v>
      </c>
      <c r="R16" s="54">
        <f t="shared" si="7"/>
        <v>0.78620574069641136</v>
      </c>
      <c r="S16" s="85">
        <f t="shared" si="9"/>
        <v>3.9583275139228991E-2</v>
      </c>
    </row>
    <row r="17" spans="2:29" ht="15" customHeight="1" x14ac:dyDescent="0.2">
      <c r="B17" s="2">
        <v>10</v>
      </c>
      <c r="C17" s="7">
        <v>-256.5</v>
      </c>
      <c r="D17" s="12">
        <f t="shared" si="2"/>
        <v>-25.65</v>
      </c>
      <c r="E17" s="9">
        <f t="shared" si="3"/>
        <v>0.70021448780774131</v>
      </c>
      <c r="G17" s="50">
        <v>260</v>
      </c>
      <c r="H17" s="2">
        <v>10</v>
      </c>
      <c r="I17" s="50">
        <v>263.74151093023545</v>
      </c>
      <c r="J17" s="50">
        <f t="shared" si="4"/>
        <v>26.374151093023546</v>
      </c>
      <c r="K17" s="53">
        <f t="shared" si="5"/>
        <v>0.71998295122672373</v>
      </c>
      <c r="L17" s="85">
        <f>(K16-K17)/5</f>
        <v>3.999905284592908E-3</v>
      </c>
      <c r="N17" s="50">
        <v>260</v>
      </c>
      <c r="O17" s="2">
        <v>10</v>
      </c>
      <c r="P17" s="50">
        <v>270</v>
      </c>
      <c r="Q17" s="50">
        <f t="shared" si="6"/>
        <v>27</v>
      </c>
      <c r="R17" s="53">
        <f t="shared" si="7"/>
        <v>0.73706788190288564</v>
      </c>
      <c r="S17" s="85">
        <f>(R16-R17)/5</f>
        <v>9.8275717587051441E-3</v>
      </c>
      <c r="AB17" s="1" t="s">
        <v>46</v>
      </c>
    </row>
    <row r="18" spans="2:29" ht="15" customHeight="1" x14ac:dyDescent="0.2">
      <c r="B18" s="2">
        <v>20</v>
      </c>
      <c r="C18" s="7">
        <v>-513</v>
      </c>
      <c r="D18" s="12">
        <f t="shared" si="2"/>
        <v>-25.65</v>
      </c>
      <c r="E18" s="9">
        <f t="shared" si="3"/>
        <v>0.70021448780774131</v>
      </c>
      <c r="G18" s="50">
        <v>513</v>
      </c>
      <c r="H18" s="2">
        <v>20</v>
      </c>
      <c r="I18" s="50">
        <v>512.83071569768003</v>
      </c>
      <c r="J18" s="50">
        <f t="shared" si="4"/>
        <v>25.641535784884002</v>
      </c>
      <c r="K18" s="53">
        <f t="shared" si="5"/>
        <v>0.69998342480375919</v>
      </c>
      <c r="L18" s="85">
        <f>(K17-K18)/10</f>
        <v>1.999952642296454E-3</v>
      </c>
      <c r="N18" s="50">
        <v>513</v>
      </c>
      <c r="O18" s="2">
        <v>20</v>
      </c>
      <c r="P18" s="50">
        <v>513</v>
      </c>
      <c r="Q18" s="50">
        <f t="shared" si="6"/>
        <v>25.65</v>
      </c>
      <c r="R18" s="53">
        <f t="shared" si="7"/>
        <v>0.70021448780774131</v>
      </c>
      <c r="S18" s="85">
        <f>(R17-R18)/10</f>
        <v>3.6853394095144321E-3</v>
      </c>
      <c r="AB18" s="65" t="s">
        <v>45</v>
      </c>
      <c r="AC18" s="2" t="s">
        <v>37</v>
      </c>
    </row>
    <row r="19" spans="2:29" ht="15" customHeight="1" x14ac:dyDescent="0.2">
      <c r="B19" s="2">
        <v>30</v>
      </c>
      <c r="C19" s="7">
        <v>769.5</v>
      </c>
      <c r="D19" s="12">
        <f t="shared" si="2"/>
        <v>25.65</v>
      </c>
      <c r="E19" s="9">
        <f t="shared" si="3"/>
        <v>0.70021448780774131</v>
      </c>
      <c r="G19" s="50">
        <v>769</v>
      </c>
      <c r="H19" s="2">
        <v>30</v>
      </c>
      <c r="I19" s="50">
        <v>769.24607354651994</v>
      </c>
      <c r="J19" s="50">
        <f t="shared" si="4"/>
        <v>25.641535784883999</v>
      </c>
      <c r="K19" s="53">
        <f t="shared" si="5"/>
        <v>0.69998342480375908</v>
      </c>
      <c r="L19" s="85">
        <f t="shared" ref="L19:L21" si="10">(K18-K19)/10</f>
        <v>1.1102230246251566E-17</v>
      </c>
      <c r="N19" s="50">
        <v>769</v>
      </c>
      <c r="O19" s="2">
        <v>30</v>
      </c>
      <c r="P19" s="50">
        <v>769</v>
      </c>
      <c r="Q19" s="50">
        <f t="shared" si="6"/>
        <v>25.633333333333333</v>
      </c>
      <c r="R19" s="53">
        <f t="shared" si="7"/>
        <v>0.6997595076337273</v>
      </c>
      <c r="S19" s="85">
        <f t="shared" ref="S19:S21" si="11">(R18-R19)/10</f>
        <v>4.5498017401401911E-5</v>
      </c>
      <c r="AA19">
        <v>1</v>
      </c>
      <c r="AB19" s="50">
        <v>37</v>
      </c>
      <c r="AC19" s="67">
        <f>AB19/AA19</f>
        <v>37</v>
      </c>
    </row>
    <row r="20" spans="2:29" ht="15" customHeight="1" x14ac:dyDescent="0.2">
      <c r="B20" s="6">
        <v>40</v>
      </c>
      <c r="C20" s="8">
        <v>-1026</v>
      </c>
      <c r="D20" s="13">
        <f t="shared" si="2"/>
        <v>-25.65</v>
      </c>
      <c r="E20" s="10">
        <f t="shared" si="3"/>
        <v>0.70021448780774131</v>
      </c>
      <c r="G20" s="51">
        <v>1026</v>
      </c>
      <c r="H20" s="6">
        <v>40</v>
      </c>
      <c r="I20" s="51">
        <v>1025.6614313953601</v>
      </c>
      <c r="J20" s="51">
        <f t="shared" si="4"/>
        <v>25.641535784884002</v>
      </c>
      <c r="K20" s="54">
        <f t="shared" si="5"/>
        <v>0.69998342480375919</v>
      </c>
      <c r="L20" s="85">
        <f t="shared" si="10"/>
        <v>-1.1102230246251566E-17</v>
      </c>
      <c r="N20" s="51">
        <v>1026</v>
      </c>
      <c r="O20" s="6">
        <v>40</v>
      </c>
      <c r="P20" s="51">
        <v>1026</v>
      </c>
      <c r="Q20" s="51">
        <f t="shared" si="6"/>
        <v>25.65</v>
      </c>
      <c r="R20" s="54">
        <f t="shared" si="7"/>
        <v>0.70021448780774131</v>
      </c>
      <c r="S20" s="85">
        <f t="shared" si="11"/>
        <v>-4.5498017401401911E-5</v>
      </c>
      <c r="AA20">
        <v>2</v>
      </c>
      <c r="AB20" s="51">
        <v>68</v>
      </c>
      <c r="AC20" s="67">
        <f t="shared" ref="AC20:AC28" si="12">AB20/AA20</f>
        <v>34</v>
      </c>
    </row>
    <row r="21" spans="2:29" ht="15" customHeight="1" x14ac:dyDescent="0.2">
      <c r="B21" s="2">
        <v>50</v>
      </c>
      <c r="C21" s="7">
        <v>-1283</v>
      </c>
      <c r="D21" s="12">
        <f t="shared" si="2"/>
        <v>-25.66</v>
      </c>
      <c r="E21" s="9">
        <f t="shared" si="3"/>
        <v>0.70048747591214988</v>
      </c>
      <c r="G21" s="50">
        <v>1282</v>
      </c>
      <c r="H21" s="2">
        <v>50</v>
      </c>
      <c r="I21" s="50">
        <v>1282.0767892442</v>
      </c>
      <c r="J21" s="50">
        <f t="shared" si="4"/>
        <v>25.641535784883999</v>
      </c>
      <c r="K21" s="53">
        <f t="shared" si="5"/>
        <v>0.69998342480375908</v>
      </c>
      <c r="L21" s="85">
        <f t="shared" si="10"/>
        <v>1.1102230246251566E-17</v>
      </c>
      <c r="N21" s="50">
        <v>1282</v>
      </c>
      <c r="O21" s="2">
        <v>50</v>
      </c>
      <c r="P21" s="50">
        <v>1282</v>
      </c>
      <c r="Q21" s="50">
        <f t="shared" si="6"/>
        <v>25.64</v>
      </c>
      <c r="R21" s="53">
        <f t="shared" si="7"/>
        <v>0.69994149970333286</v>
      </c>
      <c r="S21" s="85">
        <f t="shared" si="11"/>
        <v>2.729881044084559E-5</v>
      </c>
      <c r="AA21">
        <v>3</v>
      </c>
      <c r="AB21" s="50">
        <v>96</v>
      </c>
      <c r="AC21" s="67">
        <f t="shared" si="12"/>
        <v>32</v>
      </c>
    </row>
    <row r="22" spans="2:29" ht="15" customHeight="1" x14ac:dyDescent="0.2">
      <c r="AA22">
        <v>4</v>
      </c>
      <c r="AB22" s="50">
        <v>121</v>
      </c>
      <c r="AC22" s="67">
        <f t="shared" si="12"/>
        <v>30.25</v>
      </c>
    </row>
    <row r="23" spans="2:29" ht="15" customHeight="1" x14ac:dyDescent="0.2">
      <c r="B23" s="49" t="s">
        <v>35</v>
      </c>
      <c r="AA23">
        <v>5</v>
      </c>
      <c r="AB23" s="51">
        <v>144</v>
      </c>
      <c r="AC23" s="67">
        <f t="shared" si="12"/>
        <v>28.8</v>
      </c>
    </row>
    <row r="24" spans="2:29" ht="15" customHeight="1" x14ac:dyDescent="0.2">
      <c r="AA24">
        <v>10</v>
      </c>
      <c r="AB24" s="50">
        <v>260</v>
      </c>
      <c r="AC24" s="67">
        <f t="shared" si="12"/>
        <v>26</v>
      </c>
    </row>
    <row r="25" spans="2:29" ht="15" customHeight="1" x14ac:dyDescent="0.2">
      <c r="B25" s="15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  <c r="AA25">
        <v>20</v>
      </c>
      <c r="AB25" s="50">
        <v>513</v>
      </c>
      <c r="AC25" s="67">
        <f t="shared" si="12"/>
        <v>25.65</v>
      </c>
    </row>
    <row r="26" spans="2:29" ht="15" customHeight="1" x14ac:dyDescent="0.2">
      <c r="AA26">
        <v>30</v>
      </c>
      <c r="AB26" s="50">
        <v>769</v>
      </c>
      <c r="AC26" s="67">
        <f t="shared" si="12"/>
        <v>25.633333333333333</v>
      </c>
    </row>
    <row r="27" spans="2:29" ht="15" customHeight="1" x14ac:dyDescent="0.2">
      <c r="B27" s="18" t="s">
        <v>15</v>
      </c>
      <c r="C27" s="19"/>
      <c r="D27" s="20"/>
      <c r="J27" s="56" t="s">
        <v>23</v>
      </c>
      <c r="K27" s="57"/>
      <c r="L27" s="57"/>
      <c r="M27" s="58"/>
      <c r="AA27">
        <v>40</v>
      </c>
      <c r="AB27" s="51">
        <v>1026</v>
      </c>
      <c r="AC27" s="67">
        <f t="shared" si="12"/>
        <v>25.65</v>
      </c>
    </row>
    <row r="28" spans="2:29" ht="15" customHeight="1" x14ac:dyDescent="0.2">
      <c r="B28" s="21" t="s">
        <v>16</v>
      </c>
      <c r="C28" s="22" t="s">
        <v>19</v>
      </c>
      <c r="D28" s="23">
        <v>2.46</v>
      </c>
      <c r="J28" s="33" t="s">
        <v>24</v>
      </c>
      <c r="K28" s="34" t="s">
        <v>26</v>
      </c>
      <c r="L28" s="19"/>
      <c r="M28" s="20"/>
      <c r="AA28">
        <v>50</v>
      </c>
      <c r="AB28" s="50">
        <v>1282</v>
      </c>
      <c r="AC28" s="67">
        <f t="shared" si="12"/>
        <v>25.64</v>
      </c>
    </row>
    <row r="29" spans="2:29" ht="15" customHeight="1" x14ac:dyDescent="0.2">
      <c r="B29" s="21" t="s">
        <v>17</v>
      </c>
      <c r="C29" s="22" t="s">
        <v>20</v>
      </c>
      <c r="D29" s="23">
        <v>4.5</v>
      </c>
      <c r="F29" s="27" t="s">
        <v>39</v>
      </c>
      <c r="G29" s="27" t="s">
        <v>21</v>
      </c>
      <c r="H29" s="28"/>
      <c r="J29" s="35" t="s">
        <v>25</v>
      </c>
      <c r="K29" s="36" t="s">
        <v>27</v>
      </c>
      <c r="M29" s="37"/>
    </row>
    <row r="30" spans="2:29" ht="15" customHeight="1" x14ac:dyDescent="0.2">
      <c r="B30" s="24" t="s">
        <v>18</v>
      </c>
      <c r="C30" s="25" t="s">
        <v>28</v>
      </c>
      <c r="D30" s="26">
        <v>85</v>
      </c>
      <c r="F30" s="55">
        <v>1</v>
      </c>
      <c r="G30" s="24" t="s">
        <v>22</v>
      </c>
      <c r="H30" s="26">
        <v>0.86</v>
      </c>
      <c r="J30" s="59">
        <f>D29*2.20462*25.4*12</f>
        <v>3023.8567919999996</v>
      </c>
      <c r="K30" s="12">
        <f>H30*D$28*SQRT(4*D$30*J$30/32.2)/12</f>
        <v>31.502458250000345</v>
      </c>
      <c r="M30" s="37"/>
    </row>
    <row r="31" spans="2:29" ht="15" customHeight="1" x14ac:dyDescent="0.2">
      <c r="F31" s="55">
        <v>2</v>
      </c>
      <c r="G31" s="24" t="s">
        <v>22</v>
      </c>
      <c r="H31" s="26">
        <v>0.82</v>
      </c>
      <c r="J31" s="60"/>
      <c r="K31" s="12">
        <f t="shared" ref="K31:K39" si="13">H31*D$28*SQRT(4*D$30*J$30/32.2)/12</f>
        <v>30.037227633721255</v>
      </c>
      <c r="M31" s="37"/>
    </row>
    <row r="32" spans="2:29" ht="15" customHeight="1" x14ac:dyDescent="0.2">
      <c r="F32" s="55">
        <v>3</v>
      </c>
      <c r="G32" s="24" t="s">
        <v>22</v>
      </c>
      <c r="H32" s="26">
        <v>0.79</v>
      </c>
      <c r="J32" s="60"/>
      <c r="K32" s="12">
        <f t="shared" si="13"/>
        <v>28.938304671511943</v>
      </c>
      <c r="M32" s="37"/>
    </row>
    <row r="33" spans="2:13" ht="15" customHeight="1" x14ac:dyDescent="0.2">
      <c r="B33" s="69" t="s">
        <v>47</v>
      </c>
      <c r="C33" s="70" t="s">
        <v>48</v>
      </c>
      <c r="D33" s="20"/>
      <c r="F33" s="55">
        <v>4</v>
      </c>
      <c r="G33" s="24" t="s">
        <v>22</v>
      </c>
      <c r="H33" s="26">
        <v>0.76</v>
      </c>
      <c r="J33" s="60"/>
      <c r="K33" s="12">
        <f t="shared" si="13"/>
        <v>27.839381709302625</v>
      </c>
      <c r="M33" s="37"/>
    </row>
    <row r="34" spans="2:13" ht="15" customHeight="1" x14ac:dyDescent="0.2">
      <c r="B34" s="42">
        <v>1</v>
      </c>
      <c r="C34" s="71">
        <f>B34/$B$40</f>
        <v>1.4285714285714286</v>
      </c>
      <c r="D34" s="37"/>
      <c r="F34" s="55">
        <v>5</v>
      </c>
      <c r="G34" s="24" t="s">
        <v>22</v>
      </c>
      <c r="H34" s="26">
        <v>0.74</v>
      </c>
      <c r="J34" s="60"/>
      <c r="K34" s="12">
        <f t="shared" si="13"/>
        <v>27.106766401163085</v>
      </c>
      <c r="M34" s="37"/>
    </row>
    <row r="35" spans="2:13" ht="15" customHeight="1" x14ac:dyDescent="0.2">
      <c r="B35" s="42">
        <v>0.95</v>
      </c>
      <c r="C35" s="71">
        <f t="shared" ref="C35:C44" si="14">B35/$B$40</f>
        <v>1.3571428571428572</v>
      </c>
      <c r="D35" s="37"/>
      <c r="F35" s="55">
        <v>10</v>
      </c>
      <c r="G35" s="24" t="s">
        <v>22</v>
      </c>
      <c r="H35" s="26">
        <v>0.72</v>
      </c>
      <c r="J35" s="60"/>
      <c r="K35" s="12">
        <f t="shared" si="13"/>
        <v>26.374151093023542</v>
      </c>
      <c r="M35" s="37"/>
    </row>
    <row r="36" spans="2:13" ht="15" customHeight="1" x14ac:dyDescent="0.2">
      <c r="B36" s="42">
        <v>0.9</v>
      </c>
      <c r="C36" s="71">
        <f t="shared" si="14"/>
        <v>1.2857142857142858</v>
      </c>
      <c r="D36" s="37"/>
      <c r="F36" s="55">
        <v>20</v>
      </c>
      <c r="G36" s="24" t="s">
        <v>22</v>
      </c>
      <c r="H36" s="26">
        <v>0.7</v>
      </c>
      <c r="J36" s="60"/>
      <c r="K36" s="12">
        <f t="shared" si="13"/>
        <v>25.641535784883999</v>
      </c>
      <c r="M36" s="37"/>
    </row>
    <row r="37" spans="2:13" ht="15" customHeight="1" x14ac:dyDescent="0.2">
      <c r="B37" s="42">
        <v>0.85</v>
      </c>
      <c r="C37" s="71">
        <f t="shared" si="14"/>
        <v>1.2142857142857144</v>
      </c>
      <c r="D37" s="37"/>
      <c r="F37" s="55">
        <v>30</v>
      </c>
      <c r="G37" s="24" t="s">
        <v>22</v>
      </c>
      <c r="H37" s="26">
        <v>0.7</v>
      </c>
      <c r="J37" s="60"/>
      <c r="K37" s="12">
        <f t="shared" si="13"/>
        <v>25.641535784883999</v>
      </c>
      <c r="M37" s="37"/>
    </row>
    <row r="38" spans="2:13" ht="15" customHeight="1" x14ac:dyDescent="0.2">
      <c r="B38" s="42">
        <v>0.8</v>
      </c>
      <c r="C38" s="71">
        <f t="shared" si="14"/>
        <v>1.142857142857143</v>
      </c>
      <c r="D38" s="37"/>
      <c r="F38" s="55">
        <v>40</v>
      </c>
      <c r="G38" s="24" t="s">
        <v>22</v>
      </c>
      <c r="H38" s="26">
        <v>0.7</v>
      </c>
      <c r="J38" s="60"/>
      <c r="K38" s="12">
        <f t="shared" si="13"/>
        <v>25.641535784883999</v>
      </c>
      <c r="M38" s="37"/>
    </row>
    <row r="39" spans="2:13" ht="15" customHeight="1" x14ac:dyDescent="0.2">
      <c r="B39" s="42">
        <v>0.75</v>
      </c>
      <c r="C39" s="71">
        <f t="shared" si="14"/>
        <v>1.0714285714285714</v>
      </c>
      <c r="D39" s="37"/>
      <c r="F39" s="55">
        <v>50</v>
      </c>
      <c r="G39" s="24" t="s">
        <v>22</v>
      </c>
      <c r="H39" s="26">
        <v>0.7</v>
      </c>
      <c r="J39" s="61"/>
      <c r="K39" s="39">
        <f t="shared" si="13"/>
        <v>25.641535784883999</v>
      </c>
      <c r="L39" s="40"/>
      <c r="M39" s="29"/>
    </row>
    <row r="40" spans="2:13" ht="15" customHeight="1" x14ac:dyDescent="0.2">
      <c r="B40" s="42">
        <v>0.7</v>
      </c>
      <c r="C40" s="71">
        <f t="shared" si="14"/>
        <v>1</v>
      </c>
      <c r="D40" s="37"/>
    </row>
    <row r="41" spans="2:13" ht="15" customHeight="1" x14ac:dyDescent="0.2">
      <c r="B41" s="42">
        <v>0.65</v>
      </c>
      <c r="C41" s="71">
        <f t="shared" si="14"/>
        <v>0.92857142857142871</v>
      </c>
      <c r="D41" s="37"/>
      <c r="J41" t="s">
        <v>40</v>
      </c>
    </row>
    <row r="42" spans="2:13" ht="15" customHeight="1" x14ac:dyDescent="0.2">
      <c r="B42" s="42">
        <v>0.6</v>
      </c>
      <c r="C42" s="71">
        <f t="shared" si="14"/>
        <v>0.85714285714285721</v>
      </c>
      <c r="D42" s="37"/>
      <c r="J42" s="56" t="s">
        <v>29</v>
      </c>
      <c r="K42" s="57"/>
      <c r="L42" s="58"/>
    </row>
    <row r="43" spans="2:13" ht="15" customHeight="1" x14ac:dyDescent="0.2">
      <c r="B43" s="42">
        <v>0.55000000000000004</v>
      </c>
      <c r="C43" s="71">
        <f t="shared" si="14"/>
        <v>0.78571428571428581</v>
      </c>
      <c r="D43" s="37"/>
      <c r="J43" s="33" t="s">
        <v>30</v>
      </c>
      <c r="K43" s="34" t="s">
        <v>32</v>
      </c>
      <c r="L43" s="41"/>
    </row>
    <row r="44" spans="2:13" ht="15" customHeight="1" x14ac:dyDescent="0.2">
      <c r="B44" s="43">
        <v>0.5</v>
      </c>
      <c r="C44" s="72">
        <f t="shared" si="14"/>
        <v>0.7142857142857143</v>
      </c>
      <c r="D44" s="29"/>
      <c r="J44" s="35" t="s">
        <v>31</v>
      </c>
      <c r="K44" s="36" t="s">
        <v>33</v>
      </c>
      <c r="L44" s="23"/>
    </row>
    <row r="45" spans="2:13" ht="15" customHeight="1" x14ac:dyDescent="0.2">
      <c r="J45" s="42">
        <v>1</v>
      </c>
      <c r="K45" s="44">
        <f>J45*K30</f>
        <v>31.502458250000345</v>
      </c>
      <c r="L45" s="23"/>
      <c r="M45" s="62">
        <v>37</v>
      </c>
    </row>
    <row r="46" spans="2:13" ht="15" customHeight="1" x14ac:dyDescent="0.2">
      <c r="J46" s="46">
        <v>2</v>
      </c>
      <c r="K46" s="47">
        <f t="shared" ref="K46:K54" si="15">J46*K31</f>
        <v>60.074455267442509</v>
      </c>
      <c r="L46" s="23"/>
      <c r="M46" s="63">
        <v>69</v>
      </c>
    </row>
    <row r="47" spans="2:13" ht="15" customHeight="1" x14ac:dyDescent="0.2">
      <c r="B47" s="69" t="s">
        <v>49</v>
      </c>
      <c r="C47" s="73" t="s">
        <v>49</v>
      </c>
      <c r="D47" s="20"/>
      <c r="J47" s="42">
        <v>3</v>
      </c>
      <c r="K47" s="44">
        <f t="shared" si="15"/>
        <v>86.81491401453583</v>
      </c>
      <c r="L47" s="23"/>
      <c r="M47" s="62">
        <v>96</v>
      </c>
    </row>
    <row r="48" spans="2:13" ht="15" customHeight="1" x14ac:dyDescent="0.2">
      <c r="B48" s="42" t="s">
        <v>50</v>
      </c>
      <c r="C48" s="2" t="s">
        <v>51</v>
      </c>
      <c r="D48" s="23" t="s">
        <v>52</v>
      </c>
      <c r="E48" s="77" t="s">
        <v>53</v>
      </c>
      <c r="J48" s="42">
        <v>4</v>
      </c>
      <c r="K48" s="44">
        <f t="shared" si="15"/>
        <v>111.3575268372105</v>
      </c>
      <c r="L48" s="23"/>
      <c r="M48" s="62">
        <v>121</v>
      </c>
    </row>
    <row r="49" spans="1:13" ht="15" customHeight="1" x14ac:dyDescent="0.2">
      <c r="B49" s="42">
        <v>0.72</v>
      </c>
      <c r="C49" s="2">
        <v>1.03</v>
      </c>
      <c r="D49" s="74">
        <f>C49/B49</f>
        <v>1.4305555555555556</v>
      </c>
      <c r="J49" s="46">
        <v>5</v>
      </c>
      <c r="K49" s="47">
        <f t="shared" si="15"/>
        <v>135.53383200581544</v>
      </c>
      <c r="L49" s="23"/>
      <c r="M49" s="63">
        <v>144</v>
      </c>
    </row>
    <row r="50" spans="1:13" ht="15" customHeight="1" x14ac:dyDescent="0.2">
      <c r="B50" s="42">
        <v>0.89</v>
      </c>
      <c r="C50" s="2">
        <v>1.21</v>
      </c>
      <c r="D50" s="74">
        <f t="shared" ref="D50:D58" si="16">C50/B50</f>
        <v>1.3595505617977528</v>
      </c>
      <c r="J50" s="42">
        <v>10</v>
      </c>
      <c r="K50" s="44">
        <f t="shared" si="15"/>
        <v>263.74151093023545</v>
      </c>
      <c r="L50" s="23"/>
      <c r="M50" s="62">
        <v>270</v>
      </c>
    </row>
    <row r="51" spans="1:13" ht="15" customHeight="1" x14ac:dyDescent="0.2">
      <c r="B51" s="42">
        <v>1.01</v>
      </c>
      <c r="C51" s="2">
        <v>1.26</v>
      </c>
      <c r="D51" s="74">
        <f t="shared" si="16"/>
        <v>1.2475247524752475</v>
      </c>
      <c r="J51" s="42">
        <v>20</v>
      </c>
      <c r="K51" s="44">
        <f t="shared" si="15"/>
        <v>512.83071569768003</v>
      </c>
      <c r="L51" s="23"/>
      <c r="M51" s="62">
        <v>513</v>
      </c>
    </row>
    <row r="52" spans="1:13" ht="15" customHeight="1" x14ac:dyDescent="0.2">
      <c r="B52" s="42">
        <v>1.1100000000000001</v>
      </c>
      <c r="C52" s="2">
        <v>1.31</v>
      </c>
      <c r="D52" s="74">
        <f t="shared" si="16"/>
        <v>1.1801801801801801</v>
      </c>
      <c r="J52" s="42">
        <v>30</v>
      </c>
      <c r="K52" s="44">
        <f t="shared" si="15"/>
        <v>769.24607354651994</v>
      </c>
      <c r="L52" s="23"/>
      <c r="M52" s="62">
        <v>769</v>
      </c>
    </row>
    <row r="53" spans="1:13" ht="15" customHeight="1" x14ac:dyDescent="0.2">
      <c r="B53" s="42">
        <v>1.19</v>
      </c>
      <c r="C53" s="2">
        <v>1.34</v>
      </c>
      <c r="D53" s="74">
        <f t="shared" si="16"/>
        <v>1.1260504201680674</v>
      </c>
      <c r="J53" s="46">
        <v>40</v>
      </c>
      <c r="K53" s="47">
        <f t="shared" si="15"/>
        <v>1025.6614313953601</v>
      </c>
      <c r="L53" s="23"/>
      <c r="M53" s="63">
        <v>1026</v>
      </c>
    </row>
    <row r="54" spans="1:13" ht="15" customHeight="1" x14ac:dyDescent="0.2">
      <c r="B54" s="42">
        <v>1.41</v>
      </c>
      <c r="C54" s="2">
        <v>1.49</v>
      </c>
      <c r="D54" s="74">
        <f t="shared" si="16"/>
        <v>1.0567375886524824</v>
      </c>
      <c r="J54" s="43">
        <v>50</v>
      </c>
      <c r="K54" s="45">
        <f t="shared" si="15"/>
        <v>1282.0767892442</v>
      </c>
      <c r="L54" s="26"/>
      <c r="M54" s="62">
        <v>1282</v>
      </c>
    </row>
    <row r="55" spans="1:13" ht="15" customHeight="1" x14ac:dyDescent="0.2">
      <c r="B55" s="42">
        <v>1.59</v>
      </c>
      <c r="C55" s="2">
        <v>1.59</v>
      </c>
      <c r="D55" s="74">
        <f t="shared" si="16"/>
        <v>1</v>
      </c>
      <c r="J55" s="2"/>
      <c r="K55" s="12"/>
      <c r="L55" s="2"/>
    </row>
    <row r="56" spans="1:13" ht="15" customHeight="1" x14ac:dyDescent="0.2">
      <c r="B56" s="42">
        <v>1.74</v>
      </c>
      <c r="C56" s="2">
        <v>1.74</v>
      </c>
      <c r="D56" s="74">
        <f t="shared" si="16"/>
        <v>1</v>
      </c>
      <c r="J56" s="2"/>
      <c r="K56" s="12"/>
      <c r="L56" s="2"/>
    </row>
    <row r="57" spans="1:13" ht="15" customHeight="1" x14ac:dyDescent="0.2">
      <c r="B57" s="42">
        <v>1.88</v>
      </c>
      <c r="C57" s="2">
        <v>1.88</v>
      </c>
      <c r="D57" s="74">
        <f t="shared" si="16"/>
        <v>1</v>
      </c>
      <c r="J57" s="2"/>
      <c r="K57" s="12"/>
      <c r="L57" s="2"/>
    </row>
    <row r="58" spans="1:13" ht="15" customHeight="1" x14ac:dyDescent="0.2">
      <c r="B58" s="43">
        <v>2.0099999999999998</v>
      </c>
      <c r="C58" s="75">
        <v>2.0099999999999998</v>
      </c>
      <c r="D58" s="76">
        <f t="shared" si="16"/>
        <v>1</v>
      </c>
    </row>
    <row r="59" spans="1:13" ht="15" customHeight="1" x14ac:dyDescent="0.2"/>
    <row r="60" spans="1:13" ht="15" customHeight="1" x14ac:dyDescent="0.2"/>
    <row r="61" spans="1:13" ht="15" customHeight="1" x14ac:dyDescent="0.2"/>
    <row r="62" spans="1:13" ht="15" customHeight="1" x14ac:dyDescent="0.2">
      <c r="A62" t="s">
        <v>103</v>
      </c>
    </row>
    <row r="63" spans="1:13" ht="15" customHeight="1" x14ac:dyDescent="0.2">
      <c r="A63" t="s">
        <v>104</v>
      </c>
    </row>
    <row r="64" spans="1:13" ht="15" customHeight="1" x14ac:dyDescent="0.2">
      <c r="A64" s="1" t="s">
        <v>105</v>
      </c>
    </row>
    <row r="65" spans="1:14" ht="15" customHeight="1" x14ac:dyDescent="0.2">
      <c r="A65" t="s">
        <v>109</v>
      </c>
    </row>
    <row r="66" spans="1:14" ht="15" customHeight="1" x14ac:dyDescent="0.2"/>
    <row r="67" spans="1:14" ht="15" customHeight="1" x14ac:dyDescent="0.2">
      <c r="C67" t="s">
        <v>106</v>
      </c>
      <c r="H67" s="1" t="s">
        <v>113</v>
      </c>
      <c r="M67" t="s">
        <v>107</v>
      </c>
    </row>
    <row r="68" spans="1:14" ht="15" customHeight="1" x14ac:dyDescent="0.2">
      <c r="H68" t="s">
        <v>114</v>
      </c>
    </row>
    <row r="69" spans="1:14" ht="15" customHeight="1" x14ac:dyDescent="0.2">
      <c r="C69" s="4" t="s">
        <v>2</v>
      </c>
      <c r="D69" s="4" t="s">
        <v>4</v>
      </c>
      <c r="H69" s="4" t="s">
        <v>2</v>
      </c>
      <c r="I69" s="4" t="s">
        <v>4</v>
      </c>
      <c r="M69" s="4" t="s">
        <v>2</v>
      </c>
      <c r="N69" s="4" t="s">
        <v>4</v>
      </c>
    </row>
    <row r="70" spans="1:14" ht="15" customHeight="1" x14ac:dyDescent="0.2">
      <c r="C70" s="2">
        <v>1</v>
      </c>
      <c r="D70" s="53">
        <v>0.7</v>
      </c>
      <c r="H70" s="2">
        <v>1</v>
      </c>
      <c r="I70" s="53">
        <f>IF(N70=0.7,0.7,(D70+N70)/2)</f>
        <v>0.8550279931556809</v>
      </c>
      <c r="M70" s="2">
        <v>1</v>
      </c>
      <c r="N70" s="53">
        <v>1.0100559863113618</v>
      </c>
    </row>
    <row r="71" spans="1:14" ht="15" customHeight="1" x14ac:dyDescent="0.2">
      <c r="C71" s="6">
        <v>2</v>
      </c>
      <c r="D71" s="54">
        <v>0.7</v>
      </c>
      <c r="H71" s="6">
        <v>2</v>
      </c>
      <c r="I71" s="54">
        <f t="shared" ref="I71:I75" si="17">IF(N71=0.7,0.7,(D71+N71)/2)</f>
        <v>0.82090448010462136</v>
      </c>
      <c r="M71" s="6">
        <v>2</v>
      </c>
      <c r="N71" s="54">
        <v>0.94180896020924276</v>
      </c>
    </row>
    <row r="72" spans="1:14" ht="15" customHeight="1" x14ac:dyDescent="0.2">
      <c r="C72" s="2">
        <v>3</v>
      </c>
      <c r="D72" s="53">
        <v>0.7</v>
      </c>
      <c r="H72" s="2">
        <v>3</v>
      </c>
      <c r="I72" s="53">
        <f t="shared" si="17"/>
        <v>0.78678096705356182</v>
      </c>
      <c r="M72" s="2">
        <v>3</v>
      </c>
      <c r="N72" s="53">
        <v>0.87356193410712368</v>
      </c>
    </row>
    <row r="73" spans="1:14" ht="15" customHeight="1" x14ac:dyDescent="0.2">
      <c r="C73" s="2">
        <v>4</v>
      </c>
      <c r="D73" s="53">
        <v>0.7</v>
      </c>
      <c r="H73" s="2">
        <v>4</v>
      </c>
      <c r="I73" s="53">
        <f t="shared" si="17"/>
        <v>0.76289450791782021</v>
      </c>
      <c r="M73" s="2">
        <v>4</v>
      </c>
      <c r="N73" s="53">
        <v>0.82578901583564035</v>
      </c>
    </row>
    <row r="74" spans="1:14" ht="15" customHeight="1" x14ac:dyDescent="0.2">
      <c r="C74" s="6">
        <v>5</v>
      </c>
      <c r="D74" s="54">
        <v>0.7</v>
      </c>
      <c r="H74" s="6">
        <v>5</v>
      </c>
      <c r="I74" s="54">
        <f t="shared" si="17"/>
        <v>0.74310287034820566</v>
      </c>
      <c r="M74" s="6">
        <v>5</v>
      </c>
      <c r="N74" s="54">
        <v>0.78620574069641136</v>
      </c>
    </row>
    <row r="75" spans="1:14" ht="15" customHeight="1" x14ac:dyDescent="0.2">
      <c r="C75" s="2">
        <v>10</v>
      </c>
      <c r="D75" s="53">
        <v>0.7</v>
      </c>
      <c r="H75" s="2">
        <v>10</v>
      </c>
      <c r="I75" s="53">
        <f t="shared" si="17"/>
        <v>0.71853394095144285</v>
      </c>
      <c r="M75" s="2">
        <v>10</v>
      </c>
      <c r="N75" s="53">
        <v>0.73706788190288564</v>
      </c>
    </row>
    <row r="76" spans="1:14" ht="15" customHeight="1" x14ac:dyDescent="0.2">
      <c r="C76" s="2">
        <v>20</v>
      </c>
      <c r="D76" s="53">
        <v>0.7</v>
      </c>
      <c r="E76" s="1" t="s">
        <v>110</v>
      </c>
      <c r="H76" s="2">
        <v>20</v>
      </c>
      <c r="I76" s="53">
        <f t="shared" ref="I76:I79" si="18">IF(N76=0.7,0.7,"n")</f>
        <v>0.7</v>
      </c>
      <c r="J76" s="1" t="s">
        <v>110</v>
      </c>
      <c r="M76" s="2">
        <v>20</v>
      </c>
      <c r="N76" s="53">
        <v>0.7</v>
      </c>
    </row>
    <row r="77" spans="1:14" ht="15" customHeight="1" x14ac:dyDescent="0.2">
      <c r="C77" s="2">
        <v>30</v>
      </c>
      <c r="D77" s="53">
        <v>0.7</v>
      </c>
      <c r="H77" s="2">
        <v>30</v>
      </c>
      <c r="I77" s="53">
        <f t="shared" si="18"/>
        <v>0.7</v>
      </c>
      <c r="M77" s="2">
        <v>30</v>
      </c>
      <c r="N77" s="53">
        <v>0.7</v>
      </c>
    </row>
    <row r="78" spans="1:14" ht="15" customHeight="1" x14ac:dyDescent="0.2">
      <c r="C78" s="6">
        <v>40</v>
      </c>
      <c r="D78" s="54">
        <v>0.7</v>
      </c>
      <c r="H78" s="6">
        <v>40</v>
      </c>
      <c r="I78" s="54">
        <f t="shared" si="18"/>
        <v>0.7</v>
      </c>
      <c r="M78" s="6">
        <v>40</v>
      </c>
      <c r="N78" s="54">
        <v>0.7</v>
      </c>
    </row>
    <row r="79" spans="1:14" ht="15" customHeight="1" x14ac:dyDescent="0.2">
      <c r="C79" s="2">
        <v>50</v>
      </c>
      <c r="D79" s="53">
        <v>0.7</v>
      </c>
      <c r="H79" s="2">
        <v>50</v>
      </c>
      <c r="I79" s="53">
        <f t="shared" si="18"/>
        <v>0.7</v>
      </c>
      <c r="M79" s="2">
        <v>50</v>
      </c>
      <c r="N79" s="53">
        <v>0.7</v>
      </c>
    </row>
    <row r="80" spans="1:14" ht="15" customHeight="1" x14ac:dyDescent="0.2"/>
    <row r="81" spans="8:17" ht="15" customHeight="1" x14ac:dyDescent="0.2"/>
    <row r="82" spans="8:17" ht="15" customHeight="1" x14ac:dyDescent="0.2">
      <c r="H82" t="s">
        <v>108</v>
      </c>
      <c r="M82" s="1" t="s">
        <v>112</v>
      </c>
    </row>
    <row r="83" spans="8:17" ht="15" customHeight="1" x14ac:dyDescent="0.2">
      <c r="H83" s="1" t="s">
        <v>111</v>
      </c>
      <c r="M83" s="1" t="s">
        <v>111</v>
      </c>
    </row>
    <row r="84" spans="8:17" ht="15" customHeight="1" x14ac:dyDescent="0.2"/>
    <row r="85" spans="8:17" ht="15" customHeight="1" x14ac:dyDescent="0.2">
      <c r="H85" s="69" t="s">
        <v>47</v>
      </c>
      <c r="I85" s="70" t="s">
        <v>48</v>
      </c>
      <c r="J85" s="20"/>
      <c r="M85" s="69" t="s">
        <v>47</v>
      </c>
      <c r="N85" s="70" t="s">
        <v>48</v>
      </c>
      <c r="O85" s="20"/>
    </row>
    <row r="86" spans="8:17" ht="15" customHeight="1" x14ac:dyDescent="0.2">
      <c r="H86" s="42">
        <v>0.86</v>
      </c>
      <c r="I86" s="71">
        <f>H86/$H$89</f>
        <v>1.2285714285714286</v>
      </c>
      <c r="J86" s="139">
        <f>I86</f>
        <v>1.2285714285714286</v>
      </c>
      <c r="M86" s="42">
        <v>1</v>
      </c>
      <c r="N86" s="71">
        <f>M86/$M$92</f>
        <v>1.4285714285714286</v>
      </c>
      <c r="O86" s="139">
        <f>N86</f>
        <v>1.4285714285714286</v>
      </c>
      <c r="Q86">
        <v>1.4285714285714286</v>
      </c>
    </row>
    <row r="87" spans="8:17" ht="15" customHeight="1" x14ac:dyDescent="0.2">
      <c r="H87" s="42">
        <v>0.8</v>
      </c>
      <c r="I87" s="71">
        <f t="shared" ref="I87:I96" si="19">H87/$H$89</f>
        <v>1.142857142857143</v>
      </c>
      <c r="J87" s="139">
        <f t="shared" ref="J87:J96" si="20">I87</f>
        <v>1.142857142857143</v>
      </c>
      <c r="M87" s="42">
        <v>0.95</v>
      </c>
      <c r="N87" s="71">
        <f t="shared" ref="N87:N96" si="21">M87/$M$92</f>
        <v>1.3571428571428572</v>
      </c>
      <c r="O87" s="139">
        <f t="shared" ref="O87:O96" si="22">N87</f>
        <v>1.3571428571428572</v>
      </c>
      <c r="Q87">
        <v>1.3571428571428572</v>
      </c>
    </row>
    <row r="88" spans="8:17" ht="15" customHeight="1" x14ac:dyDescent="0.2">
      <c r="H88" s="42">
        <v>0.75</v>
      </c>
      <c r="I88" s="71">
        <f t="shared" si="19"/>
        <v>1.0714285714285714</v>
      </c>
      <c r="J88" s="139">
        <f t="shared" si="20"/>
        <v>1.0714285714285714</v>
      </c>
      <c r="M88" s="42">
        <v>0.9</v>
      </c>
      <c r="N88" s="71">
        <f t="shared" si="21"/>
        <v>1.2857142857142858</v>
      </c>
      <c r="O88" s="139">
        <f t="shared" si="22"/>
        <v>1.2857142857142858</v>
      </c>
      <c r="Q88">
        <v>1.2857142857142858</v>
      </c>
    </row>
    <row r="89" spans="8:17" ht="15" customHeight="1" x14ac:dyDescent="0.2">
      <c r="H89" s="42">
        <v>0.7</v>
      </c>
      <c r="I89" s="71">
        <f t="shared" si="19"/>
        <v>1</v>
      </c>
      <c r="J89" s="139">
        <f t="shared" si="20"/>
        <v>1</v>
      </c>
      <c r="M89" s="42">
        <v>0.85</v>
      </c>
      <c r="N89" s="71">
        <f t="shared" si="21"/>
        <v>1.2142857142857144</v>
      </c>
      <c r="O89" s="139">
        <f t="shared" si="22"/>
        <v>1.2142857142857144</v>
      </c>
      <c r="Q89">
        <v>1.2142857142857144</v>
      </c>
    </row>
    <row r="90" spans="8:17" ht="15" customHeight="1" x14ac:dyDescent="0.2">
      <c r="H90" s="42">
        <v>0.65</v>
      </c>
      <c r="I90" s="71">
        <f t="shared" si="19"/>
        <v>0.92857142857142871</v>
      </c>
      <c r="J90" s="139">
        <f t="shared" si="20"/>
        <v>0.92857142857142871</v>
      </c>
      <c r="M90" s="42">
        <v>0.8</v>
      </c>
      <c r="N90" s="71">
        <f t="shared" si="21"/>
        <v>1.142857142857143</v>
      </c>
      <c r="O90" s="139">
        <f t="shared" si="22"/>
        <v>1.142857142857143</v>
      </c>
      <c r="Q90">
        <v>1.142857142857143</v>
      </c>
    </row>
    <row r="91" spans="8:17" ht="15" customHeight="1" x14ac:dyDescent="0.2">
      <c r="H91" s="42">
        <v>0.6</v>
      </c>
      <c r="I91" s="71">
        <f t="shared" si="19"/>
        <v>0.85714285714285721</v>
      </c>
      <c r="J91" s="139">
        <f t="shared" si="20"/>
        <v>0.85714285714285721</v>
      </c>
      <c r="M91" s="42">
        <v>0.75</v>
      </c>
      <c r="N91" s="71">
        <f t="shared" si="21"/>
        <v>1.0714285714285714</v>
      </c>
      <c r="O91" s="139">
        <f t="shared" si="22"/>
        <v>1.0714285714285714</v>
      </c>
      <c r="Q91">
        <v>1.0714285714285714</v>
      </c>
    </row>
    <row r="92" spans="8:17" ht="15" customHeight="1" x14ac:dyDescent="0.2">
      <c r="H92" s="42">
        <v>0.55000000000000004</v>
      </c>
      <c r="I92" s="71">
        <f t="shared" si="19"/>
        <v>0.78571428571428581</v>
      </c>
      <c r="J92" s="139">
        <f t="shared" si="20"/>
        <v>0.78571428571428581</v>
      </c>
      <c r="M92" s="42">
        <v>0.7</v>
      </c>
      <c r="N92" s="71">
        <f t="shared" si="21"/>
        <v>1</v>
      </c>
      <c r="O92" s="139">
        <f t="shared" si="22"/>
        <v>1</v>
      </c>
      <c r="Q92">
        <v>1</v>
      </c>
    </row>
    <row r="93" spans="8:17" ht="15" customHeight="1" x14ac:dyDescent="0.2">
      <c r="H93" s="42">
        <v>0.5</v>
      </c>
      <c r="I93" s="71">
        <f t="shared" si="19"/>
        <v>0.7142857142857143</v>
      </c>
      <c r="J93" s="139">
        <f t="shared" si="20"/>
        <v>0.7142857142857143</v>
      </c>
      <c r="M93" s="42">
        <v>0.65</v>
      </c>
      <c r="N93" s="71">
        <f t="shared" si="21"/>
        <v>0.92857142857142871</v>
      </c>
      <c r="O93" s="139">
        <f t="shared" si="22"/>
        <v>0.92857142857142871</v>
      </c>
      <c r="Q93">
        <v>0.92857142857142871</v>
      </c>
    </row>
    <row r="94" spans="8:17" ht="15" customHeight="1" x14ac:dyDescent="0.2">
      <c r="H94" s="42">
        <v>0.45</v>
      </c>
      <c r="I94" s="71">
        <f t="shared" si="19"/>
        <v>0.6428571428571429</v>
      </c>
      <c r="J94" s="139">
        <f t="shared" si="20"/>
        <v>0.6428571428571429</v>
      </c>
      <c r="M94" s="42">
        <v>0.6</v>
      </c>
      <c r="N94" s="71">
        <f t="shared" si="21"/>
        <v>0.85714285714285721</v>
      </c>
      <c r="O94" s="139">
        <f t="shared" si="22"/>
        <v>0.85714285714285721</v>
      </c>
      <c r="Q94">
        <v>0.85714285714285721</v>
      </c>
    </row>
    <row r="95" spans="8:17" ht="15" customHeight="1" x14ac:dyDescent="0.2">
      <c r="H95" s="42">
        <v>0.4</v>
      </c>
      <c r="I95" s="71">
        <f t="shared" si="19"/>
        <v>0.57142857142857151</v>
      </c>
      <c r="J95" s="139">
        <f t="shared" si="20"/>
        <v>0.57142857142857151</v>
      </c>
      <c r="M95" s="42">
        <v>0.55000000000000004</v>
      </c>
      <c r="N95" s="71">
        <f t="shared" si="21"/>
        <v>0.78571428571428581</v>
      </c>
      <c r="O95" s="139">
        <f t="shared" si="22"/>
        <v>0.78571428571428581</v>
      </c>
      <c r="Q95">
        <v>0.78571428571428581</v>
      </c>
    </row>
    <row r="96" spans="8:17" ht="15" customHeight="1" x14ac:dyDescent="0.2">
      <c r="H96" s="43">
        <v>0.35</v>
      </c>
      <c r="I96" s="72">
        <f t="shared" si="19"/>
        <v>0.5</v>
      </c>
      <c r="J96" s="141">
        <f t="shared" si="20"/>
        <v>0.5</v>
      </c>
      <c r="M96" s="43">
        <v>0.5</v>
      </c>
      <c r="N96" s="72">
        <f t="shared" si="21"/>
        <v>0.7142857142857143</v>
      </c>
      <c r="O96" s="141">
        <f t="shared" si="22"/>
        <v>0.7142857142857143</v>
      </c>
      <c r="Q96">
        <v>0.7142857142857143</v>
      </c>
    </row>
    <row r="97" spans="8:10" ht="15" customHeight="1" x14ac:dyDescent="0.2"/>
    <row r="98" spans="8:10" ht="15" customHeight="1" x14ac:dyDescent="0.2"/>
    <row r="99" spans="8:10" ht="15" customHeight="1" x14ac:dyDescent="0.2"/>
    <row r="100" spans="8:10" ht="15" customHeight="1" x14ac:dyDescent="0.2">
      <c r="H100" s="69" t="s">
        <v>47</v>
      </c>
      <c r="I100" s="70" t="s">
        <v>48</v>
      </c>
      <c r="J100" s="20"/>
    </row>
    <row r="101" spans="8:10" ht="15" customHeight="1" x14ac:dyDescent="0.2">
      <c r="H101" s="42">
        <v>0.85</v>
      </c>
      <c r="I101" s="71">
        <f>H101/$H$89</f>
        <v>1.2142857142857144</v>
      </c>
      <c r="J101" s="139">
        <f>I101</f>
        <v>1.2142857142857144</v>
      </c>
    </row>
    <row r="102" spans="8:10" ht="15" customHeight="1" x14ac:dyDescent="0.2">
      <c r="H102" s="42">
        <v>0.8</v>
      </c>
      <c r="I102" s="71">
        <f t="shared" ref="I102:I111" si="23">H102/$H$89</f>
        <v>1.142857142857143</v>
      </c>
      <c r="J102" s="139">
        <f t="shared" ref="J102:J111" si="24">I102</f>
        <v>1.142857142857143</v>
      </c>
    </row>
    <row r="103" spans="8:10" ht="15" customHeight="1" x14ac:dyDescent="0.2">
      <c r="H103" s="42">
        <v>0.75</v>
      </c>
      <c r="I103" s="71">
        <f t="shared" si="23"/>
        <v>1.0714285714285714</v>
      </c>
      <c r="J103" s="139">
        <f t="shared" si="24"/>
        <v>1.0714285714285714</v>
      </c>
    </row>
    <row r="104" spans="8:10" ht="15" customHeight="1" x14ac:dyDescent="0.2">
      <c r="H104" s="42">
        <v>0.7</v>
      </c>
      <c r="I104" s="71">
        <f t="shared" si="23"/>
        <v>1</v>
      </c>
      <c r="J104" s="139">
        <f t="shared" si="24"/>
        <v>1</v>
      </c>
    </row>
    <row r="105" spans="8:10" ht="15" customHeight="1" x14ac:dyDescent="0.2">
      <c r="H105" s="42">
        <v>0.65</v>
      </c>
      <c r="I105" s="71">
        <f t="shared" si="23"/>
        <v>0.92857142857142871</v>
      </c>
      <c r="J105" s="139">
        <f t="shared" si="24"/>
        <v>0.92857142857142871</v>
      </c>
    </row>
    <row r="106" spans="8:10" ht="15" customHeight="1" x14ac:dyDescent="0.2">
      <c r="H106" s="42">
        <v>0.6</v>
      </c>
      <c r="I106" s="71">
        <f t="shared" si="23"/>
        <v>0.85714285714285721</v>
      </c>
      <c r="J106" s="139">
        <f t="shared" si="24"/>
        <v>0.85714285714285721</v>
      </c>
    </row>
    <row r="107" spans="8:10" ht="15" customHeight="1" x14ac:dyDescent="0.2">
      <c r="H107" s="42">
        <v>0.55000000000000004</v>
      </c>
      <c r="I107" s="71">
        <f t="shared" si="23"/>
        <v>0.78571428571428581</v>
      </c>
      <c r="J107" s="139">
        <f t="shared" si="24"/>
        <v>0.78571428571428581</v>
      </c>
    </row>
    <row r="108" spans="8:10" ht="15" customHeight="1" x14ac:dyDescent="0.2">
      <c r="H108" s="42">
        <v>0.5</v>
      </c>
      <c r="I108" s="71">
        <f t="shared" si="23"/>
        <v>0.7142857142857143</v>
      </c>
      <c r="J108" s="139">
        <f t="shared" si="24"/>
        <v>0.7142857142857143</v>
      </c>
    </row>
    <row r="109" spans="8:10" ht="15" customHeight="1" x14ac:dyDescent="0.2">
      <c r="H109" s="42">
        <v>0.45</v>
      </c>
      <c r="I109" s="71">
        <f t="shared" si="23"/>
        <v>0.6428571428571429</v>
      </c>
      <c r="J109" s="139">
        <f t="shared" si="24"/>
        <v>0.6428571428571429</v>
      </c>
    </row>
    <row r="110" spans="8:10" ht="15" customHeight="1" x14ac:dyDescent="0.2">
      <c r="H110" s="42">
        <v>0.4</v>
      </c>
      <c r="I110" s="71">
        <f t="shared" si="23"/>
        <v>0.57142857142857151</v>
      </c>
      <c r="J110" s="139">
        <f t="shared" si="24"/>
        <v>0.57142857142857151</v>
      </c>
    </row>
    <row r="111" spans="8:10" ht="15" customHeight="1" x14ac:dyDescent="0.2">
      <c r="H111" s="43">
        <v>0.35</v>
      </c>
      <c r="I111" s="72">
        <f t="shared" si="23"/>
        <v>0.5</v>
      </c>
      <c r="J111" s="141">
        <f t="shared" si="24"/>
        <v>0.5</v>
      </c>
    </row>
    <row r="112" spans="8:10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pageMargins left="0.45" right="0.45" top="0.5" bottom="0.5" header="0.3" footer="0.3"/>
  <pageSetup scale="96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pageSetUpPr fitToPage="1"/>
  </sheetPr>
  <dimension ref="A1:AE172"/>
  <sheetViews>
    <sheetView showGridLines="0" zoomScale="90" zoomScaleNormal="90" workbookViewId="0">
      <selection activeCell="E14" sqref="E14"/>
    </sheetView>
  </sheetViews>
  <sheetFormatPr defaultRowHeight="12.75" x14ac:dyDescent="0.2"/>
  <cols>
    <col min="3" max="3" width="9.140625" customWidth="1"/>
    <col min="7" max="7" width="9.140625" customWidth="1"/>
    <col min="9" max="9" width="9.140625" customWidth="1"/>
    <col min="11" max="12" width="9.140625" customWidth="1"/>
    <col min="13" max="13" width="8.42578125" customWidth="1"/>
    <col min="15" max="15" width="9.140625" customWidth="1"/>
    <col min="20" max="20" width="7.5703125" customWidth="1"/>
  </cols>
  <sheetData>
    <row r="1" spans="1:31" ht="15" customHeight="1" x14ac:dyDescent="0.2">
      <c r="K1" t="s">
        <v>90</v>
      </c>
    </row>
    <row r="2" spans="1:31" ht="15" customHeight="1" x14ac:dyDescent="0.2">
      <c r="A2" t="s">
        <v>13</v>
      </c>
      <c r="B2" s="11" t="s">
        <v>12</v>
      </c>
    </row>
    <row r="3" spans="1:31" ht="15" customHeight="1" x14ac:dyDescent="0.2">
      <c r="B3" s="11" t="s">
        <v>7</v>
      </c>
    </row>
    <row r="4" spans="1:31" ht="15" customHeight="1" x14ac:dyDescent="0.2">
      <c r="A4" s="48" t="s">
        <v>117</v>
      </c>
      <c r="B4" s="11"/>
    </row>
    <row r="5" spans="1:31" ht="15" customHeight="1" x14ac:dyDescent="0.2">
      <c r="Z5" t="s">
        <v>42</v>
      </c>
    </row>
    <row r="6" spans="1:31" ht="15" customHeight="1" x14ac:dyDescent="0.2">
      <c r="G6" s="140"/>
      <c r="H6" s="140"/>
      <c r="I6" s="140"/>
      <c r="J6" s="140"/>
      <c r="K6" s="140"/>
      <c r="L6" s="140"/>
      <c r="AD6" t="s">
        <v>36</v>
      </c>
    </row>
    <row r="7" spans="1:31" ht="15" customHeight="1" x14ac:dyDescent="0.2">
      <c r="H7" s="1" t="s">
        <v>116</v>
      </c>
      <c r="O7" s="1" t="s">
        <v>115</v>
      </c>
      <c r="Z7" t="s">
        <v>43</v>
      </c>
      <c r="AB7" t="s">
        <v>44</v>
      </c>
      <c r="AD7" s="65" t="s">
        <v>45</v>
      </c>
      <c r="AE7" t="s">
        <v>37</v>
      </c>
    </row>
    <row r="8" spans="1:31" ht="15" customHeight="1" x14ac:dyDescent="0.2">
      <c r="B8" s="3">
        <v>2.46</v>
      </c>
      <c r="C8" s="1" t="s">
        <v>6</v>
      </c>
      <c r="E8" s="3"/>
      <c r="L8" s="48"/>
      <c r="S8" s="48" t="s">
        <v>41</v>
      </c>
      <c r="Z8" s="66">
        <v>-37</v>
      </c>
      <c r="AB8" s="66">
        <v>-36</v>
      </c>
      <c r="AC8">
        <v>1</v>
      </c>
      <c r="AD8" s="50">
        <f>(Z8+AB8)/2*-1</f>
        <v>36.5</v>
      </c>
      <c r="AE8" s="67">
        <f>AD8/AC8</f>
        <v>36.5</v>
      </c>
    </row>
    <row r="9" spans="1:31" ht="15" customHeight="1" x14ac:dyDescent="0.2">
      <c r="B9" s="3">
        <v>4.5</v>
      </c>
      <c r="C9" t="s">
        <v>0</v>
      </c>
      <c r="H9" s="3">
        <v>2.46</v>
      </c>
      <c r="I9" s="1" t="s">
        <v>6</v>
      </c>
      <c r="O9" s="3">
        <v>2.46</v>
      </c>
      <c r="P9" s="1" t="s">
        <v>6</v>
      </c>
      <c r="Z9" s="68">
        <v>-64</v>
      </c>
      <c r="AB9" s="68">
        <v>-64</v>
      </c>
      <c r="AC9">
        <v>2</v>
      </c>
      <c r="AD9" s="51">
        <f t="shared" ref="AD9:AD17" si="0">(Z9+AB9)/2*-1</f>
        <v>64</v>
      </c>
      <c r="AE9" s="67">
        <f t="shared" ref="AE9:AE17" si="1">AD9/AC9</f>
        <v>32</v>
      </c>
    </row>
    <row r="10" spans="1:31" ht="15" customHeight="1" x14ac:dyDescent="0.2">
      <c r="B10" s="3">
        <v>85</v>
      </c>
      <c r="C10" s="1" t="s">
        <v>1</v>
      </c>
      <c r="H10" s="3">
        <v>4.5</v>
      </c>
      <c r="I10" t="s">
        <v>0</v>
      </c>
      <c r="O10" s="3">
        <v>4.5</v>
      </c>
      <c r="P10" t="s">
        <v>0</v>
      </c>
      <c r="Z10" s="66">
        <v>-93</v>
      </c>
      <c r="AB10" s="66">
        <v>-92</v>
      </c>
      <c r="AC10">
        <v>3</v>
      </c>
      <c r="AD10" s="50">
        <f t="shared" si="0"/>
        <v>92.5</v>
      </c>
      <c r="AE10" s="67">
        <f t="shared" si="1"/>
        <v>30.833333333333332</v>
      </c>
    </row>
    <row r="11" spans="1:31" ht="15" customHeight="1" x14ac:dyDescent="0.2">
      <c r="B11" s="3"/>
      <c r="C11" s="1"/>
      <c r="E11" t="s">
        <v>10</v>
      </c>
      <c r="H11" s="3">
        <v>85</v>
      </c>
      <c r="I11" s="1" t="s">
        <v>1</v>
      </c>
      <c r="O11" s="3">
        <v>85</v>
      </c>
      <c r="P11" s="1" t="s">
        <v>1</v>
      </c>
      <c r="Z11" s="66">
        <v>-120</v>
      </c>
      <c r="AB11" s="66">
        <v>-119</v>
      </c>
      <c r="AC11">
        <v>4</v>
      </c>
      <c r="AD11" s="50">
        <f t="shared" si="0"/>
        <v>119.5</v>
      </c>
      <c r="AE11" s="67">
        <f t="shared" si="1"/>
        <v>29.875</v>
      </c>
    </row>
    <row r="12" spans="1:31" ht="15" customHeight="1" x14ac:dyDescent="0.2">
      <c r="I12" t="s">
        <v>36</v>
      </c>
      <c r="K12">
        <f>0.86/1</f>
        <v>0.86</v>
      </c>
      <c r="P12" t="s">
        <v>36</v>
      </c>
      <c r="Z12" s="68">
        <v>-146</v>
      </c>
      <c r="AB12" s="68">
        <v>-145</v>
      </c>
      <c r="AC12">
        <v>5</v>
      </c>
      <c r="AD12" s="51">
        <f t="shared" si="0"/>
        <v>145.5</v>
      </c>
      <c r="AE12" s="67">
        <f t="shared" si="1"/>
        <v>29.1</v>
      </c>
    </row>
    <row r="13" spans="1:31" ht="15" customHeight="1" x14ac:dyDescent="0.2">
      <c r="B13" s="4" t="s">
        <v>2</v>
      </c>
      <c r="C13" s="4" t="s">
        <v>3</v>
      </c>
      <c r="D13" s="5" t="s">
        <v>5</v>
      </c>
      <c r="E13" s="4" t="s">
        <v>4</v>
      </c>
      <c r="G13" s="4" t="s">
        <v>119</v>
      </c>
      <c r="H13" s="4" t="s">
        <v>2</v>
      </c>
      <c r="I13" s="64" t="s">
        <v>38</v>
      </c>
      <c r="J13" s="52" t="s">
        <v>37</v>
      </c>
      <c r="K13" s="4" t="s">
        <v>4</v>
      </c>
      <c r="O13" s="4" t="s">
        <v>2</v>
      </c>
      <c r="P13" s="64" t="s">
        <v>38</v>
      </c>
      <c r="Q13" s="52" t="s">
        <v>37</v>
      </c>
      <c r="R13" s="4" t="s">
        <v>4</v>
      </c>
      <c r="V13" t="s">
        <v>118</v>
      </c>
      <c r="Z13" s="66">
        <v>-270</v>
      </c>
      <c r="AB13" s="66">
        <v>-269</v>
      </c>
      <c r="AC13">
        <v>10</v>
      </c>
      <c r="AD13" s="50">
        <f t="shared" si="0"/>
        <v>269.5</v>
      </c>
      <c r="AE13" s="67">
        <f t="shared" si="1"/>
        <v>26.95</v>
      </c>
    </row>
    <row r="14" spans="1:31" ht="15" customHeight="1" x14ac:dyDescent="0.2">
      <c r="B14" s="2">
        <v>1</v>
      </c>
      <c r="C14" s="7">
        <v>-25.75</v>
      </c>
      <c r="D14" s="12">
        <f>C14/B14</f>
        <v>-25.75</v>
      </c>
      <c r="E14" s="9">
        <f>SQRT(12*32.2*D14^2/(4*$B$10*($B$9*56)*$B$8^2))</f>
        <v>0.7029443688518261</v>
      </c>
      <c r="G14" s="50">
        <v>31.502458250000345</v>
      </c>
      <c r="H14" s="2">
        <v>1</v>
      </c>
      <c r="I14" s="50">
        <v>31.5</v>
      </c>
      <c r="J14" s="50">
        <f>I14/H14</f>
        <v>31.5</v>
      </c>
      <c r="K14" s="143">
        <f>SQRT(12*32.2*J14^2/(4*$H$11*($H$10*56)*$H$9^2))</f>
        <v>0.85991252888669989</v>
      </c>
      <c r="N14" s="50">
        <v>37</v>
      </c>
      <c r="O14" s="2">
        <v>1</v>
      </c>
      <c r="P14" s="50">
        <v>36.6</v>
      </c>
      <c r="Q14" s="50">
        <f>P14/O14</f>
        <v>36.6</v>
      </c>
      <c r="R14" s="143">
        <f>SQRT(12*32.2*Q14^2/(4*$O$11*($O$10*56)*$O$9^2))</f>
        <v>0.99913646213502283</v>
      </c>
      <c r="V14" s="50">
        <v>37</v>
      </c>
      <c r="Z14" s="66">
        <v>-533</v>
      </c>
      <c r="AB14" s="66">
        <v>-531</v>
      </c>
      <c r="AC14">
        <v>20</v>
      </c>
      <c r="AD14" s="50">
        <f t="shared" si="0"/>
        <v>532</v>
      </c>
      <c r="AE14" s="67">
        <f t="shared" si="1"/>
        <v>26.6</v>
      </c>
    </row>
    <row r="15" spans="1:31" ht="15" customHeight="1" x14ac:dyDescent="0.2">
      <c r="B15" s="6">
        <v>2</v>
      </c>
      <c r="C15" s="8">
        <v>-51.5</v>
      </c>
      <c r="D15" s="13">
        <f t="shared" ref="D15:D23" si="2">C15/B15</f>
        <v>-25.75</v>
      </c>
      <c r="E15" s="10">
        <f t="shared" ref="E15:E23" si="3">SQRT(12*32.2*D15^2/(4*$B$10*($B$9*56)*$B$8^2))</f>
        <v>0.7029443688518261</v>
      </c>
      <c r="G15" s="51">
        <v>60.074455267442509</v>
      </c>
      <c r="H15" s="6">
        <v>2</v>
      </c>
      <c r="I15" s="51">
        <v>60</v>
      </c>
      <c r="J15" s="51">
        <f t="shared" ref="J15:J23" si="4">I15/H15</f>
        <v>30</v>
      </c>
      <c r="K15" s="144">
        <f t="shared" ref="K15:K23" si="5">SQRT(12*32.2*J15^2/(4*$O$11*($O$10*56)*$O$9^2))</f>
        <v>0.81896431322542851</v>
      </c>
      <c r="L15" s="85">
        <f>K14-K15</f>
        <v>4.0948215661271381E-2</v>
      </c>
      <c r="N15" s="51">
        <v>68</v>
      </c>
      <c r="O15" s="6">
        <v>2</v>
      </c>
      <c r="P15" s="51">
        <v>67</v>
      </c>
      <c r="Q15" s="51">
        <f t="shared" ref="Q15:Q23" si="6">P15/O15</f>
        <v>33.5</v>
      </c>
      <c r="R15" s="144">
        <f t="shared" ref="R15:R23" si="7">SQRT(12*32.2*Q15^2/(4*$O$11*($O$10*56)*$O$9^2))</f>
        <v>0.91451014976839518</v>
      </c>
      <c r="S15" s="85">
        <f>R14-R15</f>
        <v>8.4626312366627654E-2</v>
      </c>
      <c r="V15" s="51">
        <v>69</v>
      </c>
      <c r="W15">
        <v>-3</v>
      </c>
      <c r="X15" s="142">
        <f>SUM(V15:W15)</f>
        <v>66</v>
      </c>
      <c r="Z15" s="66">
        <v>-851</v>
      </c>
      <c r="AB15" s="66">
        <v>-853</v>
      </c>
      <c r="AC15">
        <v>30</v>
      </c>
      <c r="AD15" s="50">
        <f t="shared" si="0"/>
        <v>852</v>
      </c>
      <c r="AE15" s="67">
        <f t="shared" si="1"/>
        <v>28.4</v>
      </c>
    </row>
    <row r="16" spans="1:31" ht="15" customHeight="1" x14ac:dyDescent="0.2">
      <c r="B16" s="2">
        <v>3</v>
      </c>
      <c r="C16" s="7">
        <v>-77</v>
      </c>
      <c r="D16" s="12">
        <f t="shared" si="2"/>
        <v>-25.666666666666668</v>
      </c>
      <c r="E16" s="9">
        <f t="shared" si="3"/>
        <v>0.70066946798175544</v>
      </c>
      <c r="G16" s="50">
        <v>86.81491401453583</v>
      </c>
      <c r="H16" s="2">
        <v>3</v>
      </c>
      <c r="I16" s="50">
        <v>85.8</v>
      </c>
      <c r="J16" s="50">
        <f t="shared" si="4"/>
        <v>28.599999999999998</v>
      </c>
      <c r="K16" s="143">
        <f t="shared" si="5"/>
        <v>0.7807459786082418</v>
      </c>
      <c r="L16" s="85">
        <f t="shared" ref="L16:L18" si="8">K15-K16</f>
        <v>3.8218334617186711E-2</v>
      </c>
      <c r="N16" s="50">
        <v>96</v>
      </c>
      <c r="O16" s="2">
        <v>3</v>
      </c>
      <c r="P16" s="50">
        <v>92.6</v>
      </c>
      <c r="Q16" s="50">
        <f t="shared" si="6"/>
        <v>30.866666666666664</v>
      </c>
      <c r="R16" s="143">
        <f t="shared" si="7"/>
        <v>0.84262328227416305</v>
      </c>
      <c r="S16" s="85">
        <f t="shared" ref="S16:S17" si="9">R15-R16</f>
        <v>7.1886867494232121E-2</v>
      </c>
      <c r="T16" s="85">
        <f>S15-S16</f>
        <v>1.2739444872395533E-2</v>
      </c>
      <c r="V16" s="50">
        <v>96</v>
      </c>
      <c r="W16">
        <v>-6</v>
      </c>
      <c r="X16" s="142">
        <f t="shared" ref="X16:X19" si="10">SUM(V16:W16)</f>
        <v>90</v>
      </c>
      <c r="Z16" s="68">
        <v>-1164</v>
      </c>
      <c r="AB16" s="68">
        <v>-1168</v>
      </c>
      <c r="AC16">
        <v>40</v>
      </c>
      <c r="AD16" s="51">
        <f t="shared" si="0"/>
        <v>1166</v>
      </c>
      <c r="AE16" s="67">
        <f t="shared" si="1"/>
        <v>29.15</v>
      </c>
    </row>
    <row r="17" spans="2:31" ht="15" customHeight="1" x14ac:dyDescent="0.2">
      <c r="B17" s="2">
        <v>4</v>
      </c>
      <c r="C17" s="7">
        <v>-103</v>
      </c>
      <c r="D17" s="12">
        <f t="shared" si="2"/>
        <v>-25.75</v>
      </c>
      <c r="E17" s="9">
        <f t="shared" si="3"/>
        <v>0.7029443688518261</v>
      </c>
      <c r="G17" s="50">
        <v>111.3575268372105</v>
      </c>
      <c r="H17" s="2">
        <v>4</v>
      </c>
      <c r="I17" s="50">
        <v>109.4</v>
      </c>
      <c r="J17" s="50">
        <f t="shared" si="4"/>
        <v>27.35</v>
      </c>
      <c r="K17" s="143">
        <f t="shared" si="5"/>
        <v>0.74662246555718237</v>
      </c>
      <c r="L17" s="85">
        <f t="shared" si="8"/>
        <v>3.4123513051059429E-2</v>
      </c>
      <c r="N17" s="50">
        <v>121</v>
      </c>
      <c r="O17" s="2">
        <v>4</v>
      </c>
      <c r="P17" s="50">
        <v>115</v>
      </c>
      <c r="Q17" s="50">
        <f t="shared" si="6"/>
        <v>28.75</v>
      </c>
      <c r="R17" s="143">
        <f t="shared" si="7"/>
        <v>0.78484080017436897</v>
      </c>
      <c r="S17" s="85">
        <f t="shared" si="9"/>
        <v>5.7782482099794086E-2</v>
      </c>
      <c r="T17" s="85">
        <f t="shared" ref="T17:T23" si="11">S16-S17</f>
        <v>1.4104385394438035E-2</v>
      </c>
      <c r="V17" s="50">
        <v>121</v>
      </c>
      <c r="W17">
        <v>-9</v>
      </c>
      <c r="X17" s="142">
        <f t="shared" si="10"/>
        <v>112</v>
      </c>
      <c r="Z17" s="66">
        <v>-1465</v>
      </c>
      <c r="AB17" s="66">
        <v>-1469</v>
      </c>
      <c r="AC17">
        <v>50</v>
      </c>
      <c r="AD17" s="50">
        <f t="shared" si="0"/>
        <v>1467</v>
      </c>
      <c r="AE17" s="67">
        <f t="shared" si="1"/>
        <v>29.34</v>
      </c>
    </row>
    <row r="18" spans="2:31" ht="15" customHeight="1" x14ac:dyDescent="0.2">
      <c r="B18" s="6">
        <v>5</v>
      </c>
      <c r="C18" s="8">
        <v>-128.4</v>
      </c>
      <c r="D18" s="13">
        <f t="shared" si="2"/>
        <v>-25.68</v>
      </c>
      <c r="E18" s="10">
        <f t="shared" si="3"/>
        <v>0.70103345212096679</v>
      </c>
      <c r="G18" s="51">
        <v>135.53383200581544</v>
      </c>
      <c r="H18" s="6">
        <v>5</v>
      </c>
      <c r="I18" s="51">
        <v>132</v>
      </c>
      <c r="J18" s="51">
        <f t="shared" si="4"/>
        <v>26.4</v>
      </c>
      <c r="K18" s="144">
        <f t="shared" si="5"/>
        <v>0.72068859563837706</v>
      </c>
      <c r="L18" s="85">
        <f t="shared" si="8"/>
        <v>2.5933869918805308E-2</v>
      </c>
      <c r="N18" s="51">
        <v>144</v>
      </c>
      <c r="O18" s="6">
        <v>5</v>
      </c>
      <c r="P18" s="51">
        <v>136</v>
      </c>
      <c r="Q18" s="51">
        <f t="shared" si="6"/>
        <v>27.2</v>
      </c>
      <c r="R18" s="144">
        <f t="shared" si="7"/>
        <v>0.74252764399105509</v>
      </c>
      <c r="S18" s="85">
        <f>R17-R18</f>
        <v>4.2313156183313883E-2</v>
      </c>
      <c r="T18" s="85">
        <f t="shared" si="11"/>
        <v>1.5469325916480203E-2</v>
      </c>
      <c r="V18" s="51">
        <v>144</v>
      </c>
      <c r="W18">
        <v>-12</v>
      </c>
      <c r="X18" s="142">
        <f t="shared" si="10"/>
        <v>132</v>
      </c>
    </row>
    <row r="19" spans="2:31" ht="15" customHeight="1" x14ac:dyDescent="0.2">
      <c r="B19" s="2">
        <v>10</v>
      </c>
      <c r="C19" s="7">
        <v>-256.5</v>
      </c>
      <c r="D19" s="12">
        <f t="shared" si="2"/>
        <v>-25.65</v>
      </c>
      <c r="E19" s="9">
        <f t="shared" si="3"/>
        <v>0.70021448780774131</v>
      </c>
      <c r="G19" s="50">
        <v>263.74151093023545</v>
      </c>
      <c r="H19" s="2">
        <v>10</v>
      </c>
      <c r="I19" s="50">
        <v>256.5</v>
      </c>
      <c r="J19" s="50">
        <f t="shared" si="4"/>
        <v>25.65</v>
      </c>
      <c r="K19" s="143">
        <f t="shared" si="5"/>
        <v>0.70021448780774131</v>
      </c>
      <c r="L19" s="85">
        <f>(K18-K19)/5</f>
        <v>4.0948215661271489E-3</v>
      </c>
      <c r="N19" s="50">
        <v>260</v>
      </c>
      <c r="O19" s="2">
        <v>10</v>
      </c>
      <c r="P19" s="50">
        <v>256.5</v>
      </c>
      <c r="Q19" s="50">
        <f t="shared" si="6"/>
        <v>25.65</v>
      </c>
      <c r="R19" s="143">
        <f t="shared" si="7"/>
        <v>0.70021448780774131</v>
      </c>
      <c r="S19" s="85">
        <f>(R18-R19)/5</f>
        <v>8.4626312366627536E-3</v>
      </c>
      <c r="T19" s="85">
        <f t="shared" si="11"/>
        <v>3.3850524946651125E-2</v>
      </c>
      <c r="V19" s="50">
        <v>270</v>
      </c>
      <c r="W19">
        <v>-15</v>
      </c>
      <c r="X19" s="142">
        <f t="shared" si="10"/>
        <v>255</v>
      </c>
      <c r="AD19" s="1" t="s">
        <v>46</v>
      </c>
    </row>
    <row r="20" spans="2:31" ht="15" customHeight="1" x14ac:dyDescent="0.2">
      <c r="B20" s="2">
        <v>20</v>
      </c>
      <c r="C20" s="7">
        <v>-513</v>
      </c>
      <c r="D20" s="12">
        <f t="shared" si="2"/>
        <v>-25.65</v>
      </c>
      <c r="E20" s="9">
        <f t="shared" si="3"/>
        <v>0.70021448780774131</v>
      </c>
      <c r="G20" s="50">
        <v>512.83071569768003</v>
      </c>
      <c r="H20" s="2">
        <v>20</v>
      </c>
      <c r="I20" s="50">
        <v>512.83071569768003</v>
      </c>
      <c r="J20" s="50">
        <f t="shared" si="4"/>
        <v>25.641535784884002</v>
      </c>
      <c r="K20" s="53">
        <f t="shared" si="5"/>
        <v>0.69998342480375919</v>
      </c>
      <c r="L20" s="85">
        <f>(K19-K20)/10</f>
        <v>2.3106300398212377E-5</v>
      </c>
      <c r="N20" s="50">
        <v>513</v>
      </c>
      <c r="O20" s="2">
        <v>20</v>
      </c>
      <c r="P20" s="50">
        <v>513</v>
      </c>
      <c r="Q20" s="50">
        <f t="shared" si="6"/>
        <v>25.65</v>
      </c>
      <c r="R20" s="143">
        <f t="shared" si="7"/>
        <v>0.70021448780774131</v>
      </c>
      <c r="S20" s="85">
        <f>(R19-R20)/10</f>
        <v>0</v>
      </c>
      <c r="T20" s="85">
        <f t="shared" si="11"/>
        <v>8.4626312366627536E-3</v>
      </c>
      <c r="V20" s="50">
        <v>513</v>
      </c>
      <c r="AD20" s="65" t="s">
        <v>45</v>
      </c>
      <c r="AE20" s="2" t="s">
        <v>37</v>
      </c>
    </row>
    <row r="21" spans="2:31" ht="15" customHeight="1" x14ac:dyDescent="0.2">
      <c r="B21" s="2">
        <v>30</v>
      </c>
      <c r="C21" s="7">
        <v>769.5</v>
      </c>
      <c r="D21" s="12">
        <f t="shared" si="2"/>
        <v>25.65</v>
      </c>
      <c r="E21" s="9">
        <f t="shared" si="3"/>
        <v>0.70021448780774131</v>
      </c>
      <c r="G21" s="50">
        <v>769.24607354651994</v>
      </c>
      <c r="H21" s="2">
        <v>30</v>
      </c>
      <c r="I21" s="50">
        <v>769.24607354651994</v>
      </c>
      <c r="J21" s="50">
        <f t="shared" si="4"/>
        <v>25.641535784883999</v>
      </c>
      <c r="K21" s="53">
        <f t="shared" si="5"/>
        <v>0.69998342480375908</v>
      </c>
      <c r="L21" s="85">
        <f t="shared" ref="L21:L23" si="12">(K20-K21)/10</f>
        <v>1.1102230246251566E-17</v>
      </c>
      <c r="N21" s="50">
        <v>769</v>
      </c>
      <c r="O21" s="2">
        <v>30</v>
      </c>
      <c r="P21" s="50">
        <v>769</v>
      </c>
      <c r="Q21" s="50">
        <f t="shared" si="6"/>
        <v>25.633333333333333</v>
      </c>
      <c r="R21" s="143">
        <f t="shared" si="7"/>
        <v>0.6997595076337273</v>
      </c>
      <c r="S21" s="85">
        <f t="shared" ref="S21:S23" si="13">(R20-R21)/10</f>
        <v>4.5498017401401911E-5</v>
      </c>
      <c r="T21" s="85">
        <f t="shared" si="11"/>
        <v>-4.5498017401401911E-5</v>
      </c>
      <c r="V21" s="50">
        <v>769</v>
      </c>
      <c r="AC21">
        <v>1</v>
      </c>
      <c r="AD21" s="50">
        <v>37</v>
      </c>
      <c r="AE21" s="67">
        <f>AD21/AC21</f>
        <v>37</v>
      </c>
    </row>
    <row r="22" spans="2:31" ht="15" customHeight="1" x14ac:dyDescent="0.2">
      <c r="B22" s="6">
        <v>40</v>
      </c>
      <c r="C22" s="8">
        <v>-1026</v>
      </c>
      <c r="D22" s="13">
        <f t="shared" si="2"/>
        <v>-25.65</v>
      </c>
      <c r="E22" s="10">
        <f t="shared" si="3"/>
        <v>0.70021448780774131</v>
      </c>
      <c r="G22" s="51">
        <v>1025.6614313953601</v>
      </c>
      <c r="H22" s="6">
        <v>40</v>
      </c>
      <c r="I22" s="51">
        <v>1025.6614313953601</v>
      </c>
      <c r="J22" s="51">
        <f t="shared" si="4"/>
        <v>25.641535784884002</v>
      </c>
      <c r="K22" s="54">
        <f t="shared" si="5"/>
        <v>0.69998342480375919</v>
      </c>
      <c r="L22" s="85">
        <f t="shared" si="12"/>
        <v>-1.1102230246251566E-17</v>
      </c>
      <c r="N22" s="51">
        <v>1026</v>
      </c>
      <c r="O22" s="6">
        <v>40</v>
      </c>
      <c r="P22" s="51">
        <v>1026</v>
      </c>
      <c r="Q22" s="51">
        <f t="shared" si="6"/>
        <v>25.65</v>
      </c>
      <c r="R22" s="144">
        <f t="shared" si="7"/>
        <v>0.70021448780774131</v>
      </c>
      <c r="S22" s="85">
        <f t="shared" si="13"/>
        <v>-4.5498017401401911E-5</v>
      </c>
      <c r="T22" s="85">
        <f t="shared" si="11"/>
        <v>9.0996034802803821E-5</v>
      </c>
      <c r="V22" s="51">
        <v>1026</v>
      </c>
      <c r="AC22">
        <v>2</v>
      </c>
      <c r="AD22" s="51">
        <v>68</v>
      </c>
      <c r="AE22" s="67">
        <f t="shared" ref="AE22:AE30" si="14">AD22/AC22</f>
        <v>34</v>
      </c>
    </row>
    <row r="23" spans="2:31" ht="15" customHeight="1" x14ac:dyDescent="0.2">
      <c r="B23" s="2">
        <v>50</v>
      </c>
      <c r="C23" s="7">
        <v>-1283</v>
      </c>
      <c r="D23" s="12">
        <f t="shared" si="2"/>
        <v>-25.66</v>
      </c>
      <c r="E23" s="9">
        <f t="shared" si="3"/>
        <v>0.70048747591214988</v>
      </c>
      <c r="G23" s="50">
        <v>1282.0767892442</v>
      </c>
      <c r="H23" s="2">
        <v>50</v>
      </c>
      <c r="I23" s="50">
        <v>1282.0767892442</v>
      </c>
      <c r="J23" s="50">
        <f t="shared" si="4"/>
        <v>25.641535784883999</v>
      </c>
      <c r="K23" s="53">
        <f t="shared" si="5"/>
        <v>0.69998342480375908</v>
      </c>
      <c r="L23" s="85">
        <f t="shared" si="12"/>
        <v>1.1102230246251566E-17</v>
      </c>
      <c r="N23" s="50">
        <v>1282</v>
      </c>
      <c r="O23" s="2">
        <v>50</v>
      </c>
      <c r="P23" s="50">
        <v>1282</v>
      </c>
      <c r="Q23" s="50">
        <f t="shared" si="6"/>
        <v>25.64</v>
      </c>
      <c r="R23" s="143">
        <f t="shared" si="7"/>
        <v>0.69994149970333286</v>
      </c>
      <c r="S23" s="85">
        <f t="shared" si="13"/>
        <v>2.729881044084559E-5</v>
      </c>
      <c r="T23" s="85">
        <f t="shared" si="11"/>
        <v>-7.2796827842247497E-5</v>
      </c>
      <c r="V23" s="50">
        <v>1282</v>
      </c>
      <c r="AC23">
        <v>3</v>
      </c>
      <c r="AD23" s="50">
        <v>96</v>
      </c>
      <c r="AE23" s="67">
        <f t="shared" si="14"/>
        <v>32</v>
      </c>
    </row>
    <row r="24" spans="2:31" ht="15" customHeight="1" x14ac:dyDescent="0.2">
      <c r="AC24">
        <v>4</v>
      </c>
      <c r="AD24" s="50">
        <v>121</v>
      </c>
      <c r="AE24" s="67">
        <f t="shared" si="14"/>
        <v>30.25</v>
      </c>
    </row>
    <row r="25" spans="2:31" ht="15" customHeight="1" x14ac:dyDescent="0.2">
      <c r="B25" s="49" t="s">
        <v>35</v>
      </c>
      <c r="AC25">
        <v>5</v>
      </c>
      <c r="AD25" s="51">
        <v>144</v>
      </c>
      <c r="AE25" s="67">
        <f t="shared" si="14"/>
        <v>28.8</v>
      </c>
    </row>
    <row r="26" spans="2:31" ht="15" customHeight="1" x14ac:dyDescent="0.2">
      <c r="AC26">
        <v>10</v>
      </c>
      <c r="AD26" s="50">
        <v>260</v>
      </c>
      <c r="AE26" s="67">
        <f t="shared" si="14"/>
        <v>26</v>
      </c>
    </row>
    <row r="27" spans="2:31" ht="15" customHeight="1" x14ac:dyDescent="0.2">
      <c r="B27" s="15" t="s">
        <v>14</v>
      </c>
      <c r="C27" s="16"/>
      <c r="D27" s="16"/>
      <c r="E27" s="16"/>
      <c r="F27" s="16"/>
      <c r="G27" s="16"/>
      <c r="H27" s="16"/>
      <c r="I27" s="16"/>
      <c r="J27" s="16"/>
      <c r="K27" s="16"/>
      <c r="L27" s="17"/>
      <c r="AC27">
        <v>20</v>
      </c>
      <c r="AD27" s="50">
        <v>513</v>
      </c>
      <c r="AE27" s="67">
        <f t="shared" si="14"/>
        <v>25.65</v>
      </c>
    </row>
    <row r="28" spans="2:31" ht="15" customHeight="1" x14ac:dyDescent="0.2">
      <c r="AC28">
        <v>30</v>
      </c>
      <c r="AD28" s="50">
        <v>769</v>
      </c>
      <c r="AE28" s="67">
        <f t="shared" si="14"/>
        <v>25.633333333333333</v>
      </c>
    </row>
    <row r="29" spans="2:31" ht="15" customHeight="1" x14ac:dyDescent="0.2">
      <c r="B29" s="18" t="s">
        <v>15</v>
      </c>
      <c r="C29" s="19"/>
      <c r="D29" s="20"/>
      <c r="J29" s="56" t="s">
        <v>23</v>
      </c>
      <c r="K29" s="57"/>
      <c r="L29" s="57"/>
      <c r="M29" s="58"/>
      <c r="AC29">
        <v>40</v>
      </c>
      <c r="AD29" s="51">
        <v>1026</v>
      </c>
      <c r="AE29" s="67">
        <f t="shared" si="14"/>
        <v>25.65</v>
      </c>
    </row>
    <row r="30" spans="2:31" ht="15" customHeight="1" x14ac:dyDescent="0.2">
      <c r="B30" s="21" t="s">
        <v>16</v>
      </c>
      <c r="C30" s="22" t="s">
        <v>19</v>
      </c>
      <c r="D30" s="23">
        <v>2.46</v>
      </c>
      <c r="J30" s="33" t="s">
        <v>24</v>
      </c>
      <c r="K30" s="34" t="s">
        <v>26</v>
      </c>
      <c r="L30" s="19"/>
      <c r="M30" s="20"/>
      <c r="AC30">
        <v>50</v>
      </c>
      <c r="AD30" s="50">
        <v>1282</v>
      </c>
      <c r="AE30" s="67">
        <f t="shared" si="14"/>
        <v>25.64</v>
      </c>
    </row>
    <row r="31" spans="2:31" ht="15" customHeight="1" x14ac:dyDescent="0.2">
      <c r="B31" s="21" t="s">
        <v>17</v>
      </c>
      <c r="C31" s="22" t="s">
        <v>20</v>
      </c>
      <c r="D31" s="23">
        <v>4.5</v>
      </c>
      <c r="F31" s="27" t="s">
        <v>39</v>
      </c>
      <c r="G31" s="27" t="s">
        <v>21</v>
      </c>
      <c r="H31" s="28"/>
      <c r="J31" s="35" t="s">
        <v>25</v>
      </c>
      <c r="K31" s="36" t="s">
        <v>27</v>
      </c>
      <c r="M31" s="37"/>
    </row>
    <row r="32" spans="2:31" ht="15" customHeight="1" x14ac:dyDescent="0.2">
      <c r="B32" s="24" t="s">
        <v>18</v>
      </c>
      <c r="C32" s="25" t="s">
        <v>28</v>
      </c>
      <c r="D32" s="26">
        <v>85</v>
      </c>
      <c r="F32" s="55">
        <v>1</v>
      </c>
      <c r="G32" s="24" t="s">
        <v>22</v>
      </c>
      <c r="H32" s="26">
        <v>0.86</v>
      </c>
      <c r="J32" s="59">
        <f>D31*2.20462*25.4*12</f>
        <v>3023.8567919999996</v>
      </c>
      <c r="K32" s="12">
        <f>H32*D$30*SQRT(4*D$32*J$32/32.2)/12</f>
        <v>31.502458250000345</v>
      </c>
      <c r="M32" s="37"/>
    </row>
    <row r="33" spans="2:13" ht="15" customHeight="1" x14ac:dyDescent="0.2">
      <c r="F33" s="55">
        <v>2</v>
      </c>
      <c r="G33" s="24" t="s">
        <v>22</v>
      </c>
      <c r="H33" s="26">
        <v>0.82</v>
      </c>
      <c r="J33" s="60"/>
      <c r="K33" s="12">
        <f t="shared" ref="K33:K41" si="15">H33*D$30*SQRT(4*D$32*J$32/32.2)/12</f>
        <v>30.037227633721255</v>
      </c>
      <c r="M33" s="37"/>
    </row>
    <row r="34" spans="2:13" ht="15" customHeight="1" x14ac:dyDescent="0.2">
      <c r="F34" s="55">
        <v>3</v>
      </c>
      <c r="G34" s="24" t="s">
        <v>22</v>
      </c>
      <c r="H34" s="26">
        <v>0.79</v>
      </c>
      <c r="J34" s="60"/>
      <c r="K34" s="12">
        <f t="shared" si="15"/>
        <v>28.938304671511943</v>
      </c>
      <c r="M34" s="37"/>
    </row>
    <row r="35" spans="2:13" ht="15" customHeight="1" x14ac:dyDescent="0.2">
      <c r="B35" s="69" t="s">
        <v>47</v>
      </c>
      <c r="C35" s="70" t="s">
        <v>48</v>
      </c>
      <c r="D35" s="20"/>
      <c r="F35" s="55">
        <v>4</v>
      </c>
      <c r="G35" s="24" t="s">
        <v>22</v>
      </c>
      <c r="H35" s="26">
        <v>0.76</v>
      </c>
      <c r="J35" s="60"/>
      <c r="K35" s="12">
        <f t="shared" si="15"/>
        <v>27.839381709302625</v>
      </c>
      <c r="M35" s="37"/>
    </row>
    <row r="36" spans="2:13" ht="15" customHeight="1" x14ac:dyDescent="0.2">
      <c r="B36" s="42">
        <v>1</v>
      </c>
      <c r="C36" s="71">
        <f>B36/$B$42</f>
        <v>1.4285714285714286</v>
      </c>
      <c r="D36" s="37"/>
      <c r="F36" s="55">
        <v>5</v>
      </c>
      <c r="G36" s="24" t="s">
        <v>22</v>
      </c>
      <c r="H36" s="26">
        <v>0.74</v>
      </c>
      <c r="J36" s="60"/>
      <c r="K36" s="12">
        <f t="shared" si="15"/>
        <v>27.106766401163085</v>
      </c>
      <c r="M36" s="37"/>
    </row>
    <row r="37" spans="2:13" ht="15" customHeight="1" x14ac:dyDescent="0.2">
      <c r="B37" s="42">
        <v>0.95</v>
      </c>
      <c r="C37" s="71">
        <f t="shared" ref="C37:C46" si="16">B37/$B$42</f>
        <v>1.3571428571428572</v>
      </c>
      <c r="D37" s="37"/>
      <c r="F37" s="55">
        <v>10</v>
      </c>
      <c r="G37" s="24" t="s">
        <v>22</v>
      </c>
      <c r="H37" s="26">
        <v>0.72</v>
      </c>
      <c r="J37" s="60"/>
      <c r="K37" s="12">
        <f t="shared" si="15"/>
        <v>26.374151093023542</v>
      </c>
      <c r="M37" s="37"/>
    </row>
    <row r="38" spans="2:13" ht="15" customHeight="1" x14ac:dyDescent="0.2">
      <c r="B38" s="42">
        <v>0.9</v>
      </c>
      <c r="C38" s="71">
        <f t="shared" si="16"/>
        <v>1.2857142857142858</v>
      </c>
      <c r="D38" s="37"/>
      <c r="F38" s="55">
        <v>20</v>
      </c>
      <c r="G38" s="24" t="s">
        <v>22</v>
      </c>
      <c r="H38" s="26">
        <v>0.7</v>
      </c>
      <c r="J38" s="60"/>
      <c r="K38" s="12">
        <f t="shared" si="15"/>
        <v>25.641535784883999</v>
      </c>
      <c r="M38" s="37"/>
    </row>
    <row r="39" spans="2:13" ht="15" customHeight="1" x14ac:dyDescent="0.2">
      <c r="B39" s="42">
        <v>0.85</v>
      </c>
      <c r="C39" s="71">
        <f t="shared" si="16"/>
        <v>1.2142857142857144</v>
      </c>
      <c r="D39" s="37"/>
      <c r="F39" s="55">
        <v>30</v>
      </c>
      <c r="G39" s="24" t="s">
        <v>22</v>
      </c>
      <c r="H39" s="26">
        <v>0.7</v>
      </c>
      <c r="J39" s="60"/>
      <c r="K39" s="12">
        <f t="shared" si="15"/>
        <v>25.641535784883999</v>
      </c>
      <c r="M39" s="37"/>
    </row>
    <row r="40" spans="2:13" ht="15" customHeight="1" x14ac:dyDescent="0.2">
      <c r="B40" s="42">
        <v>0.8</v>
      </c>
      <c r="C40" s="71">
        <f t="shared" si="16"/>
        <v>1.142857142857143</v>
      </c>
      <c r="D40" s="37"/>
      <c r="F40" s="55">
        <v>40</v>
      </c>
      <c r="G40" s="24" t="s">
        <v>22</v>
      </c>
      <c r="H40" s="26">
        <v>0.7</v>
      </c>
      <c r="J40" s="60"/>
      <c r="K40" s="12">
        <f t="shared" si="15"/>
        <v>25.641535784883999</v>
      </c>
      <c r="M40" s="37"/>
    </row>
    <row r="41" spans="2:13" ht="15" customHeight="1" x14ac:dyDescent="0.2">
      <c r="B41" s="42">
        <v>0.75</v>
      </c>
      <c r="C41" s="71">
        <f t="shared" si="16"/>
        <v>1.0714285714285714</v>
      </c>
      <c r="D41" s="37"/>
      <c r="F41" s="55">
        <v>50</v>
      </c>
      <c r="G41" s="24" t="s">
        <v>22</v>
      </c>
      <c r="H41" s="26">
        <v>0.7</v>
      </c>
      <c r="J41" s="61"/>
      <c r="K41" s="39">
        <f t="shared" si="15"/>
        <v>25.641535784883999</v>
      </c>
      <c r="L41" s="40"/>
      <c r="M41" s="29"/>
    </row>
    <row r="42" spans="2:13" ht="15" customHeight="1" x14ac:dyDescent="0.2">
      <c r="B42" s="42">
        <v>0.7</v>
      </c>
      <c r="C42" s="71">
        <f t="shared" si="16"/>
        <v>1</v>
      </c>
      <c r="D42" s="37"/>
    </row>
    <row r="43" spans="2:13" ht="15" customHeight="1" x14ac:dyDescent="0.2">
      <c r="B43" s="42">
        <v>0.65</v>
      </c>
      <c r="C43" s="71">
        <f t="shared" si="16"/>
        <v>0.92857142857142871</v>
      </c>
      <c r="D43" s="37"/>
      <c r="J43" t="s">
        <v>40</v>
      </c>
    </row>
    <row r="44" spans="2:13" ht="15" customHeight="1" x14ac:dyDescent="0.2">
      <c r="B44" s="42">
        <v>0.6</v>
      </c>
      <c r="C44" s="71">
        <f t="shared" si="16"/>
        <v>0.85714285714285721</v>
      </c>
      <c r="D44" s="37"/>
      <c r="J44" s="56" t="s">
        <v>29</v>
      </c>
      <c r="K44" s="57"/>
      <c r="L44" s="58"/>
    </row>
    <row r="45" spans="2:13" ht="15" customHeight="1" x14ac:dyDescent="0.2">
      <c r="B45" s="42">
        <v>0.55000000000000004</v>
      </c>
      <c r="C45" s="71">
        <f t="shared" si="16"/>
        <v>0.78571428571428581</v>
      </c>
      <c r="D45" s="37"/>
      <c r="J45" s="33" t="s">
        <v>30</v>
      </c>
      <c r="K45" s="34" t="s">
        <v>32</v>
      </c>
      <c r="L45" s="41"/>
    </row>
    <row r="46" spans="2:13" ht="15" customHeight="1" x14ac:dyDescent="0.2">
      <c r="B46" s="43">
        <v>0.5</v>
      </c>
      <c r="C46" s="72">
        <f t="shared" si="16"/>
        <v>0.7142857142857143</v>
      </c>
      <c r="D46" s="29"/>
      <c r="J46" s="35" t="s">
        <v>31</v>
      </c>
      <c r="K46" s="36" t="s">
        <v>33</v>
      </c>
      <c r="L46" s="23"/>
    </row>
    <row r="47" spans="2:13" ht="15" customHeight="1" x14ac:dyDescent="0.2">
      <c r="J47" s="42">
        <v>1</v>
      </c>
      <c r="K47" s="44">
        <f>J47*K32</f>
        <v>31.502458250000345</v>
      </c>
      <c r="L47" s="23"/>
      <c r="M47" s="62">
        <v>37</v>
      </c>
    </row>
    <row r="48" spans="2:13" ht="15" customHeight="1" x14ac:dyDescent="0.2">
      <c r="J48" s="46">
        <v>2</v>
      </c>
      <c r="K48" s="47">
        <f t="shared" ref="K48:K56" si="17">J48*K33</f>
        <v>60.074455267442509</v>
      </c>
      <c r="L48" s="23"/>
      <c r="M48" s="63">
        <v>69</v>
      </c>
    </row>
    <row r="49" spans="1:13" ht="15" customHeight="1" x14ac:dyDescent="0.2">
      <c r="B49" s="69" t="s">
        <v>49</v>
      </c>
      <c r="C49" s="73" t="s">
        <v>49</v>
      </c>
      <c r="D49" s="20"/>
      <c r="J49" s="42">
        <v>3</v>
      </c>
      <c r="K49" s="44">
        <f t="shared" si="17"/>
        <v>86.81491401453583</v>
      </c>
      <c r="L49" s="23"/>
      <c r="M49" s="62">
        <v>96</v>
      </c>
    </row>
    <row r="50" spans="1:13" ht="15" customHeight="1" x14ac:dyDescent="0.2">
      <c r="B50" s="42" t="s">
        <v>50</v>
      </c>
      <c r="C50" s="2" t="s">
        <v>51</v>
      </c>
      <c r="D50" s="23" t="s">
        <v>52</v>
      </c>
      <c r="E50" s="77" t="s">
        <v>53</v>
      </c>
      <c r="J50" s="42">
        <v>4</v>
      </c>
      <c r="K50" s="44">
        <f t="shared" si="17"/>
        <v>111.3575268372105</v>
      </c>
      <c r="L50" s="23"/>
      <c r="M50" s="62">
        <v>121</v>
      </c>
    </row>
    <row r="51" spans="1:13" ht="15" customHeight="1" x14ac:dyDescent="0.2">
      <c r="B51" s="42">
        <v>0.72</v>
      </c>
      <c r="C51" s="2">
        <v>1.03</v>
      </c>
      <c r="D51" s="74">
        <f>C51/B51</f>
        <v>1.4305555555555556</v>
      </c>
      <c r="J51" s="46">
        <v>5</v>
      </c>
      <c r="K51" s="47">
        <f t="shared" si="17"/>
        <v>135.53383200581544</v>
      </c>
      <c r="L51" s="23"/>
      <c r="M51" s="63">
        <v>144</v>
      </c>
    </row>
    <row r="52" spans="1:13" ht="15" customHeight="1" x14ac:dyDescent="0.2">
      <c r="B52" s="42">
        <v>0.89</v>
      </c>
      <c r="C52" s="2">
        <v>1.21</v>
      </c>
      <c r="D52" s="74">
        <f t="shared" ref="D52:D60" si="18">C52/B52</f>
        <v>1.3595505617977528</v>
      </c>
      <c r="J52" s="42">
        <v>10</v>
      </c>
      <c r="K52" s="44">
        <f t="shared" si="17"/>
        <v>263.74151093023545</v>
      </c>
      <c r="L52" s="23"/>
      <c r="M52" s="62">
        <v>270</v>
      </c>
    </row>
    <row r="53" spans="1:13" ht="15" customHeight="1" x14ac:dyDescent="0.2">
      <c r="B53" s="42">
        <v>1.01</v>
      </c>
      <c r="C53" s="2">
        <v>1.26</v>
      </c>
      <c r="D53" s="74">
        <f t="shared" si="18"/>
        <v>1.2475247524752475</v>
      </c>
      <c r="J53" s="42">
        <v>20</v>
      </c>
      <c r="K53" s="44">
        <f t="shared" si="17"/>
        <v>512.83071569768003</v>
      </c>
      <c r="L53" s="23"/>
      <c r="M53" s="62">
        <v>513</v>
      </c>
    </row>
    <row r="54" spans="1:13" ht="15" customHeight="1" x14ac:dyDescent="0.2">
      <c r="B54" s="42">
        <v>1.1100000000000001</v>
      </c>
      <c r="C54" s="2">
        <v>1.31</v>
      </c>
      <c r="D54" s="74">
        <f t="shared" si="18"/>
        <v>1.1801801801801801</v>
      </c>
      <c r="J54" s="42">
        <v>30</v>
      </c>
      <c r="K54" s="44">
        <f t="shared" si="17"/>
        <v>769.24607354651994</v>
      </c>
      <c r="L54" s="23"/>
      <c r="M54" s="62">
        <v>769</v>
      </c>
    </row>
    <row r="55" spans="1:13" ht="15" customHeight="1" x14ac:dyDescent="0.2">
      <c r="B55" s="42">
        <v>1.19</v>
      </c>
      <c r="C55" s="2">
        <v>1.34</v>
      </c>
      <c r="D55" s="74">
        <f t="shared" si="18"/>
        <v>1.1260504201680674</v>
      </c>
      <c r="J55" s="46">
        <v>40</v>
      </c>
      <c r="K55" s="47">
        <f t="shared" si="17"/>
        <v>1025.6614313953601</v>
      </c>
      <c r="L55" s="23"/>
      <c r="M55" s="63">
        <v>1026</v>
      </c>
    </row>
    <row r="56" spans="1:13" ht="15" customHeight="1" x14ac:dyDescent="0.2">
      <c r="B56" s="42">
        <v>1.41</v>
      </c>
      <c r="C56" s="2">
        <v>1.49</v>
      </c>
      <c r="D56" s="74">
        <f t="shared" si="18"/>
        <v>1.0567375886524824</v>
      </c>
      <c r="J56" s="43">
        <v>50</v>
      </c>
      <c r="K56" s="45">
        <f t="shared" si="17"/>
        <v>1282.0767892442</v>
      </c>
      <c r="L56" s="26"/>
      <c r="M56" s="62">
        <v>1282</v>
      </c>
    </row>
    <row r="57" spans="1:13" ht="15" customHeight="1" x14ac:dyDescent="0.2">
      <c r="B57" s="42">
        <v>1.59</v>
      </c>
      <c r="C57" s="2">
        <v>1.59</v>
      </c>
      <c r="D57" s="74">
        <f t="shared" si="18"/>
        <v>1</v>
      </c>
      <c r="J57" s="2"/>
      <c r="K57" s="12"/>
      <c r="L57" s="2"/>
    </row>
    <row r="58" spans="1:13" ht="15" customHeight="1" x14ac:dyDescent="0.2">
      <c r="B58" s="42">
        <v>1.74</v>
      </c>
      <c r="C58" s="2">
        <v>1.74</v>
      </c>
      <c r="D58" s="74">
        <f t="shared" si="18"/>
        <v>1</v>
      </c>
      <c r="J58" s="2"/>
      <c r="K58" s="12"/>
      <c r="L58" s="2"/>
    </row>
    <row r="59" spans="1:13" ht="15" customHeight="1" x14ac:dyDescent="0.2">
      <c r="B59" s="42">
        <v>1.88</v>
      </c>
      <c r="C59" s="2">
        <v>1.88</v>
      </c>
      <c r="D59" s="74">
        <f t="shared" si="18"/>
        <v>1</v>
      </c>
      <c r="J59" s="2"/>
      <c r="K59" s="12"/>
      <c r="L59" s="2"/>
    </row>
    <row r="60" spans="1:13" ht="15" customHeight="1" x14ac:dyDescent="0.2">
      <c r="B60" s="43">
        <v>2.0099999999999998</v>
      </c>
      <c r="C60" s="75">
        <v>2.0099999999999998</v>
      </c>
      <c r="D60" s="76">
        <f t="shared" si="18"/>
        <v>1</v>
      </c>
    </row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>
      <c r="A64" t="s">
        <v>103</v>
      </c>
    </row>
    <row r="65" spans="1:14" ht="15" customHeight="1" x14ac:dyDescent="0.2">
      <c r="A65" t="s">
        <v>104</v>
      </c>
    </row>
    <row r="66" spans="1:14" ht="15" customHeight="1" x14ac:dyDescent="0.2">
      <c r="A66" s="1" t="s">
        <v>105</v>
      </c>
    </row>
    <row r="67" spans="1:14" ht="15" customHeight="1" x14ac:dyDescent="0.2">
      <c r="A67" t="s">
        <v>109</v>
      </c>
    </row>
    <row r="68" spans="1:14" ht="15" customHeight="1" x14ac:dyDescent="0.2"/>
    <row r="69" spans="1:14" ht="15" customHeight="1" x14ac:dyDescent="0.2">
      <c r="C69" t="s">
        <v>106</v>
      </c>
      <c r="H69" s="1" t="s">
        <v>113</v>
      </c>
      <c r="M69" t="s">
        <v>107</v>
      </c>
    </row>
    <row r="70" spans="1:14" ht="15" customHeight="1" x14ac:dyDescent="0.2">
      <c r="H70" t="s">
        <v>114</v>
      </c>
    </row>
    <row r="71" spans="1:14" ht="15" customHeight="1" x14ac:dyDescent="0.2">
      <c r="C71" s="4" t="s">
        <v>2</v>
      </c>
      <c r="D71" s="4" t="s">
        <v>4</v>
      </c>
      <c r="H71" s="4" t="s">
        <v>2</v>
      </c>
      <c r="I71" s="4" t="s">
        <v>4</v>
      </c>
      <c r="M71" s="4" t="s">
        <v>2</v>
      </c>
      <c r="N71" s="4" t="s">
        <v>4</v>
      </c>
    </row>
    <row r="72" spans="1:14" ht="15" customHeight="1" x14ac:dyDescent="0.2">
      <c r="C72" s="2">
        <v>1</v>
      </c>
      <c r="D72" s="53">
        <v>0.7</v>
      </c>
      <c r="H72" s="2">
        <v>1</v>
      </c>
      <c r="I72" s="53">
        <f>IF(N72=0.7,0.7,(D72+N72)/2)</f>
        <v>0.8550279931556809</v>
      </c>
      <c r="M72" s="2">
        <v>1</v>
      </c>
      <c r="N72" s="53">
        <v>1.0100559863113618</v>
      </c>
    </row>
    <row r="73" spans="1:14" ht="15" customHeight="1" x14ac:dyDescent="0.2">
      <c r="C73" s="6">
        <v>2</v>
      </c>
      <c r="D73" s="54">
        <v>0.7</v>
      </c>
      <c r="H73" s="6">
        <v>2</v>
      </c>
      <c r="I73" s="54">
        <f t="shared" ref="I73:I77" si="19">IF(N73=0.7,0.7,(D73+N73)/2)</f>
        <v>0.82090448010462136</v>
      </c>
      <c r="M73" s="6">
        <v>2</v>
      </c>
      <c r="N73" s="54">
        <v>0.94180896020924276</v>
      </c>
    </row>
    <row r="74" spans="1:14" ht="15" customHeight="1" x14ac:dyDescent="0.2">
      <c r="C74" s="2">
        <v>3</v>
      </c>
      <c r="D74" s="53">
        <v>0.7</v>
      </c>
      <c r="H74" s="2">
        <v>3</v>
      </c>
      <c r="I74" s="53">
        <f t="shared" si="19"/>
        <v>0.78678096705356182</v>
      </c>
      <c r="M74" s="2">
        <v>3</v>
      </c>
      <c r="N74" s="53">
        <v>0.87356193410712368</v>
      </c>
    </row>
    <row r="75" spans="1:14" ht="15" customHeight="1" x14ac:dyDescent="0.2">
      <c r="C75" s="2">
        <v>4</v>
      </c>
      <c r="D75" s="53">
        <v>0.7</v>
      </c>
      <c r="H75" s="2">
        <v>4</v>
      </c>
      <c r="I75" s="53">
        <f t="shared" si="19"/>
        <v>0.76289450791782021</v>
      </c>
      <c r="M75" s="2">
        <v>4</v>
      </c>
      <c r="N75" s="53">
        <v>0.82578901583564035</v>
      </c>
    </row>
    <row r="76" spans="1:14" ht="15" customHeight="1" x14ac:dyDescent="0.2">
      <c r="C76" s="6">
        <v>5</v>
      </c>
      <c r="D76" s="54">
        <v>0.7</v>
      </c>
      <c r="H76" s="6">
        <v>5</v>
      </c>
      <c r="I76" s="54">
        <f t="shared" si="19"/>
        <v>0.74310287034820566</v>
      </c>
      <c r="M76" s="6">
        <v>5</v>
      </c>
      <c r="N76" s="54">
        <v>0.78620574069641136</v>
      </c>
    </row>
    <row r="77" spans="1:14" ht="15" customHeight="1" x14ac:dyDescent="0.2">
      <c r="C77" s="2">
        <v>10</v>
      </c>
      <c r="D77" s="53">
        <v>0.7</v>
      </c>
      <c r="H77" s="2">
        <v>10</v>
      </c>
      <c r="I77" s="53">
        <f t="shared" si="19"/>
        <v>0.71853394095144285</v>
      </c>
      <c r="M77" s="2">
        <v>10</v>
      </c>
      <c r="N77" s="53">
        <v>0.73706788190288564</v>
      </c>
    </row>
    <row r="78" spans="1:14" ht="15" customHeight="1" x14ac:dyDescent="0.2">
      <c r="C78" s="2">
        <v>20</v>
      </c>
      <c r="D78" s="53">
        <v>0.7</v>
      </c>
      <c r="E78" s="1" t="s">
        <v>110</v>
      </c>
      <c r="H78" s="2">
        <v>20</v>
      </c>
      <c r="I78" s="53">
        <f t="shared" ref="I78:I81" si="20">IF(N78=0.7,0.7,"n")</f>
        <v>0.7</v>
      </c>
      <c r="J78" s="1" t="s">
        <v>110</v>
      </c>
      <c r="M78" s="2">
        <v>20</v>
      </c>
      <c r="N78" s="53">
        <v>0.7</v>
      </c>
    </row>
    <row r="79" spans="1:14" ht="15" customHeight="1" x14ac:dyDescent="0.2">
      <c r="C79" s="2">
        <v>30</v>
      </c>
      <c r="D79" s="53">
        <v>0.7</v>
      </c>
      <c r="H79" s="2">
        <v>30</v>
      </c>
      <c r="I79" s="53">
        <f t="shared" si="20"/>
        <v>0.7</v>
      </c>
      <c r="M79" s="2">
        <v>30</v>
      </c>
      <c r="N79" s="53">
        <v>0.7</v>
      </c>
    </row>
    <row r="80" spans="1:14" ht="15" customHeight="1" x14ac:dyDescent="0.2">
      <c r="C80" s="6">
        <v>40</v>
      </c>
      <c r="D80" s="54">
        <v>0.7</v>
      </c>
      <c r="H80" s="6">
        <v>40</v>
      </c>
      <c r="I80" s="54">
        <f t="shared" si="20"/>
        <v>0.7</v>
      </c>
      <c r="M80" s="6">
        <v>40</v>
      </c>
      <c r="N80" s="54">
        <v>0.7</v>
      </c>
    </row>
    <row r="81" spans="3:17" ht="15" customHeight="1" x14ac:dyDescent="0.2">
      <c r="C81" s="2">
        <v>50</v>
      </c>
      <c r="D81" s="53">
        <v>0.7</v>
      </c>
      <c r="H81" s="2">
        <v>50</v>
      </c>
      <c r="I81" s="53">
        <f t="shared" si="20"/>
        <v>0.7</v>
      </c>
      <c r="M81" s="2">
        <v>50</v>
      </c>
      <c r="N81" s="53">
        <v>0.7</v>
      </c>
    </row>
    <row r="82" spans="3:17" ht="15" customHeight="1" x14ac:dyDescent="0.2"/>
    <row r="83" spans="3:17" ht="15" customHeight="1" x14ac:dyDescent="0.2"/>
    <row r="84" spans="3:17" ht="15" customHeight="1" x14ac:dyDescent="0.2">
      <c r="H84" t="s">
        <v>108</v>
      </c>
      <c r="M84" s="1" t="s">
        <v>112</v>
      </c>
    </row>
    <row r="85" spans="3:17" ht="15" customHeight="1" x14ac:dyDescent="0.2">
      <c r="H85" s="1" t="s">
        <v>111</v>
      </c>
      <c r="M85" s="1" t="s">
        <v>111</v>
      </c>
    </row>
    <row r="86" spans="3:17" ht="15" customHeight="1" x14ac:dyDescent="0.2"/>
    <row r="87" spans="3:17" ht="15" customHeight="1" x14ac:dyDescent="0.2">
      <c r="H87" s="69" t="s">
        <v>47</v>
      </c>
      <c r="I87" s="70" t="s">
        <v>48</v>
      </c>
      <c r="J87" s="20"/>
      <c r="M87" s="69" t="s">
        <v>47</v>
      </c>
      <c r="N87" s="70" t="s">
        <v>48</v>
      </c>
      <c r="O87" s="20"/>
    </row>
    <row r="88" spans="3:17" ht="15" customHeight="1" x14ac:dyDescent="0.2">
      <c r="H88" s="42">
        <v>0.86</v>
      </c>
      <c r="I88" s="71">
        <f>H88/$H$91</f>
        <v>1.2285714285714286</v>
      </c>
      <c r="J88" s="139">
        <f>I88</f>
        <v>1.2285714285714286</v>
      </c>
      <c r="M88" s="42">
        <v>1</v>
      </c>
      <c r="N88" s="71">
        <f>M88/$M$94</f>
        <v>1.4285714285714286</v>
      </c>
      <c r="O88" s="139">
        <f>N88</f>
        <v>1.4285714285714286</v>
      </c>
      <c r="Q88">
        <v>1.4285714285714286</v>
      </c>
    </row>
    <row r="89" spans="3:17" ht="15" customHeight="1" x14ac:dyDescent="0.2">
      <c r="H89" s="42">
        <v>0.8</v>
      </c>
      <c r="I89" s="71">
        <f t="shared" ref="I89:I98" si="21">H89/$H$91</f>
        <v>1.142857142857143</v>
      </c>
      <c r="J89" s="139">
        <f t="shared" ref="J89:J98" si="22">I89</f>
        <v>1.142857142857143</v>
      </c>
      <c r="M89" s="42">
        <v>0.95</v>
      </c>
      <c r="N89" s="71">
        <f t="shared" ref="N89:N98" si="23">M89/$M$94</f>
        <v>1.3571428571428572</v>
      </c>
      <c r="O89" s="139">
        <f t="shared" ref="O89:O98" si="24">N89</f>
        <v>1.3571428571428572</v>
      </c>
      <c r="Q89">
        <v>1.3571428571428572</v>
      </c>
    </row>
    <row r="90" spans="3:17" ht="15" customHeight="1" x14ac:dyDescent="0.2">
      <c r="H90" s="42">
        <v>0.75</v>
      </c>
      <c r="I90" s="71">
        <f t="shared" si="21"/>
        <v>1.0714285714285714</v>
      </c>
      <c r="J90" s="139">
        <f t="shared" si="22"/>
        <v>1.0714285714285714</v>
      </c>
      <c r="M90" s="42">
        <v>0.9</v>
      </c>
      <c r="N90" s="71">
        <f t="shared" si="23"/>
        <v>1.2857142857142858</v>
      </c>
      <c r="O90" s="139">
        <f t="shared" si="24"/>
        <v>1.2857142857142858</v>
      </c>
      <c r="Q90">
        <v>1.2857142857142858</v>
      </c>
    </row>
    <row r="91" spans="3:17" ht="15" customHeight="1" x14ac:dyDescent="0.2">
      <c r="H91" s="42">
        <v>0.7</v>
      </c>
      <c r="I91" s="71">
        <f t="shared" si="21"/>
        <v>1</v>
      </c>
      <c r="J91" s="139">
        <f t="shared" si="22"/>
        <v>1</v>
      </c>
      <c r="M91" s="42">
        <v>0.85</v>
      </c>
      <c r="N91" s="71">
        <f t="shared" si="23"/>
        <v>1.2142857142857144</v>
      </c>
      <c r="O91" s="139">
        <f t="shared" si="24"/>
        <v>1.2142857142857144</v>
      </c>
      <c r="Q91">
        <v>1.2142857142857144</v>
      </c>
    </row>
    <row r="92" spans="3:17" ht="15" customHeight="1" x14ac:dyDescent="0.2">
      <c r="H92" s="42">
        <v>0.65</v>
      </c>
      <c r="I92" s="71">
        <f t="shared" si="21"/>
        <v>0.92857142857142871</v>
      </c>
      <c r="J92" s="139">
        <f t="shared" si="22"/>
        <v>0.92857142857142871</v>
      </c>
      <c r="M92" s="42">
        <v>0.8</v>
      </c>
      <c r="N92" s="71">
        <f t="shared" si="23"/>
        <v>1.142857142857143</v>
      </c>
      <c r="O92" s="139">
        <f t="shared" si="24"/>
        <v>1.142857142857143</v>
      </c>
      <c r="Q92">
        <v>1.142857142857143</v>
      </c>
    </row>
    <row r="93" spans="3:17" ht="15" customHeight="1" x14ac:dyDescent="0.2">
      <c r="H93" s="42">
        <v>0.6</v>
      </c>
      <c r="I93" s="71">
        <f t="shared" si="21"/>
        <v>0.85714285714285721</v>
      </c>
      <c r="J93" s="139">
        <f t="shared" si="22"/>
        <v>0.85714285714285721</v>
      </c>
      <c r="M93" s="42">
        <v>0.75</v>
      </c>
      <c r="N93" s="71">
        <f t="shared" si="23"/>
        <v>1.0714285714285714</v>
      </c>
      <c r="O93" s="139">
        <f t="shared" si="24"/>
        <v>1.0714285714285714</v>
      </c>
      <c r="Q93">
        <v>1.0714285714285714</v>
      </c>
    </row>
    <row r="94" spans="3:17" ht="15" customHeight="1" x14ac:dyDescent="0.2">
      <c r="H94" s="42">
        <v>0.55000000000000004</v>
      </c>
      <c r="I94" s="71">
        <f t="shared" si="21"/>
        <v>0.78571428571428581</v>
      </c>
      <c r="J94" s="139">
        <f t="shared" si="22"/>
        <v>0.78571428571428581</v>
      </c>
      <c r="M94" s="42">
        <v>0.7</v>
      </c>
      <c r="N94" s="71">
        <f t="shared" si="23"/>
        <v>1</v>
      </c>
      <c r="O94" s="139">
        <f t="shared" si="24"/>
        <v>1</v>
      </c>
      <c r="Q94">
        <v>1</v>
      </c>
    </row>
    <row r="95" spans="3:17" ht="15" customHeight="1" x14ac:dyDescent="0.2">
      <c r="H95" s="42">
        <v>0.5</v>
      </c>
      <c r="I95" s="71">
        <f t="shared" si="21"/>
        <v>0.7142857142857143</v>
      </c>
      <c r="J95" s="139">
        <f t="shared" si="22"/>
        <v>0.7142857142857143</v>
      </c>
      <c r="M95" s="42">
        <v>0.65</v>
      </c>
      <c r="N95" s="71">
        <f t="shared" si="23"/>
        <v>0.92857142857142871</v>
      </c>
      <c r="O95" s="139">
        <f t="shared" si="24"/>
        <v>0.92857142857142871</v>
      </c>
      <c r="Q95">
        <v>0.92857142857142871</v>
      </c>
    </row>
    <row r="96" spans="3:17" ht="15" customHeight="1" x14ac:dyDescent="0.2">
      <c r="H96" s="42">
        <v>0.45</v>
      </c>
      <c r="I96" s="71">
        <f t="shared" si="21"/>
        <v>0.6428571428571429</v>
      </c>
      <c r="J96" s="139">
        <f t="shared" si="22"/>
        <v>0.6428571428571429</v>
      </c>
      <c r="M96" s="42">
        <v>0.6</v>
      </c>
      <c r="N96" s="71">
        <f t="shared" si="23"/>
        <v>0.85714285714285721</v>
      </c>
      <c r="O96" s="139">
        <f t="shared" si="24"/>
        <v>0.85714285714285721</v>
      </c>
      <c r="Q96">
        <v>0.85714285714285721</v>
      </c>
    </row>
    <row r="97" spans="8:17" ht="15" customHeight="1" x14ac:dyDescent="0.2">
      <c r="H97" s="42">
        <v>0.4</v>
      </c>
      <c r="I97" s="71">
        <f t="shared" si="21"/>
        <v>0.57142857142857151</v>
      </c>
      <c r="J97" s="139">
        <f t="shared" si="22"/>
        <v>0.57142857142857151</v>
      </c>
      <c r="M97" s="42">
        <v>0.55000000000000004</v>
      </c>
      <c r="N97" s="71">
        <f t="shared" si="23"/>
        <v>0.78571428571428581</v>
      </c>
      <c r="O97" s="139">
        <f t="shared" si="24"/>
        <v>0.78571428571428581</v>
      </c>
      <c r="Q97">
        <v>0.78571428571428581</v>
      </c>
    </row>
    <row r="98" spans="8:17" ht="15" customHeight="1" x14ac:dyDescent="0.2">
      <c r="H98" s="43">
        <v>0.35</v>
      </c>
      <c r="I98" s="72">
        <f t="shared" si="21"/>
        <v>0.5</v>
      </c>
      <c r="J98" s="141">
        <f t="shared" si="22"/>
        <v>0.5</v>
      </c>
      <c r="M98" s="43">
        <v>0.5</v>
      </c>
      <c r="N98" s="72">
        <f t="shared" si="23"/>
        <v>0.7142857142857143</v>
      </c>
      <c r="O98" s="141">
        <f t="shared" si="24"/>
        <v>0.7142857142857143</v>
      </c>
      <c r="Q98">
        <v>0.7142857142857143</v>
      </c>
    </row>
    <row r="99" spans="8:17" ht="15" customHeight="1" x14ac:dyDescent="0.2"/>
    <row r="100" spans="8:17" ht="15" customHeight="1" x14ac:dyDescent="0.2"/>
    <row r="101" spans="8:17" ht="15" customHeight="1" x14ac:dyDescent="0.2"/>
    <row r="102" spans="8:17" ht="15" customHeight="1" x14ac:dyDescent="0.2">
      <c r="H102" s="69" t="s">
        <v>47</v>
      </c>
      <c r="I102" s="70" t="s">
        <v>48</v>
      </c>
      <c r="J102" s="20"/>
    </row>
    <row r="103" spans="8:17" ht="15" customHeight="1" x14ac:dyDescent="0.2">
      <c r="H103" s="42">
        <v>0.85</v>
      </c>
      <c r="I103" s="71">
        <f>H103/$H$91</f>
        <v>1.2142857142857144</v>
      </c>
      <c r="J103" s="139">
        <f>I103</f>
        <v>1.2142857142857144</v>
      </c>
    </row>
    <row r="104" spans="8:17" ht="15" customHeight="1" x14ac:dyDescent="0.2">
      <c r="H104" s="42">
        <v>0.8</v>
      </c>
      <c r="I104" s="71">
        <f t="shared" ref="I104:I113" si="25">H104/$H$91</f>
        <v>1.142857142857143</v>
      </c>
      <c r="J104" s="139">
        <f t="shared" ref="J104:J113" si="26">I104</f>
        <v>1.142857142857143</v>
      </c>
    </row>
    <row r="105" spans="8:17" ht="15" customHeight="1" x14ac:dyDescent="0.2">
      <c r="H105" s="42">
        <v>0.75</v>
      </c>
      <c r="I105" s="71">
        <f t="shared" si="25"/>
        <v>1.0714285714285714</v>
      </c>
      <c r="J105" s="139">
        <f t="shared" si="26"/>
        <v>1.0714285714285714</v>
      </c>
    </row>
    <row r="106" spans="8:17" ht="15" customHeight="1" x14ac:dyDescent="0.2">
      <c r="H106" s="42">
        <v>0.7</v>
      </c>
      <c r="I106" s="71">
        <f t="shared" si="25"/>
        <v>1</v>
      </c>
      <c r="J106" s="139">
        <f t="shared" si="26"/>
        <v>1</v>
      </c>
    </row>
    <row r="107" spans="8:17" ht="15" customHeight="1" x14ac:dyDescent="0.2">
      <c r="H107" s="42">
        <v>0.65</v>
      </c>
      <c r="I107" s="71">
        <f t="shared" si="25"/>
        <v>0.92857142857142871</v>
      </c>
      <c r="J107" s="139">
        <f t="shared" si="26"/>
        <v>0.92857142857142871</v>
      </c>
    </row>
    <row r="108" spans="8:17" ht="15" customHeight="1" x14ac:dyDescent="0.2">
      <c r="H108" s="42">
        <v>0.6</v>
      </c>
      <c r="I108" s="71">
        <f t="shared" si="25"/>
        <v>0.85714285714285721</v>
      </c>
      <c r="J108" s="139">
        <f t="shared" si="26"/>
        <v>0.85714285714285721</v>
      </c>
    </row>
    <row r="109" spans="8:17" ht="15" customHeight="1" x14ac:dyDescent="0.2">
      <c r="H109" s="42">
        <v>0.55000000000000004</v>
      </c>
      <c r="I109" s="71">
        <f t="shared" si="25"/>
        <v>0.78571428571428581</v>
      </c>
      <c r="J109" s="139">
        <f t="shared" si="26"/>
        <v>0.78571428571428581</v>
      </c>
    </row>
    <row r="110" spans="8:17" ht="15" customHeight="1" x14ac:dyDescent="0.2">
      <c r="H110" s="42">
        <v>0.5</v>
      </c>
      <c r="I110" s="71">
        <f t="shared" si="25"/>
        <v>0.7142857142857143</v>
      </c>
      <c r="J110" s="139">
        <f t="shared" si="26"/>
        <v>0.7142857142857143</v>
      </c>
    </row>
    <row r="111" spans="8:17" ht="15" customHeight="1" x14ac:dyDescent="0.2">
      <c r="H111" s="42">
        <v>0.45</v>
      </c>
      <c r="I111" s="71">
        <f t="shared" si="25"/>
        <v>0.6428571428571429</v>
      </c>
      <c r="J111" s="139">
        <f t="shared" si="26"/>
        <v>0.6428571428571429</v>
      </c>
    </row>
    <row r="112" spans="8:17" ht="15" customHeight="1" x14ac:dyDescent="0.2">
      <c r="H112" s="42">
        <v>0.4</v>
      </c>
      <c r="I112" s="71">
        <f t="shared" si="25"/>
        <v>0.57142857142857151</v>
      </c>
      <c r="J112" s="139">
        <f t="shared" si="26"/>
        <v>0.57142857142857151</v>
      </c>
    </row>
    <row r="113" spans="8:10" ht="15" customHeight="1" x14ac:dyDescent="0.2">
      <c r="H113" s="43">
        <v>0.35</v>
      </c>
      <c r="I113" s="72">
        <f t="shared" si="25"/>
        <v>0.5</v>
      </c>
      <c r="J113" s="141">
        <f t="shared" si="26"/>
        <v>0.5</v>
      </c>
    </row>
    <row r="114" spans="8:10" ht="15" customHeight="1" x14ac:dyDescent="0.2"/>
    <row r="115" spans="8:10" ht="15" customHeight="1" x14ac:dyDescent="0.2"/>
    <row r="116" spans="8:10" ht="15" customHeight="1" x14ac:dyDescent="0.2"/>
    <row r="117" spans="8:10" ht="15" customHeight="1" x14ac:dyDescent="0.2"/>
    <row r="118" spans="8:10" ht="15" customHeight="1" x14ac:dyDescent="0.2"/>
    <row r="119" spans="8:10" ht="15" customHeight="1" x14ac:dyDescent="0.2"/>
    <row r="120" spans="8:10" ht="15" customHeight="1" x14ac:dyDescent="0.2"/>
    <row r="121" spans="8:10" ht="15" customHeight="1" x14ac:dyDescent="0.2"/>
    <row r="122" spans="8:10" ht="15" customHeight="1" x14ac:dyDescent="0.2"/>
    <row r="123" spans="8:10" ht="15" customHeight="1" x14ac:dyDescent="0.2"/>
    <row r="124" spans="8:10" ht="15" customHeight="1" x14ac:dyDescent="0.2"/>
    <row r="125" spans="8:10" ht="15" customHeight="1" x14ac:dyDescent="0.2"/>
    <row r="126" spans="8:10" ht="15" customHeight="1" x14ac:dyDescent="0.2"/>
    <row r="127" spans="8:10" ht="15" customHeight="1" x14ac:dyDescent="0.2"/>
    <row r="128" spans="8:10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</sheetData>
  <pageMargins left="0.45" right="0.45" top="0.5" bottom="0.5" header="0.3" footer="0.3"/>
  <pageSetup scale="96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>
    <pageSetUpPr fitToPage="1"/>
  </sheetPr>
  <dimension ref="A1:U156"/>
  <sheetViews>
    <sheetView showGridLines="0" topLeftCell="A10" zoomScale="80" zoomScaleNormal="80" workbookViewId="0">
      <selection activeCell="P42" sqref="P42"/>
    </sheetView>
  </sheetViews>
  <sheetFormatPr defaultRowHeight="12.75" x14ac:dyDescent="0.2"/>
  <cols>
    <col min="3" max="3" width="9.140625" customWidth="1"/>
    <col min="7" max="7" width="9.140625" customWidth="1"/>
    <col min="9" max="9" width="9.140625" customWidth="1"/>
    <col min="11" max="12" width="9.140625" customWidth="1"/>
    <col min="13" max="13" width="8.42578125" customWidth="1"/>
    <col min="15" max="15" width="9.140625" customWidth="1"/>
    <col min="20" max="20" width="9.140625" customWidth="1"/>
  </cols>
  <sheetData>
    <row r="1" spans="1:13" ht="15" customHeight="1" x14ac:dyDescent="0.2">
      <c r="K1" t="s">
        <v>90</v>
      </c>
    </row>
    <row r="2" spans="1:13" ht="15" customHeight="1" x14ac:dyDescent="0.2">
      <c r="A2" t="s">
        <v>55</v>
      </c>
      <c r="B2" s="11" t="s">
        <v>54</v>
      </c>
    </row>
    <row r="3" spans="1:13" ht="15" customHeight="1" x14ac:dyDescent="0.2"/>
    <row r="4" spans="1:13" ht="15" customHeight="1" x14ac:dyDescent="0.2">
      <c r="B4" s="15" t="s">
        <v>14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3" ht="15" customHeight="1" x14ac:dyDescent="0.2">
      <c r="B5" s="48" t="s">
        <v>58</v>
      </c>
    </row>
    <row r="6" spans="1:13" ht="15" customHeight="1" x14ac:dyDescent="0.2">
      <c r="B6" s="48" t="s">
        <v>60</v>
      </c>
    </row>
    <row r="7" spans="1:13" ht="15" customHeight="1" x14ac:dyDescent="0.2">
      <c r="B7" s="48" t="s">
        <v>59</v>
      </c>
    </row>
    <row r="8" spans="1:13" ht="15" customHeight="1" x14ac:dyDescent="0.2">
      <c r="B8" s="101" t="s">
        <v>71</v>
      </c>
    </row>
    <row r="9" spans="1:13" ht="15" customHeight="1" x14ac:dyDescent="0.2">
      <c r="B9" s="80"/>
    </row>
    <row r="10" spans="1:13" ht="15" customHeight="1" x14ac:dyDescent="0.2"/>
    <row r="11" spans="1:13" ht="15" customHeight="1" x14ac:dyDescent="0.2">
      <c r="B11" s="18" t="s">
        <v>15</v>
      </c>
      <c r="C11" s="19"/>
      <c r="D11" s="20"/>
      <c r="F11" s="78" t="s">
        <v>56</v>
      </c>
      <c r="J11" s="56" t="s">
        <v>23</v>
      </c>
      <c r="K11" s="57"/>
      <c r="L11" s="57"/>
      <c r="M11" s="58"/>
    </row>
    <row r="12" spans="1:13" ht="15" customHeight="1" x14ac:dyDescent="0.2">
      <c r="B12" s="21" t="s">
        <v>16</v>
      </c>
      <c r="C12" s="22" t="s">
        <v>19</v>
      </c>
      <c r="D12" s="23">
        <v>2.46</v>
      </c>
      <c r="F12" s="79" t="s">
        <v>57</v>
      </c>
      <c r="J12" s="33" t="s">
        <v>24</v>
      </c>
      <c r="K12" s="34" t="s">
        <v>26</v>
      </c>
      <c r="L12" s="19"/>
      <c r="M12" s="20"/>
    </row>
    <row r="13" spans="1:13" ht="15" customHeight="1" x14ac:dyDescent="0.2">
      <c r="B13" s="21" t="s">
        <v>17</v>
      </c>
      <c r="C13" s="22" t="s">
        <v>20</v>
      </c>
      <c r="D13" s="23">
        <v>5</v>
      </c>
      <c r="F13" s="27" t="s">
        <v>39</v>
      </c>
      <c r="G13" s="82" t="s">
        <v>62</v>
      </c>
      <c r="H13" s="28"/>
      <c r="J13" s="35" t="s">
        <v>25</v>
      </c>
      <c r="K13" s="36" t="s">
        <v>27</v>
      </c>
      <c r="M13" s="37"/>
    </row>
    <row r="14" spans="1:13" ht="15" customHeight="1" x14ac:dyDescent="0.2">
      <c r="B14" s="24" t="s">
        <v>18</v>
      </c>
      <c r="C14" s="25" t="s">
        <v>28</v>
      </c>
      <c r="D14" s="26">
        <v>85</v>
      </c>
      <c r="F14" s="55">
        <v>1</v>
      </c>
      <c r="G14" s="81" t="s">
        <v>61</v>
      </c>
      <c r="H14" s="83">
        <v>1.0900000000000001</v>
      </c>
      <c r="I14" s="83">
        <v>1.0900000000000001</v>
      </c>
      <c r="J14" s="59">
        <f>(D13*2.20462*25.4*12)/2</f>
        <v>1679.9204399999999</v>
      </c>
      <c r="K14" s="12">
        <f>H14*D$12*SQRT(4*D$14*J$14/32.2)/12</f>
        <v>29.760226951485009</v>
      </c>
      <c r="M14" s="37"/>
    </row>
    <row r="15" spans="1:13" ht="15" customHeight="1" x14ac:dyDescent="0.2">
      <c r="F15" s="55">
        <v>2</v>
      </c>
      <c r="G15" s="81" t="s">
        <v>61</v>
      </c>
      <c r="H15" s="84">
        <v>0.83</v>
      </c>
      <c r="I15" s="84">
        <v>0.83</v>
      </c>
      <c r="J15" s="60"/>
      <c r="K15" s="12">
        <f t="shared" ref="K15:K23" si="0">H15*D$12*SQRT(4*D$14*J$14/32.2)/12</f>
        <v>22.661457219938125</v>
      </c>
      <c r="M15" s="37"/>
    </row>
    <row r="16" spans="1:13" ht="15" customHeight="1" x14ac:dyDescent="0.2">
      <c r="F16" s="55">
        <v>3</v>
      </c>
      <c r="G16" s="81" t="s">
        <v>61</v>
      </c>
      <c r="H16" s="83">
        <v>0.72</v>
      </c>
      <c r="I16" s="83">
        <v>0.72</v>
      </c>
      <c r="J16" s="60"/>
      <c r="K16" s="12">
        <f t="shared" si="0"/>
        <v>19.658131564283675</v>
      </c>
      <c r="M16" s="37"/>
    </row>
    <row r="17" spans="6:21" ht="15" customHeight="1" x14ac:dyDescent="0.2">
      <c r="F17" s="55">
        <v>4</v>
      </c>
      <c r="G17" s="81" t="s">
        <v>61</v>
      </c>
      <c r="H17" s="83">
        <v>0.64</v>
      </c>
      <c r="I17" s="83">
        <v>0.64</v>
      </c>
      <c r="J17" s="60"/>
      <c r="K17" s="12">
        <f t="shared" si="0"/>
        <v>17.473894723807714</v>
      </c>
      <c r="M17" s="37"/>
    </row>
    <row r="18" spans="6:21" ht="15" customHeight="1" x14ac:dyDescent="0.2">
      <c r="F18" s="55">
        <v>5</v>
      </c>
      <c r="G18" s="81" t="s">
        <v>61</v>
      </c>
      <c r="H18" s="84">
        <v>0.59</v>
      </c>
      <c r="I18" s="84">
        <v>0.59</v>
      </c>
      <c r="J18" s="60"/>
      <c r="K18" s="12">
        <f t="shared" si="0"/>
        <v>16.108746698510235</v>
      </c>
      <c r="M18" s="37"/>
    </row>
    <row r="19" spans="6:21" ht="15" customHeight="1" x14ac:dyDescent="0.2">
      <c r="F19" s="55">
        <v>10</v>
      </c>
      <c r="G19" s="81" t="s">
        <v>61</v>
      </c>
      <c r="H19" s="83">
        <v>0.48</v>
      </c>
      <c r="I19" s="83">
        <v>0.48</v>
      </c>
      <c r="J19" s="60"/>
      <c r="K19" s="12">
        <f t="shared" si="0"/>
        <v>13.105421042855783</v>
      </c>
      <c r="M19" s="37"/>
    </row>
    <row r="20" spans="6:21" ht="15" customHeight="1" x14ac:dyDescent="0.2">
      <c r="F20" s="55">
        <v>20</v>
      </c>
      <c r="G20" s="81" t="s">
        <v>61</v>
      </c>
      <c r="H20" s="83">
        <v>0.4</v>
      </c>
      <c r="I20" s="83">
        <v>0.4</v>
      </c>
      <c r="J20" s="60"/>
      <c r="K20" s="12">
        <f t="shared" si="0"/>
        <v>10.92118420237982</v>
      </c>
      <c r="M20" s="37"/>
    </row>
    <row r="21" spans="6:21" ht="15" customHeight="1" x14ac:dyDescent="0.2">
      <c r="F21" s="55">
        <v>30</v>
      </c>
      <c r="G21" s="81" t="s">
        <v>61</v>
      </c>
      <c r="H21" s="83">
        <v>0.36</v>
      </c>
      <c r="I21" s="83">
        <v>0.36</v>
      </c>
      <c r="J21" s="60"/>
      <c r="K21" s="12">
        <f t="shared" si="0"/>
        <v>9.8290657821418375</v>
      </c>
      <c r="M21" s="37"/>
    </row>
    <row r="22" spans="6:21" ht="15" customHeight="1" x14ac:dyDescent="0.2">
      <c r="F22" s="55">
        <v>40</v>
      </c>
      <c r="G22" s="81" t="s">
        <v>61</v>
      </c>
      <c r="H22" s="83">
        <v>0.33</v>
      </c>
      <c r="I22" s="83">
        <v>0.33</v>
      </c>
      <c r="J22" s="60"/>
      <c r="K22" s="12">
        <f t="shared" si="0"/>
        <v>9.009976966963352</v>
      </c>
      <c r="M22" s="37"/>
    </row>
    <row r="23" spans="6:21" ht="15" customHeight="1" x14ac:dyDescent="0.2">
      <c r="F23" s="55">
        <v>50</v>
      </c>
      <c r="G23" s="81" t="s">
        <v>61</v>
      </c>
      <c r="H23" s="84">
        <v>0.31</v>
      </c>
      <c r="I23" s="84">
        <v>0.31</v>
      </c>
      <c r="J23" s="61"/>
      <c r="K23" s="39">
        <f t="shared" si="0"/>
        <v>8.46391775684436</v>
      </c>
      <c r="L23" s="40"/>
      <c r="M23" s="29"/>
    </row>
    <row r="24" spans="6:21" ht="15" customHeight="1" x14ac:dyDescent="0.2">
      <c r="R24" s="100">
        <f>D12</f>
        <v>2.46</v>
      </c>
      <c r="S24" s="1" t="s">
        <v>6</v>
      </c>
    </row>
    <row r="25" spans="6:21" ht="15" customHeight="1" x14ac:dyDescent="0.2">
      <c r="J25" s="1" t="s">
        <v>63</v>
      </c>
      <c r="R25" s="100">
        <f t="shared" ref="R25:R26" si="1">D13</f>
        <v>5</v>
      </c>
      <c r="S25" t="s">
        <v>0</v>
      </c>
    </row>
    <row r="26" spans="6:21" ht="15" customHeight="1" x14ac:dyDescent="0.2">
      <c r="J26" s="56" t="s">
        <v>29</v>
      </c>
      <c r="K26" s="57"/>
      <c r="L26" s="58"/>
      <c r="N26" s="87">
        <v>1.7829999999999999</v>
      </c>
      <c r="R26" s="100">
        <f t="shared" si="1"/>
        <v>85</v>
      </c>
      <c r="S26" s="1" t="s">
        <v>1</v>
      </c>
    </row>
    <row r="27" spans="6:21" ht="15" customHeight="1" x14ac:dyDescent="0.2">
      <c r="J27" s="33" t="s">
        <v>30</v>
      </c>
      <c r="K27" s="34" t="s">
        <v>32</v>
      </c>
      <c r="L27" s="41"/>
      <c r="N27" s="86" t="s">
        <v>50</v>
      </c>
      <c r="S27" s="1" t="s">
        <v>70</v>
      </c>
    </row>
    <row r="28" spans="6:21" ht="15" customHeight="1" x14ac:dyDescent="0.2">
      <c r="J28" s="35" t="s">
        <v>31</v>
      </c>
      <c r="K28" s="36" t="s">
        <v>33</v>
      </c>
      <c r="L28" s="23"/>
      <c r="M28" s="36" t="s">
        <v>64</v>
      </c>
      <c r="N28" s="36" t="s">
        <v>65</v>
      </c>
      <c r="R28" s="4" t="s">
        <v>2</v>
      </c>
      <c r="S28" s="64" t="s">
        <v>68</v>
      </c>
      <c r="T28" s="52" t="s">
        <v>37</v>
      </c>
      <c r="U28" s="5" t="s">
        <v>69</v>
      </c>
    </row>
    <row r="29" spans="6:21" ht="15" customHeight="1" x14ac:dyDescent="0.2">
      <c r="J29" s="42">
        <v>1</v>
      </c>
      <c r="K29" s="12">
        <f>J29*K14</f>
        <v>29.760226951485009</v>
      </c>
      <c r="L29" s="23"/>
      <c r="M29" s="99">
        <v>42.473438744495915</v>
      </c>
      <c r="N29" s="99">
        <f t="shared" ref="N29:N38" si="2">K29*$N$26</f>
        <v>53.062484654497766</v>
      </c>
      <c r="R29" s="93">
        <v>1</v>
      </c>
      <c r="S29" s="93">
        <f>N29</f>
        <v>53.062484654497766</v>
      </c>
      <c r="T29" s="93">
        <f>S29/R29</f>
        <v>53.062484654497766</v>
      </c>
      <c r="U29" s="96">
        <f>SQRT(12*32.2*T29^2/(4*$D$14*($D$13*56)*$D$12^2))</f>
        <v>1.3742082755880367</v>
      </c>
    </row>
    <row r="30" spans="6:21" ht="15" customHeight="1" x14ac:dyDescent="0.2">
      <c r="J30" s="46">
        <v>2</v>
      </c>
      <c r="K30" s="47">
        <f t="shared" ref="K30:K38" si="3">J30*K15</f>
        <v>45.32291443987625</v>
      </c>
      <c r="L30" s="23"/>
      <c r="M30" s="94">
        <v>64.096280287148389</v>
      </c>
      <c r="N30" s="94">
        <f t="shared" si="2"/>
        <v>80.810756446299351</v>
      </c>
      <c r="R30" s="94">
        <v>2</v>
      </c>
      <c r="S30" s="94">
        <f t="shared" ref="S30:S38" si="4">N30</f>
        <v>80.810756446299351</v>
      </c>
      <c r="T30" s="94">
        <f t="shared" ref="T30:T38" si="5">S30/R30</f>
        <v>40.405378223149675</v>
      </c>
      <c r="U30" s="97">
        <f t="shared" ref="U30:U38" si="6">SQRT(12*32.2*T30^2/(4*$D$14*($D$13*56)*$D$12^2))</f>
        <v>1.0464154759064868</v>
      </c>
    </row>
    <row r="31" spans="6:21" ht="15" customHeight="1" x14ac:dyDescent="0.2">
      <c r="J31" s="42">
        <v>3</v>
      </c>
      <c r="K31" s="44">
        <f t="shared" si="3"/>
        <v>58.974394692851021</v>
      </c>
      <c r="L31" s="23"/>
      <c r="M31" s="93">
        <v>83.402388807373796</v>
      </c>
      <c r="N31" s="93">
        <f t="shared" si="2"/>
        <v>105.15134573735337</v>
      </c>
      <c r="R31" s="93">
        <v>3</v>
      </c>
      <c r="S31" s="93">
        <f t="shared" si="4"/>
        <v>105.15134573735337</v>
      </c>
      <c r="T31" s="93">
        <f t="shared" si="5"/>
        <v>35.050448579117791</v>
      </c>
      <c r="U31" s="96">
        <f t="shared" si="6"/>
        <v>0.9077339068104463</v>
      </c>
    </row>
    <row r="32" spans="6:21" ht="15" customHeight="1" x14ac:dyDescent="0.2">
      <c r="J32" s="42">
        <v>4</v>
      </c>
      <c r="K32" s="44">
        <f t="shared" si="3"/>
        <v>69.895578895230855</v>
      </c>
      <c r="L32" s="23"/>
      <c r="M32" s="93">
        <v>98.84727562355414</v>
      </c>
      <c r="N32" s="93">
        <f t="shared" si="2"/>
        <v>124.6238171701966</v>
      </c>
      <c r="R32" s="93">
        <v>4</v>
      </c>
      <c r="S32" s="93">
        <f t="shared" si="4"/>
        <v>124.6238171701966</v>
      </c>
      <c r="T32" s="93">
        <f t="shared" si="5"/>
        <v>31.155954292549151</v>
      </c>
      <c r="U32" s="96">
        <f t="shared" si="6"/>
        <v>0.8068745838315079</v>
      </c>
    </row>
    <row r="33" spans="7:21" ht="15" customHeight="1" x14ac:dyDescent="0.2">
      <c r="J33" s="46">
        <v>5</v>
      </c>
      <c r="K33" s="47">
        <f t="shared" si="3"/>
        <v>80.543733492551169</v>
      </c>
      <c r="L33" s="23"/>
      <c r="M33" s="94">
        <v>113.90604026932996</v>
      </c>
      <c r="N33" s="94">
        <f t="shared" si="2"/>
        <v>143.60947681721873</v>
      </c>
      <c r="R33" s="94">
        <v>5</v>
      </c>
      <c r="S33" s="94">
        <f t="shared" si="4"/>
        <v>143.60947681721873</v>
      </c>
      <c r="T33" s="94">
        <f t="shared" si="5"/>
        <v>28.721895363443746</v>
      </c>
      <c r="U33" s="97">
        <f t="shared" si="6"/>
        <v>0.74383750696967132</v>
      </c>
    </row>
    <row r="34" spans="7:21" ht="15" customHeight="1" x14ac:dyDescent="0.2">
      <c r="J34" s="42">
        <v>10</v>
      </c>
      <c r="K34" s="44">
        <f t="shared" si="3"/>
        <v>131.05421042855784</v>
      </c>
      <c r="L34" s="23"/>
      <c r="M34" s="95">
        <v>185.33864179416398</v>
      </c>
      <c r="N34" s="95">
        <f t="shared" si="2"/>
        <v>233.66965719411863</v>
      </c>
      <c r="R34" s="95">
        <v>10</v>
      </c>
      <c r="S34" s="95">
        <f t="shared" si="4"/>
        <v>233.66965719411863</v>
      </c>
      <c r="T34" s="95">
        <f t="shared" si="5"/>
        <v>23.366965719411862</v>
      </c>
      <c r="U34" s="98">
        <f t="shared" si="6"/>
        <v>0.60515593787363087</v>
      </c>
    </row>
    <row r="35" spans="7:21" ht="15" customHeight="1" x14ac:dyDescent="0.2">
      <c r="J35" s="42">
        <v>20</v>
      </c>
      <c r="K35" s="44">
        <f t="shared" si="3"/>
        <v>218.4236840475964</v>
      </c>
      <c r="L35" s="23"/>
      <c r="M35" s="93">
        <v>308.89773632360669</v>
      </c>
      <c r="N35" s="93">
        <f t="shared" si="2"/>
        <v>389.44942865686437</v>
      </c>
      <c r="R35" s="93">
        <v>20</v>
      </c>
      <c r="S35" s="93">
        <f t="shared" si="4"/>
        <v>389.44942865686437</v>
      </c>
      <c r="T35" s="93">
        <f t="shared" si="5"/>
        <v>19.472471432843218</v>
      </c>
      <c r="U35" s="96">
        <f t="shared" si="6"/>
        <v>0.50429661489469235</v>
      </c>
    </row>
    <row r="36" spans="7:21" ht="15" customHeight="1" x14ac:dyDescent="0.2">
      <c r="J36" s="42">
        <v>30</v>
      </c>
      <c r="K36" s="44">
        <f t="shared" si="3"/>
        <v>294.87197346425512</v>
      </c>
      <c r="L36" s="23"/>
      <c r="M36" s="93">
        <v>417.01194403686901</v>
      </c>
      <c r="N36" s="93">
        <f t="shared" si="2"/>
        <v>525.75672868676691</v>
      </c>
      <c r="R36" s="93">
        <v>30</v>
      </c>
      <c r="S36" s="93">
        <f t="shared" si="4"/>
        <v>525.75672868676691</v>
      </c>
      <c r="T36" s="93">
        <f t="shared" si="5"/>
        <v>17.525224289558896</v>
      </c>
      <c r="U36" s="96">
        <f t="shared" si="6"/>
        <v>0.45386695340522315</v>
      </c>
    </row>
    <row r="37" spans="7:21" ht="15" customHeight="1" x14ac:dyDescent="0.2">
      <c r="J37" s="42">
        <v>40</v>
      </c>
      <c r="K37" s="44">
        <f t="shared" si="3"/>
        <v>360.39907867853407</v>
      </c>
      <c r="L37" s="23"/>
      <c r="M37" s="93">
        <v>509.68126493395113</v>
      </c>
      <c r="N37" s="93">
        <f t="shared" si="2"/>
        <v>642.59155728382621</v>
      </c>
      <c r="R37" s="93">
        <v>40</v>
      </c>
      <c r="S37" s="93">
        <f t="shared" si="4"/>
        <v>642.59155728382621</v>
      </c>
      <c r="T37" s="93">
        <f t="shared" si="5"/>
        <v>16.064788932095656</v>
      </c>
      <c r="U37" s="96">
        <f t="shared" si="6"/>
        <v>0.41604470728812126</v>
      </c>
    </row>
    <row r="38" spans="7:21" ht="15" customHeight="1" x14ac:dyDescent="0.2">
      <c r="J38" s="91">
        <v>50</v>
      </c>
      <c r="K38" s="92">
        <f t="shared" si="3"/>
        <v>423.19588784221799</v>
      </c>
      <c r="L38" s="26"/>
      <c r="M38" s="94">
        <v>598.48936412698788</v>
      </c>
      <c r="N38" s="94">
        <f t="shared" si="2"/>
        <v>754.55826802267461</v>
      </c>
      <c r="R38" s="94">
        <v>50</v>
      </c>
      <c r="S38" s="94">
        <f t="shared" si="4"/>
        <v>754.55826802267461</v>
      </c>
      <c r="T38" s="94">
        <f t="shared" si="5"/>
        <v>15.091165360453493</v>
      </c>
      <c r="U38" s="97">
        <f t="shared" si="6"/>
        <v>0.39082987654338658</v>
      </c>
    </row>
    <row r="39" spans="7:21" ht="15" customHeight="1" x14ac:dyDescent="0.2">
      <c r="J39" s="88" t="s">
        <v>67</v>
      </c>
      <c r="K39" s="89">
        <f>K34/K29</f>
        <v>4.4036697247706424</v>
      </c>
      <c r="L39" s="2"/>
      <c r="N39" s="89">
        <f>N34/N29</f>
        <v>4.4036697247706424</v>
      </c>
      <c r="R39" s="88" t="s">
        <v>67</v>
      </c>
      <c r="S39" s="89">
        <f>S34/S29</f>
        <v>4.4036697247706424</v>
      </c>
    </row>
    <row r="40" spans="7:21" ht="15" customHeight="1" x14ac:dyDescent="0.2">
      <c r="J40" s="90" t="s">
        <v>66</v>
      </c>
      <c r="K40" s="89">
        <f>K38/K34</f>
        <v>3.2291666666666665</v>
      </c>
      <c r="L40" s="2"/>
      <c r="N40" s="89">
        <f>N38/N34</f>
        <v>3.2291666666666661</v>
      </c>
      <c r="R40" s="90" t="s">
        <v>66</v>
      </c>
      <c r="S40" s="89">
        <f>S38/S34</f>
        <v>3.2291666666666661</v>
      </c>
    </row>
    <row r="41" spans="7:21" ht="15" customHeight="1" x14ac:dyDescent="0.2">
      <c r="J41" s="2"/>
      <c r="K41" s="12"/>
      <c r="L41" s="2"/>
    </row>
    <row r="42" spans="7:21" ht="15" customHeight="1" x14ac:dyDescent="0.2"/>
    <row r="43" spans="7:21" ht="15" customHeight="1" x14ac:dyDescent="0.2"/>
    <row r="44" spans="7:21" ht="15" customHeight="1" x14ac:dyDescent="0.2"/>
    <row r="45" spans="7:21" ht="15" customHeight="1" x14ac:dyDescent="0.2"/>
    <row r="46" spans="7:21" ht="15" customHeight="1" x14ac:dyDescent="0.2"/>
    <row r="47" spans="7:21" ht="15" customHeight="1" x14ac:dyDescent="0.2">
      <c r="G47" s="107" t="s">
        <v>85</v>
      </c>
      <c r="H47" s="103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2"/>
      <c r="T47" s="32"/>
    </row>
    <row r="48" spans="7:21" ht="15" customHeight="1" x14ac:dyDescent="0.2">
      <c r="G48" s="102"/>
      <c r="H48" s="19"/>
      <c r="I48" s="19"/>
      <c r="J48" s="104" t="s">
        <v>72</v>
      </c>
      <c r="K48" s="105">
        <v>1.075</v>
      </c>
      <c r="L48" s="19"/>
      <c r="M48" s="19"/>
      <c r="N48" s="19"/>
      <c r="O48" s="19"/>
      <c r="P48" s="19"/>
      <c r="Q48" s="19"/>
      <c r="R48" s="19"/>
      <c r="S48" s="19"/>
      <c r="T48" s="20"/>
    </row>
    <row r="49" spans="7:20" ht="15" customHeight="1" x14ac:dyDescent="0.2">
      <c r="G49" s="113" t="s">
        <v>84</v>
      </c>
      <c r="H49" s="110">
        <f>I49/$K$48</f>
        <v>0.80496056950960304</v>
      </c>
      <c r="I49" s="110">
        <f>J49/$K$48</f>
        <v>0.86533261222282321</v>
      </c>
      <c r="J49" s="110">
        <f>K49/$K$48</f>
        <v>0.93023255813953487</v>
      </c>
      <c r="K49" s="111">
        <v>1</v>
      </c>
      <c r="L49" s="110">
        <f t="shared" ref="L49:S49" si="7">K49*$K$48</f>
        <v>1.075</v>
      </c>
      <c r="M49" s="110">
        <f t="shared" si="7"/>
        <v>1.1556249999999999</v>
      </c>
      <c r="N49" s="110">
        <f t="shared" si="7"/>
        <v>1.2422968749999999</v>
      </c>
      <c r="O49" s="110">
        <f t="shared" si="7"/>
        <v>1.3354691406249999</v>
      </c>
      <c r="P49" s="110">
        <f t="shared" si="7"/>
        <v>1.4356293261718749</v>
      </c>
      <c r="Q49" s="110">
        <f t="shared" si="7"/>
        <v>1.5433015256347655</v>
      </c>
      <c r="R49" s="110">
        <f t="shared" si="7"/>
        <v>1.6590491400573728</v>
      </c>
      <c r="S49" s="110">
        <f t="shared" si="7"/>
        <v>1.7834778255616757</v>
      </c>
      <c r="T49" s="29"/>
    </row>
    <row r="50" spans="7:20" ht="15" customHeight="1" x14ac:dyDescent="0.2">
      <c r="G50" s="114" t="s">
        <v>39</v>
      </c>
      <c r="H50" s="112" t="s">
        <v>87</v>
      </c>
      <c r="I50" s="108" t="s">
        <v>73</v>
      </c>
      <c r="J50" s="108" t="s">
        <v>74</v>
      </c>
      <c r="K50" s="108" t="s">
        <v>75</v>
      </c>
      <c r="L50" s="108" t="s">
        <v>76</v>
      </c>
      <c r="M50" s="108" t="s">
        <v>77</v>
      </c>
      <c r="N50" s="108" t="s">
        <v>78</v>
      </c>
      <c r="O50" s="108" t="s">
        <v>79</v>
      </c>
      <c r="P50" s="108" t="s">
        <v>80</v>
      </c>
      <c r="Q50" s="108" t="s">
        <v>81</v>
      </c>
      <c r="R50" s="108" t="s">
        <v>82</v>
      </c>
      <c r="S50" s="108" t="s">
        <v>83</v>
      </c>
      <c r="T50" s="20"/>
    </row>
    <row r="51" spans="7:20" ht="15" customHeight="1" x14ac:dyDescent="0.2">
      <c r="G51" s="115">
        <v>1</v>
      </c>
      <c r="H51" s="125">
        <f>$K51*H49</f>
        <v>0.87740702076546739</v>
      </c>
      <c r="I51" s="125">
        <f>$K51*I49</f>
        <v>0.9432125473228774</v>
      </c>
      <c r="J51" s="125">
        <f>$K51*J49</f>
        <v>1.0139534883720931</v>
      </c>
      <c r="K51" s="106">
        <v>1.0900000000000001</v>
      </c>
      <c r="L51" s="125">
        <f t="shared" ref="L51:S51" si="8">$K51*L49</f>
        <v>1.1717500000000001</v>
      </c>
      <c r="M51" s="125">
        <f t="shared" si="8"/>
        <v>1.25963125</v>
      </c>
      <c r="N51" s="125">
        <f t="shared" si="8"/>
        <v>1.3541035937499999</v>
      </c>
      <c r="O51" s="125">
        <f t="shared" si="8"/>
        <v>1.4556613632812501</v>
      </c>
      <c r="P51" s="125">
        <f t="shared" si="8"/>
        <v>1.5648359655273438</v>
      </c>
      <c r="Q51" s="125">
        <f t="shared" si="8"/>
        <v>1.6821986629418946</v>
      </c>
      <c r="R51" s="125">
        <f t="shared" si="8"/>
        <v>1.8083635626625365</v>
      </c>
      <c r="S51" s="125">
        <f t="shared" si="8"/>
        <v>1.9439908298622266</v>
      </c>
      <c r="T51" s="37" t="s">
        <v>86</v>
      </c>
    </row>
    <row r="52" spans="7:20" ht="15" customHeight="1" x14ac:dyDescent="0.2">
      <c r="G52" s="116">
        <v>2</v>
      </c>
      <c r="H52" s="97">
        <f t="shared" ref="H52:J60" si="9">$K52*H$49</f>
        <v>0.6681014524431037</v>
      </c>
      <c r="I52" s="97">
        <f t="shared" si="9"/>
        <v>0.71820906137633644</v>
      </c>
      <c r="J52" s="97">
        <f t="shared" si="9"/>
        <v>0.77207474097956164</v>
      </c>
      <c r="K52" s="126">
        <v>0.82998034655302877</v>
      </c>
      <c r="L52" s="97">
        <f t="shared" ref="L52:S60" si="10">$K52*L$49</f>
        <v>0.89222887254450589</v>
      </c>
      <c r="M52" s="97">
        <f t="shared" si="10"/>
        <v>0.95914603798534381</v>
      </c>
      <c r="N52" s="97">
        <f t="shared" si="10"/>
        <v>1.0310819908342446</v>
      </c>
      <c r="O52" s="97">
        <f t="shared" si="10"/>
        <v>1.1084131401468129</v>
      </c>
      <c r="P52" s="97">
        <f t="shared" si="10"/>
        <v>1.1915441256578239</v>
      </c>
      <c r="Q52" s="97">
        <f t="shared" si="10"/>
        <v>1.2809099350821607</v>
      </c>
      <c r="R52" s="97">
        <f t="shared" si="10"/>
        <v>1.3769781802133227</v>
      </c>
      <c r="S52" s="97">
        <f t="shared" si="10"/>
        <v>1.4802515437293218</v>
      </c>
      <c r="T52" s="37"/>
    </row>
    <row r="53" spans="7:20" ht="15" customHeight="1" x14ac:dyDescent="0.2">
      <c r="G53" s="116">
        <v>3</v>
      </c>
      <c r="H53" s="96">
        <f t="shared" si="9"/>
        <v>0.57955788645666828</v>
      </c>
      <c r="I53" s="96">
        <f t="shared" si="9"/>
        <v>0.62302472794091834</v>
      </c>
      <c r="J53" s="96">
        <f t="shared" si="9"/>
        <v>0.66975158253648714</v>
      </c>
      <c r="K53" s="127">
        <v>0.71998295122672373</v>
      </c>
      <c r="L53" s="96">
        <f t="shared" si="10"/>
        <v>0.77398167256872796</v>
      </c>
      <c r="M53" s="96">
        <f t="shared" si="10"/>
        <v>0.83203029801138251</v>
      </c>
      <c r="N53" s="96">
        <f t="shared" si="10"/>
        <v>0.89443257036223622</v>
      </c>
      <c r="O53" s="96">
        <f t="shared" si="10"/>
        <v>0.96151501313940391</v>
      </c>
      <c r="P53" s="96">
        <f t="shared" si="10"/>
        <v>1.0336286391248592</v>
      </c>
      <c r="Q53" s="96">
        <f t="shared" si="10"/>
        <v>1.1111507870592237</v>
      </c>
      <c r="R53" s="96">
        <f t="shared" si="10"/>
        <v>1.1944870960886653</v>
      </c>
      <c r="S53" s="96">
        <f t="shared" si="10"/>
        <v>1.2840736282953151</v>
      </c>
      <c r="T53" s="37"/>
    </row>
    <row r="54" spans="7:20" ht="15" customHeight="1" x14ac:dyDescent="0.2">
      <c r="G54" s="116">
        <v>4</v>
      </c>
      <c r="H54" s="96">
        <f t="shared" si="9"/>
        <v>0.51516256573926067</v>
      </c>
      <c r="I54" s="96">
        <f t="shared" si="9"/>
        <v>0.55379975816970528</v>
      </c>
      <c r="J54" s="96">
        <f t="shared" si="9"/>
        <v>0.59533474003243303</v>
      </c>
      <c r="K54" s="127">
        <v>0.63998484553486557</v>
      </c>
      <c r="L54" s="96">
        <f t="shared" si="10"/>
        <v>0.6879837089499804</v>
      </c>
      <c r="M54" s="96">
        <f t="shared" si="10"/>
        <v>0.73958248712122898</v>
      </c>
      <c r="N54" s="96">
        <f t="shared" si="10"/>
        <v>0.79505117365532108</v>
      </c>
      <c r="O54" s="96">
        <f t="shared" si="10"/>
        <v>0.85468001167947016</v>
      </c>
      <c r="P54" s="96">
        <f t="shared" si="10"/>
        <v>0.91878101255543043</v>
      </c>
      <c r="Q54" s="96">
        <f t="shared" si="10"/>
        <v>0.98768958849708777</v>
      </c>
      <c r="R54" s="96">
        <f t="shared" si="10"/>
        <v>1.0617663076343693</v>
      </c>
      <c r="S54" s="96">
        <f t="shared" si="10"/>
        <v>1.141398780706947</v>
      </c>
      <c r="T54" s="37"/>
    </row>
    <row r="55" spans="7:20" ht="15" customHeight="1" x14ac:dyDescent="0.2">
      <c r="G55" s="116">
        <v>5</v>
      </c>
      <c r="H55" s="97">
        <f t="shared" si="9"/>
        <v>0.47491549029088093</v>
      </c>
      <c r="I55" s="97">
        <f t="shared" si="9"/>
        <v>0.51053415206269692</v>
      </c>
      <c r="J55" s="97">
        <f t="shared" si="9"/>
        <v>0.54882421346739918</v>
      </c>
      <c r="K55" s="126">
        <v>0.58998602947745415</v>
      </c>
      <c r="L55" s="97">
        <f t="shared" si="10"/>
        <v>0.6342349816882632</v>
      </c>
      <c r="M55" s="97">
        <f t="shared" si="10"/>
        <v>0.6818026053148829</v>
      </c>
      <c r="N55" s="97">
        <f t="shared" si="10"/>
        <v>0.73293780071349912</v>
      </c>
      <c r="O55" s="97">
        <f t="shared" si="10"/>
        <v>0.78790813576701157</v>
      </c>
      <c r="P55" s="97">
        <f t="shared" si="10"/>
        <v>0.84700124594953741</v>
      </c>
      <c r="Q55" s="97">
        <f t="shared" si="10"/>
        <v>0.91052633939575278</v>
      </c>
      <c r="R55" s="97">
        <f t="shared" si="10"/>
        <v>0.97881581485043412</v>
      </c>
      <c r="S55" s="97">
        <f t="shared" si="10"/>
        <v>1.0522270009642167</v>
      </c>
      <c r="T55" s="37"/>
    </row>
    <row r="56" spans="7:20" ht="15" customHeight="1" x14ac:dyDescent="0.2">
      <c r="G56" s="116">
        <v>10</v>
      </c>
      <c r="H56" s="98">
        <f t="shared" si="9"/>
        <v>0.3863719243044455</v>
      </c>
      <c r="I56" s="98">
        <f t="shared" si="9"/>
        <v>0.41534981862727888</v>
      </c>
      <c r="J56" s="98">
        <f t="shared" si="9"/>
        <v>0.44650105502432474</v>
      </c>
      <c r="K56" s="128">
        <v>0.47998863415114912</v>
      </c>
      <c r="L56" s="98">
        <f t="shared" si="10"/>
        <v>0.51598778171248527</v>
      </c>
      <c r="M56" s="98">
        <f t="shared" si="10"/>
        <v>0.5546868653409216</v>
      </c>
      <c r="N56" s="98">
        <f t="shared" si="10"/>
        <v>0.59628838024149078</v>
      </c>
      <c r="O56" s="98">
        <f t="shared" si="10"/>
        <v>0.64101000875960257</v>
      </c>
      <c r="P56" s="98">
        <f t="shared" si="10"/>
        <v>0.6890857594165728</v>
      </c>
      <c r="Q56" s="98">
        <f t="shared" si="10"/>
        <v>0.74076719137281577</v>
      </c>
      <c r="R56" s="98">
        <f t="shared" si="10"/>
        <v>0.79632473072577692</v>
      </c>
      <c r="S56" s="98">
        <f t="shared" si="10"/>
        <v>0.85604908553021009</v>
      </c>
      <c r="T56" s="37"/>
    </row>
    <row r="57" spans="7:20" ht="15" customHeight="1" x14ac:dyDescent="0.2">
      <c r="G57" s="116">
        <v>20</v>
      </c>
      <c r="H57" s="96">
        <f t="shared" si="9"/>
        <v>0.32197660358703795</v>
      </c>
      <c r="I57" s="96">
        <f t="shared" si="9"/>
        <v>0.34612484885606581</v>
      </c>
      <c r="J57" s="96">
        <f t="shared" si="9"/>
        <v>0.37208421252027069</v>
      </c>
      <c r="K57" s="127">
        <v>0.39999052845929101</v>
      </c>
      <c r="L57" s="96">
        <f t="shared" si="10"/>
        <v>0.42998981809373782</v>
      </c>
      <c r="M57" s="96">
        <f t="shared" si="10"/>
        <v>0.46223905445076813</v>
      </c>
      <c r="N57" s="96">
        <f t="shared" si="10"/>
        <v>0.49690698353457574</v>
      </c>
      <c r="O57" s="96">
        <f t="shared" si="10"/>
        <v>0.53417500729966894</v>
      </c>
      <c r="P57" s="96">
        <f t="shared" si="10"/>
        <v>0.57423813284714409</v>
      </c>
      <c r="Q57" s="96">
        <f t="shared" si="10"/>
        <v>0.61730599281067988</v>
      </c>
      <c r="R57" s="96">
        <f t="shared" si="10"/>
        <v>0.6636039422714809</v>
      </c>
      <c r="S57" s="96">
        <f t="shared" si="10"/>
        <v>0.71337423794184185</v>
      </c>
      <c r="T57" s="37"/>
    </row>
    <row r="58" spans="7:20" ht="15" customHeight="1" x14ac:dyDescent="0.2">
      <c r="G58" s="116">
        <v>30</v>
      </c>
      <c r="H58" s="96">
        <f t="shared" si="9"/>
        <v>0.28977894322833414</v>
      </c>
      <c r="I58" s="96">
        <f t="shared" si="9"/>
        <v>0.31151236397045917</v>
      </c>
      <c r="J58" s="96">
        <f t="shared" si="9"/>
        <v>0.33487579126824357</v>
      </c>
      <c r="K58" s="127">
        <v>0.35999147561336187</v>
      </c>
      <c r="L58" s="96">
        <f t="shared" si="10"/>
        <v>0.38699083628436398</v>
      </c>
      <c r="M58" s="96">
        <f t="shared" si="10"/>
        <v>0.41601514900569125</v>
      </c>
      <c r="N58" s="96">
        <f t="shared" si="10"/>
        <v>0.44721628518111811</v>
      </c>
      <c r="O58" s="96">
        <f t="shared" si="10"/>
        <v>0.48075750656970195</v>
      </c>
      <c r="P58" s="96">
        <f t="shared" si="10"/>
        <v>0.51681431956242962</v>
      </c>
      <c r="Q58" s="96">
        <f t="shared" si="10"/>
        <v>0.55557539352961183</v>
      </c>
      <c r="R58" s="96">
        <f t="shared" si="10"/>
        <v>0.59724354804433266</v>
      </c>
      <c r="S58" s="96">
        <f t="shared" si="10"/>
        <v>0.64203681414765756</v>
      </c>
      <c r="T58" s="37"/>
    </row>
    <row r="59" spans="7:20" ht="15" customHeight="1" x14ac:dyDescent="0.2">
      <c r="G59" s="116">
        <v>40</v>
      </c>
      <c r="H59" s="96">
        <f t="shared" si="9"/>
        <v>0.26563069795930633</v>
      </c>
      <c r="I59" s="96">
        <f t="shared" si="9"/>
        <v>0.2855530003062543</v>
      </c>
      <c r="J59" s="96">
        <f t="shared" si="9"/>
        <v>0.30696947532922336</v>
      </c>
      <c r="K59" s="127">
        <v>0.32999218597891511</v>
      </c>
      <c r="L59" s="96">
        <f t="shared" si="10"/>
        <v>0.35474159992733373</v>
      </c>
      <c r="M59" s="96">
        <f t="shared" si="10"/>
        <v>0.38134721992188375</v>
      </c>
      <c r="N59" s="96">
        <f t="shared" si="10"/>
        <v>0.40994826141602503</v>
      </c>
      <c r="O59" s="96">
        <f t="shared" si="10"/>
        <v>0.44069438102222691</v>
      </c>
      <c r="P59" s="96">
        <f t="shared" si="10"/>
        <v>0.47374645959889394</v>
      </c>
      <c r="Q59" s="96">
        <f t="shared" si="10"/>
        <v>0.50927744406881092</v>
      </c>
      <c r="R59" s="96">
        <f t="shared" si="10"/>
        <v>0.54747325237397171</v>
      </c>
      <c r="S59" s="96">
        <f t="shared" si="10"/>
        <v>0.5885337463020196</v>
      </c>
      <c r="T59" s="37"/>
    </row>
    <row r="60" spans="7:20" ht="15" customHeight="1" x14ac:dyDescent="0.2">
      <c r="G60" s="117">
        <v>50</v>
      </c>
      <c r="H60" s="109">
        <f t="shared" si="9"/>
        <v>0.24953186777995437</v>
      </c>
      <c r="I60" s="109">
        <f t="shared" si="9"/>
        <v>0.26824675786345092</v>
      </c>
      <c r="J60" s="109">
        <f t="shared" si="9"/>
        <v>0.28836526470320972</v>
      </c>
      <c r="K60" s="129">
        <v>0.30999265955595046</v>
      </c>
      <c r="L60" s="109">
        <f t="shared" si="10"/>
        <v>0.33324210902264673</v>
      </c>
      <c r="M60" s="109">
        <f t="shared" si="10"/>
        <v>0.35823526719934523</v>
      </c>
      <c r="N60" s="109">
        <f t="shared" si="10"/>
        <v>0.3851029122392961</v>
      </c>
      <c r="O60" s="109">
        <f t="shared" si="10"/>
        <v>0.41398563065724331</v>
      </c>
      <c r="P60" s="109">
        <f t="shared" si="10"/>
        <v>0.44503455295653654</v>
      </c>
      <c r="Q60" s="109">
        <f t="shared" si="10"/>
        <v>0.47841214442827684</v>
      </c>
      <c r="R60" s="109">
        <f t="shared" si="10"/>
        <v>0.51429305526039748</v>
      </c>
      <c r="S60" s="109">
        <f t="shared" si="10"/>
        <v>0.55286503440492729</v>
      </c>
      <c r="T60" s="29"/>
    </row>
    <row r="61" spans="7:20" ht="15" customHeight="1" x14ac:dyDescent="0.2">
      <c r="H61" s="2"/>
    </row>
    <row r="62" spans="7:20" ht="15" customHeight="1" x14ac:dyDescent="0.2"/>
    <row r="63" spans="7:20" ht="15" customHeight="1" x14ac:dyDescent="0.2"/>
    <row r="64" spans="7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</sheetData>
  <pageMargins left="0.2" right="0.2" top="0.5" bottom="0.5" header="0.3" footer="0.3"/>
  <pageSetup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rzeta_backwards_fk</vt:lpstr>
      <vt:lpstr>czeta_backwards_fk_kevin_mods</vt:lpstr>
      <vt:lpstr>rzeta_backwards_sh</vt:lpstr>
      <vt:lpstr>rzeta_backwards_sh_ks_mods_orig</vt:lpstr>
      <vt:lpstr>rzeta_backwards_sh_ks_mods_new</vt:lpstr>
      <vt:lpstr>czeta_backwards_sh_kevin_mods</vt:lpstr>
      <vt:lpstr>czeta_backwards_fk_kevin_mods!Print_Area</vt:lpstr>
      <vt:lpstr>czeta_backwards_sh_kevin_mods!Print_Area</vt:lpstr>
      <vt:lpstr>rzeta_backwards_sh_ks_mods_new!Print_Area</vt:lpstr>
      <vt:lpstr>rzeta_backwards_sh_ks_mods_orig!Print_Area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kevst</cp:lastModifiedBy>
  <cp:lastPrinted>2018-07-21T22:38:34Z</cp:lastPrinted>
  <dcterms:created xsi:type="dcterms:W3CDTF">2017-08-18T22:36:59Z</dcterms:created>
  <dcterms:modified xsi:type="dcterms:W3CDTF">2025-03-24T18:32:19Z</dcterms:modified>
</cp:coreProperties>
</file>