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8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9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0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9885F0F5-ABD7-49E2-BBBD-830CAECA9EFA}" xr6:coauthVersionLast="47" xr6:coauthVersionMax="47" xr10:uidLastSave="{00000000-0000-0000-0000-000000000000}"/>
  <bookViews>
    <workbookView xWindow="-120" yWindow="-120" windowWidth="24240" windowHeight="13140" tabRatio="858" activeTab="2" xr2:uid="{00000000-000D-0000-FFFF-FFFF00000000}"/>
  </bookViews>
  <sheets>
    <sheet name="linear_rzeta_play" sheetId="29" r:id="rId1"/>
    <sheet name="nonlinear_rzeta_play" sheetId="28" r:id="rId2"/>
    <sheet name="dip46_rzeta_all" sheetId="30" r:id="rId3"/>
    <sheet name="dip29_rzeta_all" sheetId="26" r:id="rId4"/>
    <sheet name="linear_rzeta_all" sheetId="23" r:id="rId5"/>
    <sheet name="nonlin_rzeta_66_58_62B" sheetId="24" r:id="rId6"/>
    <sheet name="rzeta_rstkr03" sheetId="19" r:id="rId7"/>
    <sheet name="stock_3771s" sheetId="27" r:id="rId8"/>
    <sheet name="corey_4096s" sheetId="21" r:id="rId9"/>
    <sheet name="rzeta_rstkr02" sheetId="16" r:id="rId10"/>
    <sheet name="rzeta_rstkr02a" sheetId="18" r:id="rId11"/>
    <sheet name="rstkr_rzeta01" sheetId="17" r:id="rId12"/>
  </sheets>
  <definedNames>
    <definedName name="_xlnm.Print_Area" localSheetId="3">dip29_rzeta_all!$B$91:$Q$140</definedName>
    <definedName name="_xlnm.Print_Area" localSheetId="2">dip46_rzeta_all!$B$91:$Q$140</definedName>
    <definedName name="_xlnm.Print_Area" localSheetId="4">linear_rzeta_all!$B$91:$Q$140</definedName>
    <definedName name="_xlnm.Print_Area" localSheetId="0">linear_rzeta_play!#REF!</definedName>
    <definedName name="_xlnm.Print_Area" localSheetId="5">nonlin_rzeta_66_58_62B!#REF!</definedName>
    <definedName name="_xlnm.Print_Area" localSheetId="1">nonlinear_rzeta_play!#REF!</definedName>
    <definedName name="_xlnm.Print_Area" localSheetId="11">rstkr_rzeta01!$O$33:$Z$51</definedName>
    <definedName name="_xlnm.Print_Area" localSheetId="9">rzeta_rstkr02!$J$16:$AE$82</definedName>
    <definedName name="_xlnm.Print_Area" localSheetId="10">rzeta_rstkr02a!$A$38:$F$55</definedName>
    <definedName name="_xlnm.Print_Area" localSheetId="6">rzeta_rstkr03!$J$18:$AE$84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4" i="23" l="1"/>
  <c r="AA43" i="23"/>
  <c r="AA42" i="23"/>
  <c r="AA41" i="23"/>
  <c r="AA40" i="23"/>
  <c r="AA39" i="23"/>
  <c r="AA38" i="23"/>
  <c r="AA37" i="23"/>
  <c r="Y33" i="23" a="1"/>
  <c r="Y33" i="23" s="1"/>
  <c r="Y32" i="23" a="1"/>
  <c r="Y32" i="23" s="1"/>
  <c r="Y28" i="23"/>
  <c r="Y27" i="23"/>
  <c r="AS36" i="30" a="1"/>
  <c r="AS36" i="30" s="1"/>
  <c r="AS35" i="30" a="1"/>
  <c r="AS35" i="30" s="1"/>
  <c r="AS34" i="30" a="1"/>
  <c r="AS34" i="30" s="1"/>
  <c r="AS33" i="30" a="1"/>
  <c r="AS33" i="30" s="1"/>
  <c r="C33" i="30" a="1"/>
  <c r="C33" i="30" s="1"/>
  <c r="C32" i="30" a="1"/>
  <c r="C32" i="30" s="1"/>
  <c r="F29" i="30"/>
  <c r="F27" i="30"/>
  <c r="T19" i="30"/>
  <c r="U19" i="30" s="1"/>
  <c r="L19" i="30"/>
  <c r="T18" i="30"/>
  <c r="U18" i="30" s="1"/>
  <c r="L18" i="30"/>
  <c r="U17" i="30"/>
  <c r="T17" i="30"/>
  <c r="L17" i="30"/>
  <c r="T16" i="30"/>
  <c r="U16" i="30" s="1"/>
  <c r="L16" i="30"/>
  <c r="T15" i="30"/>
  <c r="U15" i="30" s="1"/>
  <c r="L15" i="30"/>
  <c r="U14" i="30"/>
  <c r="T14" i="30"/>
  <c r="T13" i="30"/>
  <c r="U13" i="30" s="1"/>
  <c r="T12" i="30"/>
  <c r="U12" i="30" s="1"/>
  <c r="U11" i="30"/>
  <c r="T11" i="30"/>
  <c r="T10" i="30"/>
  <c r="U10" i="30" s="1"/>
  <c r="Q7" i="30"/>
  <c r="T51" i="23"/>
  <c r="U93" i="23"/>
  <c r="V93" i="23"/>
  <c r="T93" i="23"/>
  <c r="U94" i="23"/>
  <c r="V94" i="23"/>
  <c r="T94" i="23"/>
  <c r="T49" i="29"/>
  <c r="X38" i="29"/>
  <c r="X39" i="29"/>
  <c r="X40" i="29"/>
  <c r="X41" i="29"/>
  <c r="X42" i="29"/>
  <c r="X43" i="29"/>
  <c r="X44" i="29"/>
  <c r="X37" i="29"/>
  <c r="AQ36" i="29" a="1"/>
  <c r="AQ36" i="29" s="1"/>
  <c r="AQ35" i="29" a="1"/>
  <c r="AQ35" i="29" s="1"/>
  <c r="AQ34" i="29" a="1"/>
  <c r="AQ34" i="29" s="1"/>
  <c r="AQ33" i="29" a="1"/>
  <c r="AQ33" i="29" s="1"/>
  <c r="C33" i="29" a="1"/>
  <c r="C33" i="29" s="1"/>
  <c r="C32" i="29" a="1"/>
  <c r="C32" i="29" s="1"/>
  <c r="F29" i="29"/>
  <c r="F27" i="29"/>
  <c r="T19" i="29"/>
  <c r="U19" i="29" s="1"/>
  <c r="L19" i="29"/>
  <c r="T18" i="29"/>
  <c r="U18" i="29" s="1"/>
  <c r="L18" i="29"/>
  <c r="T17" i="29"/>
  <c r="U17" i="29" s="1"/>
  <c r="L17" i="29"/>
  <c r="T16" i="29"/>
  <c r="U16" i="29" s="1"/>
  <c r="L16" i="29"/>
  <c r="T15" i="29"/>
  <c r="U15" i="29" s="1"/>
  <c r="L15" i="29"/>
  <c r="U14" i="29"/>
  <c r="T14" i="29"/>
  <c r="T13" i="29"/>
  <c r="U13" i="29" s="1"/>
  <c r="T12" i="29"/>
  <c r="U12" i="29" s="1"/>
  <c r="T11" i="29"/>
  <c r="U11" i="29" s="1"/>
  <c r="T10" i="29"/>
  <c r="U10" i="29" s="1"/>
  <c r="Q7" i="29"/>
  <c r="C33" i="28" a="1"/>
  <c r="C33" i="28" s="1"/>
  <c r="C32" i="28" a="1"/>
  <c r="C32" i="28" s="1"/>
  <c r="F29" i="28"/>
  <c r="AT36" i="28" a="1"/>
  <c r="AT36" i="28" s="1"/>
  <c r="AT35" i="28" a="1"/>
  <c r="AT35" i="28" s="1"/>
  <c r="AT34" i="28" a="1"/>
  <c r="AT34" i="28" s="1"/>
  <c r="AT33" i="28" a="1"/>
  <c r="AT33" i="28" s="1"/>
  <c r="F27" i="28"/>
  <c r="T19" i="28"/>
  <c r="U19" i="28" s="1"/>
  <c r="L19" i="28"/>
  <c r="T18" i="28"/>
  <c r="U18" i="28" s="1"/>
  <c r="L18" i="28"/>
  <c r="U17" i="28"/>
  <c r="T17" i="28"/>
  <c r="L17" i="28"/>
  <c r="T16" i="28"/>
  <c r="U16" i="28" s="1"/>
  <c r="L16" i="28"/>
  <c r="T15" i="28"/>
  <c r="U15" i="28" s="1"/>
  <c r="L15" i="28"/>
  <c r="U14" i="28"/>
  <c r="T14" i="28"/>
  <c r="T13" i="28"/>
  <c r="U13" i="28" s="1"/>
  <c r="T12" i="28"/>
  <c r="U12" i="28" s="1"/>
  <c r="U11" i="28"/>
  <c r="T11" i="28"/>
  <c r="T10" i="28"/>
  <c r="U10" i="28" s="1"/>
  <c r="Q7" i="28"/>
  <c r="J96" i="27"/>
  <c r="J95" i="27"/>
  <c r="K95" i="27" s="1"/>
  <c r="J94" i="27"/>
  <c r="K94" i="27" s="1"/>
  <c r="L94" i="27" s="1"/>
  <c r="J93" i="27"/>
  <c r="K93" i="27" s="1"/>
  <c r="J92" i="27"/>
  <c r="K92" i="27" s="1"/>
  <c r="L92" i="27" s="1"/>
  <c r="J91" i="27"/>
  <c r="K91" i="27" s="1"/>
  <c r="L91" i="27" s="1"/>
  <c r="J90" i="27"/>
  <c r="K90" i="27" s="1"/>
  <c r="J89" i="27"/>
  <c r="K89" i="27" s="1"/>
  <c r="L89" i="27" s="1"/>
  <c r="J88" i="27"/>
  <c r="K88" i="27" s="1"/>
  <c r="L88" i="27" s="1"/>
  <c r="K87" i="27"/>
  <c r="L87" i="27" s="1"/>
  <c r="J87" i="27"/>
  <c r="J86" i="27"/>
  <c r="K86" i="27" s="1"/>
  <c r="L86" i="27" s="1"/>
  <c r="J85" i="27"/>
  <c r="K85" i="27" s="1"/>
  <c r="L85" i="27" s="1"/>
  <c r="K84" i="27"/>
  <c r="L84" i="27" s="1"/>
  <c r="J84" i="27"/>
  <c r="K83" i="27"/>
  <c r="L83" i="27" s="1"/>
  <c r="J83" i="27"/>
  <c r="J82" i="27"/>
  <c r="K82" i="27" s="1"/>
  <c r="L82" i="27" s="1"/>
  <c r="K81" i="27"/>
  <c r="L81" i="27" s="1"/>
  <c r="J81" i="27"/>
  <c r="J80" i="27"/>
  <c r="K80" i="27" s="1"/>
  <c r="L80" i="27" s="1"/>
  <c r="J79" i="27"/>
  <c r="K79" i="27" s="1"/>
  <c r="L79" i="27" s="1"/>
  <c r="J78" i="27"/>
  <c r="K78" i="27" s="1"/>
  <c r="J77" i="27"/>
  <c r="K77" i="27" s="1"/>
  <c r="L77" i="27" s="1"/>
  <c r="J76" i="27"/>
  <c r="K76" i="27" s="1"/>
  <c r="L76" i="27" s="1"/>
  <c r="J75" i="27"/>
  <c r="K75" i="27" s="1"/>
  <c r="O74" i="27"/>
  <c r="J74" i="27"/>
  <c r="K74" i="27" s="1"/>
  <c r="L74" i="27" s="1"/>
  <c r="J73" i="27"/>
  <c r="K73" i="27" s="1"/>
  <c r="L73" i="27" s="1"/>
  <c r="J72" i="27"/>
  <c r="K72" i="27" s="1"/>
  <c r="J71" i="27"/>
  <c r="K71" i="27" s="1"/>
  <c r="J70" i="27"/>
  <c r="K70" i="27" s="1"/>
  <c r="L70" i="27" s="1"/>
  <c r="J69" i="27"/>
  <c r="K69" i="27" s="1"/>
  <c r="J68" i="27"/>
  <c r="K68" i="27" s="1"/>
  <c r="J67" i="27"/>
  <c r="K67" i="27" s="1"/>
  <c r="L67" i="27" s="1"/>
  <c r="K66" i="27"/>
  <c r="J66" i="27"/>
  <c r="J65" i="27"/>
  <c r="J64" i="27"/>
  <c r="K65" i="27" s="1"/>
  <c r="K63" i="27"/>
  <c r="J63" i="27"/>
  <c r="J62" i="27"/>
  <c r="J61" i="27"/>
  <c r="K62" i="27" s="1"/>
  <c r="K60" i="27"/>
  <c r="J60" i="27"/>
  <c r="J59" i="27"/>
  <c r="K59" i="27" s="1"/>
  <c r="J58" i="27"/>
  <c r="K58" i="27" s="1"/>
  <c r="J57" i="27"/>
  <c r="K57" i="27" s="1"/>
  <c r="J56" i="27"/>
  <c r="K56" i="27" s="1"/>
  <c r="J55" i="27"/>
  <c r="K55" i="27" s="1"/>
  <c r="J54" i="27"/>
  <c r="K54" i="27" s="1"/>
  <c r="L54" i="27" s="1"/>
  <c r="J53" i="27"/>
  <c r="K53" i="27" s="1"/>
  <c r="J52" i="27"/>
  <c r="K52" i="27" s="1"/>
  <c r="J51" i="27"/>
  <c r="K51" i="27" s="1"/>
  <c r="L51" i="27" s="1"/>
  <c r="J50" i="27"/>
  <c r="K50" i="27" s="1"/>
  <c r="J49" i="27"/>
  <c r="V21" i="27" a="1"/>
  <c r="V21" i="27" s="1"/>
  <c r="G21" i="27" a="1"/>
  <c r="G21" i="27" s="1"/>
  <c r="V20" i="27" a="1"/>
  <c r="V20" i="27" s="1"/>
  <c r="G20" i="27" a="1"/>
  <c r="G20" i="27" s="1"/>
  <c r="Y43" i="23" l="1"/>
  <c r="Z43" i="23" s="1"/>
  <c r="Y41" i="23"/>
  <c r="Z41" i="23" s="1"/>
  <c r="Y39" i="23"/>
  <c r="Z39" i="23" s="1"/>
  <c r="Y38" i="23"/>
  <c r="Z38" i="23" s="1"/>
  <c r="Y44" i="23"/>
  <c r="Z44" i="23" s="1"/>
  <c r="Y40" i="23"/>
  <c r="Z40" i="23" s="1"/>
  <c r="Y37" i="23"/>
  <c r="Z37" i="23" s="1"/>
  <c r="Y42" i="23"/>
  <c r="Z42" i="23" s="1"/>
  <c r="AR42" i="30"/>
  <c r="C85" i="30"/>
  <c r="C83" i="30"/>
  <c r="C81" i="30"/>
  <c r="C79" i="30"/>
  <c r="C77" i="30"/>
  <c r="C75" i="30"/>
  <c r="C73" i="30"/>
  <c r="C71" i="30"/>
  <c r="C69" i="30"/>
  <c r="C67" i="30"/>
  <c r="C65" i="30"/>
  <c r="C63" i="30"/>
  <c r="C61" i="30"/>
  <c r="C59" i="30"/>
  <c r="C57" i="30"/>
  <c r="C55" i="30"/>
  <c r="C53" i="30"/>
  <c r="C51" i="30"/>
  <c r="C49" i="30"/>
  <c r="C47" i="30"/>
  <c r="C41" i="30"/>
  <c r="C38" i="30"/>
  <c r="C45" i="30"/>
  <c r="C35" i="30"/>
  <c r="C39" i="30"/>
  <c r="C76" i="30"/>
  <c r="C60" i="30"/>
  <c r="C50" i="30"/>
  <c r="C72" i="30"/>
  <c r="C56" i="30"/>
  <c r="C42" i="30"/>
  <c r="C54" i="30"/>
  <c r="C78" i="30"/>
  <c r="C62" i="30"/>
  <c r="C46" i="30"/>
  <c r="C37" i="30"/>
  <c r="C84" i="30"/>
  <c r="C44" i="30"/>
  <c r="C40" i="30"/>
  <c r="C68" i="30"/>
  <c r="C52" i="30"/>
  <c r="C66" i="30"/>
  <c r="C74" i="30"/>
  <c r="C58" i="30"/>
  <c r="C82" i="30"/>
  <c r="C80" i="30"/>
  <c r="C64" i="30"/>
  <c r="C48" i="30"/>
  <c r="C43" i="30"/>
  <c r="C36" i="30"/>
  <c r="C70" i="30"/>
  <c r="AR43" i="30"/>
  <c r="AR40" i="30"/>
  <c r="AR44" i="30"/>
  <c r="AR41" i="30"/>
  <c r="C43" i="29"/>
  <c r="C44" i="29"/>
  <c r="C45" i="29"/>
  <c r="C35" i="29"/>
  <c r="C56" i="29"/>
  <c r="C37" i="29"/>
  <c r="C85" i="29"/>
  <c r="C83" i="29"/>
  <c r="C81" i="29"/>
  <c r="C79" i="29"/>
  <c r="C77" i="29"/>
  <c r="C75" i="29"/>
  <c r="C73" i="29"/>
  <c r="C71" i="29"/>
  <c r="C69" i="29"/>
  <c r="C67" i="29"/>
  <c r="C65" i="29"/>
  <c r="C63" i="29"/>
  <c r="C61" i="29"/>
  <c r="C59" i="29"/>
  <c r="C57" i="29"/>
  <c r="C55" i="29"/>
  <c r="H27" i="29" s="1"/>
  <c r="C53" i="29"/>
  <c r="C51" i="29"/>
  <c r="C49" i="29"/>
  <c r="C47" i="29"/>
  <c r="C41" i="29"/>
  <c r="C38" i="29"/>
  <c r="C58" i="29"/>
  <c r="C36" i="29"/>
  <c r="C40" i="29"/>
  <c r="C42" i="29"/>
  <c r="C39" i="29"/>
  <c r="C84" i="29"/>
  <c r="C82" i="29"/>
  <c r="C80" i="29"/>
  <c r="C78" i="29"/>
  <c r="C76" i="29"/>
  <c r="C74" i="29"/>
  <c r="C72" i="29"/>
  <c r="C70" i="29"/>
  <c r="C68" i="29"/>
  <c r="C66" i="29"/>
  <c r="C64" i="29"/>
  <c r="C62" i="29"/>
  <c r="C60" i="29"/>
  <c r="C54" i="29"/>
  <c r="C52" i="29"/>
  <c r="C50" i="29"/>
  <c r="C48" i="29"/>
  <c r="C46" i="29"/>
  <c r="AP40" i="29"/>
  <c r="AP43" i="29"/>
  <c r="AP44" i="29"/>
  <c r="AP42" i="29"/>
  <c r="AP41" i="29"/>
  <c r="C44" i="28"/>
  <c r="AS43" i="28"/>
  <c r="AS40" i="28"/>
  <c r="AS44" i="28"/>
  <c r="AS41" i="28"/>
  <c r="C85" i="28"/>
  <c r="C83" i="28"/>
  <c r="C81" i="28"/>
  <c r="C79" i="28"/>
  <c r="C77" i="28"/>
  <c r="C75" i="28"/>
  <c r="C73" i="28"/>
  <c r="C71" i="28"/>
  <c r="C69" i="28"/>
  <c r="C67" i="28"/>
  <c r="C65" i="28"/>
  <c r="C63" i="28"/>
  <c r="C61" i="28"/>
  <c r="C59" i="28"/>
  <c r="C57" i="28"/>
  <c r="C55" i="28"/>
  <c r="C53" i="28"/>
  <c r="C51" i="28"/>
  <c r="C49" i="28"/>
  <c r="C47" i="28"/>
  <c r="C41" i="28"/>
  <c r="C38" i="28"/>
  <c r="C45" i="28"/>
  <c r="C35" i="28"/>
  <c r="C42" i="28"/>
  <c r="C84" i="28"/>
  <c r="C82" i="28"/>
  <c r="C80" i="28"/>
  <c r="C78" i="28"/>
  <c r="C76" i="28"/>
  <c r="C74" i="28"/>
  <c r="C72" i="28"/>
  <c r="C70" i="28"/>
  <c r="C68" i="28"/>
  <c r="C66" i="28"/>
  <c r="C64" i="28"/>
  <c r="C62" i="28"/>
  <c r="C60" i="28"/>
  <c r="C58" i="28"/>
  <c r="C56" i="28"/>
  <c r="C54" i="28"/>
  <c r="C52" i="28"/>
  <c r="C50" i="28"/>
  <c r="C48" i="28"/>
  <c r="C46" i="28"/>
  <c r="C39" i="28"/>
  <c r="C37" i="28"/>
  <c r="C43" i="28"/>
  <c r="C36" i="28"/>
  <c r="C40" i="28"/>
  <c r="AS42" i="28"/>
  <c r="L58" i="27"/>
  <c r="L68" i="27"/>
  <c r="L72" i="27"/>
  <c r="V24" i="27"/>
  <c r="W24" i="27" s="1"/>
  <c r="V32" i="27"/>
  <c r="W32" i="27" s="1"/>
  <c r="V30" i="27"/>
  <c r="W30" i="27" s="1"/>
  <c r="V28" i="27"/>
  <c r="W28" i="27" s="1"/>
  <c r="V26" i="27"/>
  <c r="W26" i="27" s="1"/>
  <c r="V25" i="27"/>
  <c r="W25" i="27" s="1"/>
  <c r="X25" i="27" s="1"/>
  <c r="V33" i="27"/>
  <c r="W33" i="27" s="1"/>
  <c r="V31" i="27"/>
  <c r="W31" i="27" s="1"/>
  <c r="V29" i="27"/>
  <c r="W29" i="27" s="1"/>
  <c r="V27" i="27"/>
  <c r="W27" i="27" s="1"/>
  <c r="L55" i="27"/>
  <c r="L59" i="27"/>
  <c r="G33" i="27"/>
  <c r="H33" i="27" s="1"/>
  <c r="G24" i="27"/>
  <c r="H24" i="27" s="1"/>
  <c r="G31" i="27"/>
  <c r="H31" i="27" s="1"/>
  <c r="G29" i="27"/>
  <c r="H29" i="27" s="1"/>
  <c r="G32" i="27"/>
  <c r="H32" i="27" s="1"/>
  <c r="G30" i="27"/>
  <c r="H30" i="27" s="1"/>
  <c r="G28" i="27"/>
  <c r="H28" i="27" s="1"/>
  <c r="G26" i="27"/>
  <c r="H26" i="27" s="1"/>
  <c r="G25" i="27"/>
  <c r="H25" i="27" s="1"/>
  <c r="G27" i="27"/>
  <c r="H27" i="27" s="1"/>
  <c r="L75" i="27"/>
  <c r="L63" i="27"/>
  <c r="L65" i="27"/>
  <c r="L78" i="27"/>
  <c r="L90" i="27"/>
  <c r="L56" i="27"/>
  <c r="L57" i="27"/>
  <c r="L71" i="27"/>
  <c r="L60" i="27"/>
  <c r="L62" i="27"/>
  <c r="L52" i="27"/>
  <c r="L53" i="27"/>
  <c r="L66" i="27"/>
  <c r="L93" i="27"/>
  <c r="L69" i="27"/>
  <c r="K64" i="27"/>
  <c r="L64" i="27" s="1"/>
  <c r="K61" i="27"/>
  <c r="L61" i="27" s="1"/>
  <c r="H27" i="30" l="1"/>
  <c r="H29" i="30" s="1"/>
  <c r="F28" i="30" s="1"/>
  <c r="C29" i="30"/>
  <c r="H29" i="29"/>
  <c r="F28" i="29" s="1"/>
  <c r="G27" i="29" s="1" a="1"/>
  <c r="G27" i="29" s="1"/>
  <c r="C29" i="29"/>
  <c r="C29" i="28"/>
  <c r="H27" i="28"/>
  <c r="H29" i="28" s="1"/>
  <c r="F28" i="28" s="1"/>
  <c r="Z27" i="27"/>
  <c r="X27" i="27"/>
  <c r="K31" i="27"/>
  <c r="I31" i="27"/>
  <c r="K27" i="27"/>
  <c r="I27" i="27"/>
  <c r="Z31" i="27"/>
  <c r="X31" i="27"/>
  <c r="I25" i="27"/>
  <c r="Z26" i="27"/>
  <c r="X26" i="27"/>
  <c r="Z33" i="27"/>
  <c r="X33" i="27"/>
  <c r="K26" i="27"/>
  <c r="I26" i="27"/>
  <c r="Z28" i="27"/>
  <c r="X28" i="27"/>
  <c r="I28" i="27"/>
  <c r="K28" i="27"/>
  <c r="K29" i="27"/>
  <c r="I29" i="27"/>
  <c r="K33" i="27"/>
  <c r="I33" i="27"/>
  <c r="Z29" i="27"/>
  <c r="X29" i="27"/>
  <c r="Z30" i="27"/>
  <c r="X30" i="27"/>
  <c r="K30" i="27"/>
  <c r="I30" i="27"/>
  <c r="Z32" i="27"/>
  <c r="X32" i="27"/>
  <c r="K32" i="27"/>
  <c r="I32" i="27"/>
  <c r="G27" i="30" l="1" a="1"/>
  <c r="G27" i="30" s="1"/>
  <c r="G29" i="30" a="1"/>
  <c r="G29" i="30" s="1"/>
  <c r="G28" i="30" a="1"/>
  <c r="G28" i="30" s="1"/>
  <c r="G29" i="29" a="1"/>
  <c r="G29" i="29" s="1"/>
  <c r="G28" i="29" a="1"/>
  <c r="G28" i="29" s="1"/>
  <c r="G28" i="28" a="1"/>
  <c r="G28" i="28" s="1"/>
  <c r="G27" i="28" a="1"/>
  <c r="G27" i="28" s="1"/>
  <c r="G29" i="28" a="1"/>
  <c r="G29" i="28" s="1"/>
  <c r="F45" i="30" l="1"/>
  <c r="F35" i="30"/>
  <c r="F42" i="30"/>
  <c r="F51" i="30"/>
  <c r="F66" i="30"/>
  <c r="F79" i="30"/>
  <c r="F72" i="30"/>
  <c r="F63" i="30"/>
  <c r="F56" i="30"/>
  <c r="F47" i="30"/>
  <c r="F85" i="30"/>
  <c r="F57" i="30"/>
  <c r="F78" i="30"/>
  <c r="F69" i="30"/>
  <c r="F62" i="30"/>
  <c r="F53" i="30"/>
  <c r="F46" i="30"/>
  <c r="F37" i="30"/>
  <c r="F81" i="30"/>
  <c r="F74" i="30"/>
  <c r="F58" i="30"/>
  <c r="F76" i="30"/>
  <c r="F60" i="30"/>
  <c r="F84" i="30"/>
  <c r="F44" i="30"/>
  <c r="F39" i="30"/>
  <c r="F75" i="30"/>
  <c r="F68" i="30"/>
  <c r="F59" i="30"/>
  <c r="F52" i="30"/>
  <c r="F65" i="30"/>
  <c r="F49" i="30"/>
  <c r="F77" i="30"/>
  <c r="F70" i="30"/>
  <c r="F61" i="30"/>
  <c r="F54" i="30"/>
  <c r="F50" i="30"/>
  <c r="F38" i="30"/>
  <c r="F73" i="30"/>
  <c r="F67" i="30"/>
  <c r="F82" i="30"/>
  <c r="F40" i="30"/>
  <c r="F80" i="30"/>
  <c r="F71" i="30"/>
  <c r="F64" i="30"/>
  <c r="F55" i="30"/>
  <c r="F48" i="30"/>
  <c r="F43" i="30"/>
  <c r="F41" i="30"/>
  <c r="F36" i="30"/>
  <c r="F83" i="30"/>
  <c r="F37" i="29"/>
  <c r="F44" i="29"/>
  <c r="F85" i="29"/>
  <c r="F83" i="29"/>
  <c r="F81" i="29"/>
  <c r="F79" i="29"/>
  <c r="F77" i="29"/>
  <c r="F75" i="29"/>
  <c r="F73" i="29"/>
  <c r="F71" i="29"/>
  <c r="F69" i="29"/>
  <c r="F67" i="29"/>
  <c r="F65" i="29"/>
  <c r="F63" i="29"/>
  <c r="F61" i="29"/>
  <c r="F59" i="29"/>
  <c r="F57" i="29"/>
  <c r="F55" i="29"/>
  <c r="F53" i="29"/>
  <c r="F51" i="29"/>
  <c r="F49" i="29"/>
  <c r="F47" i="29"/>
  <c r="F41" i="29"/>
  <c r="F38" i="29"/>
  <c r="F45" i="29"/>
  <c r="F35" i="29"/>
  <c r="F42" i="29"/>
  <c r="F43" i="29"/>
  <c r="F39" i="29"/>
  <c r="F40" i="29"/>
  <c r="F84" i="29"/>
  <c r="F82" i="29"/>
  <c r="F80" i="29"/>
  <c r="F78" i="29"/>
  <c r="F76" i="29"/>
  <c r="F74" i="29"/>
  <c r="F72" i="29"/>
  <c r="F70" i="29"/>
  <c r="F68" i="29"/>
  <c r="F66" i="29"/>
  <c r="F64" i="29"/>
  <c r="F62" i="29"/>
  <c r="F60" i="29"/>
  <c r="F58" i="29"/>
  <c r="F56" i="29"/>
  <c r="F54" i="29"/>
  <c r="F52" i="29"/>
  <c r="F50" i="29"/>
  <c r="F48" i="29"/>
  <c r="F46" i="29"/>
  <c r="F36" i="29"/>
  <c r="F45" i="28"/>
  <c r="F35" i="28"/>
  <c r="F39" i="28"/>
  <c r="F84" i="28"/>
  <c r="F82" i="28"/>
  <c r="F80" i="28"/>
  <c r="F78" i="28"/>
  <c r="F76" i="28"/>
  <c r="F74" i="28"/>
  <c r="F72" i="28"/>
  <c r="F70" i="28"/>
  <c r="F68" i="28"/>
  <c r="F66" i="28"/>
  <c r="F64" i="28"/>
  <c r="F62" i="28"/>
  <c r="F60" i="28"/>
  <c r="F58" i="28"/>
  <c r="F56" i="28"/>
  <c r="F54" i="28"/>
  <c r="F52" i="28"/>
  <c r="F50" i="28"/>
  <c r="F48" i="28"/>
  <c r="F46" i="28"/>
  <c r="F36" i="28"/>
  <c r="F85" i="28"/>
  <c r="F81" i="28"/>
  <c r="F77" i="28"/>
  <c r="F73" i="28"/>
  <c r="F69" i="28"/>
  <c r="F65" i="28"/>
  <c r="F61" i="28"/>
  <c r="F57" i="28"/>
  <c r="F53" i="28"/>
  <c r="F49" i="28"/>
  <c r="F42" i="28"/>
  <c r="F37" i="28"/>
  <c r="F44" i="28"/>
  <c r="F83" i="28"/>
  <c r="F79" i="28"/>
  <c r="F75" i="28"/>
  <c r="F71" i="28"/>
  <c r="F67" i="28"/>
  <c r="F63" i="28"/>
  <c r="F59" i="28"/>
  <c r="F55" i="28"/>
  <c r="F51" i="28"/>
  <c r="F47" i="28"/>
  <c r="F41" i="28"/>
  <c r="F38" i="28"/>
  <c r="F43" i="28"/>
  <c r="F40" i="28"/>
  <c r="L63" i="30" l="1"/>
  <c r="M63" i="30" s="1"/>
  <c r="N63" i="30" s="1"/>
  <c r="O63" i="30" s="1"/>
  <c r="P63" i="30" s="1"/>
  <c r="I63" i="30"/>
  <c r="L38" i="30"/>
  <c r="M38" i="30" s="1"/>
  <c r="I38" i="30"/>
  <c r="L53" i="30"/>
  <c r="M53" i="30" s="1"/>
  <c r="N53" i="30" s="1"/>
  <c r="O53" i="30" s="1"/>
  <c r="P53" i="30" s="1"/>
  <c r="I53" i="30"/>
  <c r="L48" i="30"/>
  <c r="M48" i="30" s="1"/>
  <c r="N48" i="30" s="1"/>
  <c r="O48" i="30" s="1"/>
  <c r="P48" i="30" s="1"/>
  <c r="I48" i="30"/>
  <c r="L65" i="30"/>
  <c r="M65" i="30" s="1"/>
  <c r="N65" i="30" s="1"/>
  <c r="O65" i="30" s="1"/>
  <c r="P65" i="30" s="1"/>
  <c r="I65" i="30"/>
  <c r="L62" i="30"/>
  <c r="M62" i="30" s="1"/>
  <c r="N62" i="30" s="1"/>
  <c r="O62" i="30" s="1"/>
  <c r="P62" i="30" s="1"/>
  <c r="I62" i="30"/>
  <c r="L60" i="30"/>
  <c r="M60" i="30" s="1"/>
  <c r="N60" i="30" s="1"/>
  <c r="O60" i="30" s="1"/>
  <c r="P60" i="30" s="1"/>
  <c r="I60" i="30"/>
  <c r="L49" i="30"/>
  <c r="M49" i="30" s="1"/>
  <c r="N49" i="30" s="1"/>
  <c r="O49" i="30" s="1"/>
  <c r="P49" i="30" s="1"/>
  <c r="I49" i="30"/>
  <c r="L64" i="30"/>
  <c r="M64" i="30" s="1"/>
  <c r="I64" i="30"/>
  <c r="L59" i="30"/>
  <c r="M59" i="30" s="1"/>
  <c r="N59" i="30" s="1"/>
  <c r="O59" i="30" s="1"/>
  <c r="P59" i="30" s="1"/>
  <c r="I59" i="30"/>
  <c r="L78" i="30"/>
  <c r="M78" i="30" s="1"/>
  <c r="N78" i="30" s="1"/>
  <c r="O78" i="30" s="1"/>
  <c r="P78" i="30" s="1"/>
  <c r="I78" i="30"/>
  <c r="L84" i="30"/>
  <c r="M84" i="30" s="1"/>
  <c r="I84" i="30"/>
  <c r="L76" i="30"/>
  <c r="M76" i="30" s="1"/>
  <c r="N76" i="30" s="1"/>
  <c r="O76" i="30" s="1"/>
  <c r="P76" i="30" s="1"/>
  <c r="I76" i="30"/>
  <c r="L55" i="30"/>
  <c r="M55" i="30" s="1"/>
  <c r="N55" i="30" s="1"/>
  <c r="O55" i="30" s="1"/>
  <c r="P55" i="30" s="1"/>
  <c r="I55" i="30"/>
  <c r="L52" i="30"/>
  <c r="M52" i="30" s="1"/>
  <c r="N52" i="30" s="1"/>
  <c r="O52" i="30" s="1"/>
  <c r="P52" i="30" s="1"/>
  <c r="I52" i="30"/>
  <c r="L69" i="30"/>
  <c r="M69" i="30" s="1"/>
  <c r="N69" i="30" s="1"/>
  <c r="O69" i="30" s="1"/>
  <c r="P69" i="30" s="1"/>
  <c r="I69" i="30"/>
  <c r="L71" i="30"/>
  <c r="M71" i="30" s="1"/>
  <c r="N71" i="30" s="1"/>
  <c r="O71" i="30" s="1"/>
  <c r="P71" i="30" s="1"/>
  <c r="I71" i="30"/>
  <c r="L68" i="30"/>
  <c r="M68" i="30" s="1"/>
  <c r="N68" i="30" s="1"/>
  <c r="O68" i="30" s="1"/>
  <c r="P68" i="30" s="1"/>
  <c r="I68" i="30"/>
  <c r="L57" i="30"/>
  <c r="M57" i="30" s="1"/>
  <c r="N57" i="30" s="1"/>
  <c r="O57" i="30" s="1"/>
  <c r="P57" i="30" s="1"/>
  <c r="I57" i="30"/>
  <c r="L80" i="30"/>
  <c r="M80" i="30" s="1"/>
  <c r="N80" i="30" s="1"/>
  <c r="O80" i="30" s="1"/>
  <c r="P80" i="30" s="1"/>
  <c r="I80" i="30"/>
  <c r="L75" i="30"/>
  <c r="M75" i="30" s="1"/>
  <c r="N75" i="30" s="1"/>
  <c r="O75" i="30" s="1"/>
  <c r="P75" i="30" s="1"/>
  <c r="I75" i="30"/>
  <c r="L85" i="30"/>
  <c r="M85" i="30" s="1"/>
  <c r="N85" i="30" s="1"/>
  <c r="O85" i="30" s="1"/>
  <c r="P85" i="30" s="1"/>
  <c r="I85" i="30"/>
  <c r="L73" i="30"/>
  <c r="M73" i="30" s="1"/>
  <c r="N73" i="30" s="1"/>
  <c r="O73" i="30" s="1"/>
  <c r="P73" i="30" s="1"/>
  <c r="I73" i="30"/>
  <c r="L43" i="30"/>
  <c r="M43" i="30" s="1"/>
  <c r="N43" i="30" s="1"/>
  <c r="O43" i="30" s="1"/>
  <c r="P43" i="30" s="1"/>
  <c r="I43" i="30"/>
  <c r="L40" i="30"/>
  <c r="M40" i="30" s="1"/>
  <c r="N40" i="30" s="1"/>
  <c r="O40" i="30" s="1"/>
  <c r="P40" i="30" s="1"/>
  <c r="I40" i="30"/>
  <c r="L39" i="30"/>
  <c r="M39" i="30" s="1"/>
  <c r="I39" i="30"/>
  <c r="L47" i="30"/>
  <c r="M47" i="30" s="1"/>
  <c r="N47" i="30" s="1"/>
  <c r="O47" i="30" s="1"/>
  <c r="P47" i="30" s="1"/>
  <c r="I47" i="30"/>
  <c r="L82" i="30"/>
  <c r="M82" i="30" s="1"/>
  <c r="N82" i="30" s="1"/>
  <c r="O82" i="30" s="1"/>
  <c r="P82" i="30" s="1"/>
  <c r="I82" i="30"/>
  <c r="L44" i="30"/>
  <c r="M44" i="30" s="1"/>
  <c r="I44" i="30"/>
  <c r="L56" i="30"/>
  <c r="M56" i="30" s="1"/>
  <c r="N56" i="30" s="1"/>
  <c r="O56" i="30" s="1"/>
  <c r="P56" i="30" s="1"/>
  <c r="I56" i="30"/>
  <c r="L67" i="30"/>
  <c r="M67" i="30" s="1"/>
  <c r="N67" i="30" s="1"/>
  <c r="O67" i="30" s="1"/>
  <c r="P67" i="30" s="1"/>
  <c r="I67" i="30"/>
  <c r="L72" i="30"/>
  <c r="M72" i="30" s="1"/>
  <c r="N72" i="30" s="1"/>
  <c r="O72" i="30" s="1"/>
  <c r="P72" i="30" s="1"/>
  <c r="I72" i="30"/>
  <c r="L79" i="30"/>
  <c r="M79" i="30" s="1"/>
  <c r="N79" i="30" s="1"/>
  <c r="O79" i="30" s="1"/>
  <c r="P79" i="30" s="1"/>
  <c r="I79" i="30"/>
  <c r="L50" i="30"/>
  <c r="M50" i="30" s="1"/>
  <c r="N50" i="30" s="1"/>
  <c r="O50" i="30" s="1"/>
  <c r="P50" i="30" s="1"/>
  <c r="I50" i="30"/>
  <c r="L58" i="30"/>
  <c r="M58" i="30" s="1"/>
  <c r="N58" i="30" s="1"/>
  <c r="O58" i="30" s="1"/>
  <c r="P58" i="30" s="1"/>
  <c r="I58" i="30"/>
  <c r="L66" i="30"/>
  <c r="M66" i="30" s="1"/>
  <c r="N66" i="30" s="1"/>
  <c r="O66" i="30" s="1"/>
  <c r="P66" i="30" s="1"/>
  <c r="I66" i="30"/>
  <c r="L54" i="30"/>
  <c r="M54" i="30" s="1"/>
  <c r="I54" i="30"/>
  <c r="L74" i="30"/>
  <c r="M74" i="30" s="1"/>
  <c r="I74" i="30"/>
  <c r="L51" i="30"/>
  <c r="M51" i="30" s="1"/>
  <c r="N51" i="30" s="1"/>
  <c r="O51" i="30" s="1"/>
  <c r="P51" i="30" s="1"/>
  <c r="I51" i="30"/>
  <c r="L83" i="30"/>
  <c r="M83" i="30" s="1"/>
  <c r="N83" i="30" s="1"/>
  <c r="O83" i="30" s="1"/>
  <c r="P83" i="30" s="1"/>
  <c r="I83" i="30"/>
  <c r="L61" i="30"/>
  <c r="M61" i="30" s="1"/>
  <c r="N61" i="30" s="1"/>
  <c r="O61" i="30" s="1"/>
  <c r="P61" i="30" s="1"/>
  <c r="I61" i="30"/>
  <c r="L81" i="30"/>
  <c r="M81" i="30" s="1"/>
  <c r="N81" i="30" s="1"/>
  <c r="O81" i="30" s="1"/>
  <c r="P81" i="30" s="1"/>
  <c r="I81" i="30"/>
  <c r="L42" i="30"/>
  <c r="M42" i="30" s="1"/>
  <c r="N42" i="30" s="1"/>
  <c r="O42" i="30" s="1"/>
  <c r="P42" i="30" s="1"/>
  <c r="I42" i="30"/>
  <c r="L36" i="30"/>
  <c r="M36" i="30" s="1"/>
  <c r="I36" i="30"/>
  <c r="L70" i="30"/>
  <c r="M70" i="30" s="1"/>
  <c r="N70" i="30" s="1"/>
  <c r="O70" i="30" s="1"/>
  <c r="P70" i="30" s="1"/>
  <c r="I70" i="30"/>
  <c r="L37" i="30"/>
  <c r="M37" i="30" s="1"/>
  <c r="I37" i="30"/>
  <c r="L35" i="30"/>
  <c r="M35" i="30" s="1"/>
  <c r="I35" i="30"/>
  <c r="L41" i="30"/>
  <c r="M41" i="30" s="1"/>
  <c r="N41" i="30" s="1"/>
  <c r="O41" i="30" s="1"/>
  <c r="P41" i="30" s="1"/>
  <c r="I41" i="30"/>
  <c r="L77" i="30"/>
  <c r="M77" i="30" s="1"/>
  <c r="N77" i="30" s="1"/>
  <c r="O77" i="30" s="1"/>
  <c r="P77" i="30" s="1"/>
  <c r="I77" i="30"/>
  <c r="L46" i="30"/>
  <c r="M46" i="30" s="1"/>
  <c r="N46" i="30" s="1"/>
  <c r="O46" i="30" s="1"/>
  <c r="P46" i="30" s="1"/>
  <c r="I46" i="30"/>
  <c r="L45" i="30"/>
  <c r="M45" i="30" s="1"/>
  <c r="N45" i="30" s="1"/>
  <c r="O45" i="30" s="1"/>
  <c r="P45" i="30" s="1"/>
  <c r="I45" i="30"/>
  <c r="L40" i="29"/>
  <c r="M40" i="29" s="1"/>
  <c r="N40" i="29" s="1"/>
  <c r="O40" i="29" s="1"/>
  <c r="P40" i="29" s="1"/>
  <c r="I40" i="29"/>
  <c r="L63" i="29"/>
  <c r="M63" i="29" s="1"/>
  <c r="N63" i="29" s="1"/>
  <c r="O63" i="29" s="1"/>
  <c r="P63" i="29" s="1"/>
  <c r="I63" i="29"/>
  <c r="L39" i="29"/>
  <c r="M39" i="29" s="1"/>
  <c r="N39" i="29" s="1"/>
  <c r="I39" i="29"/>
  <c r="L65" i="29"/>
  <c r="M65" i="29" s="1"/>
  <c r="N65" i="29" s="1"/>
  <c r="O65" i="29" s="1"/>
  <c r="P65" i="29" s="1"/>
  <c r="I65" i="29"/>
  <c r="L52" i="29"/>
  <c r="M52" i="29" s="1"/>
  <c r="N52" i="29" s="1"/>
  <c r="O52" i="29" s="1"/>
  <c r="P52" i="29" s="1"/>
  <c r="I52" i="29"/>
  <c r="L67" i="29"/>
  <c r="M67" i="29" s="1"/>
  <c r="N67" i="29" s="1"/>
  <c r="O67" i="29" s="1"/>
  <c r="P67" i="29" s="1"/>
  <c r="I67" i="29"/>
  <c r="L60" i="29"/>
  <c r="M60" i="29" s="1"/>
  <c r="N60" i="29" s="1"/>
  <c r="O60" i="29" s="1"/>
  <c r="P60" i="29" s="1"/>
  <c r="I60" i="29"/>
  <c r="L42" i="29"/>
  <c r="M42" i="29" s="1"/>
  <c r="N42" i="29" s="1"/>
  <c r="O42" i="29" s="1"/>
  <c r="P42" i="29" s="1"/>
  <c r="I42" i="29"/>
  <c r="L69" i="29"/>
  <c r="M69" i="29" s="1"/>
  <c r="N69" i="29" s="1"/>
  <c r="O69" i="29" s="1"/>
  <c r="P69" i="29" s="1"/>
  <c r="I69" i="29"/>
  <c r="L56" i="29"/>
  <c r="M56" i="29" s="1"/>
  <c r="N56" i="29" s="1"/>
  <c r="O56" i="29" s="1"/>
  <c r="P56" i="29" s="1"/>
  <c r="I56" i="29"/>
  <c r="L45" i="29"/>
  <c r="M45" i="29" s="1"/>
  <c r="N45" i="29" s="1"/>
  <c r="O45" i="29" s="1"/>
  <c r="P45" i="29" s="1"/>
  <c r="I45" i="29"/>
  <c r="L73" i="29"/>
  <c r="M73" i="29" s="1"/>
  <c r="N73" i="29" s="1"/>
  <c r="O73" i="29" s="1"/>
  <c r="P73" i="29" s="1"/>
  <c r="I73" i="29"/>
  <c r="L82" i="29"/>
  <c r="M82" i="29" s="1"/>
  <c r="N82" i="29" s="1"/>
  <c r="O82" i="29" s="1"/>
  <c r="P82" i="29" s="1"/>
  <c r="I82" i="29"/>
  <c r="L35" i="29"/>
  <c r="M35" i="29" s="1"/>
  <c r="N35" i="29" s="1"/>
  <c r="I35" i="29"/>
  <c r="L66" i="29"/>
  <c r="M66" i="29" s="1"/>
  <c r="N66" i="29" s="1"/>
  <c r="O66" i="29" s="1"/>
  <c r="P66" i="29" s="1"/>
  <c r="I66" i="29"/>
  <c r="L38" i="29"/>
  <c r="M38" i="29" s="1"/>
  <c r="N38" i="29" s="1"/>
  <c r="I38" i="29"/>
  <c r="L75" i="29"/>
  <c r="M75" i="29" s="1"/>
  <c r="N75" i="29" s="1"/>
  <c r="O75" i="29" s="1"/>
  <c r="P75" i="29" s="1"/>
  <c r="I75" i="29"/>
  <c r="L84" i="29"/>
  <c r="M84" i="29" s="1"/>
  <c r="N84" i="29" s="1"/>
  <c r="I84" i="29"/>
  <c r="L62" i="29"/>
  <c r="M62" i="29" s="1"/>
  <c r="N62" i="29" s="1"/>
  <c r="O62" i="29" s="1"/>
  <c r="P62" i="29" s="1"/>
  <c r="I62" i="29"/>
  <c r="L64" i="29"/>
  <c r="M64" i="29" s="1"/>
  <c r="N64" i="29" s="1"/>
  <c r="I64" i="29"/>
  <c r="L68" i="29"/>
  <c r="M68" i="29" s="1"/>
  <c r="N68" i="29" s="1"/>
  <c r="O68" i="29" s="1"/>
  <c r="P68" i="29" s="1"/>
  <c r="I68" i="29"/>
  <c r="L41" i="29"/>
  <c r="M41" i="29" s="1"/>
  <c r="N41" i="29" s="1"/>
  <c r="O41" i="29" s="1"/>
  <c r="P41" i="29" s="1"/>
  <c r="I41" i="29"/>
  <c r="L77" i="29"/>
  <c r="M77" i="29" s="1"/>
  <c r="N77" i="29" s="1"/>
  <c r="O77" i="29" s="1"/>
  <c r="P77" i="29" s="1"/>
  <c r="I77" i="29"/>
  <c r="L54" i="29"/>
  <c r="M54" i="29" s="1"/>
  <c r="N54" i="29" s="1"/>
  <c r="I54" i="29"/>
  <c r="L71" i="29"/>
  <c r="M71" i="29" s="1"/>
  <c r="N71" i="29" s="1"/>
  <c r="O71" i="29" s="1"/>
  <c r="P71" i="29" s="1"/>
  <c r="I71" i="29"/>
  <c r="L70" i="29"/>
  <c r="M70" i="29" s="1"/>
  <c r="N70" i="29" s="1"/>
  <c r="O70" i="29" s="1"/>
  <c r="P70" i="29" s="1"/>
  <c r="I70" i="29"/>
  <c r="L47" i="29"/>
  <c r="M47" i="29" s="1"/>
  <c r="N47" i="29" s="1"/>
  <c r="O47" i="29" s="1"/>
  <c r="P47" i="29" s="1"/>
  <c r="I47" i="29"/>
  <c r="L79" i="29"/>
  <c r="M79" i="29" s="1"/>
  <c r="N79" i="29" s="1"/>
  <c r="O79" i="29" s="1"/>
  <c r="P79" i="29" s="1"/>
  <c r="I79" i="29"/>
  <c r="L61" i="29"/>
  <c r="M61" i="29" s="1"/>
  <c r="N61" i="29" s="1"/>
  <c r="O61" i="29" s="1"/>
  <c r="P61" i="29" s="1"/>
  <c r="I61" i="29"/>
  <c r="L58" i="29"/>
  <c r="M58" i="29" s="1"/>
  <c r="N58" i="29" s="1"/>
  <c r="O58" i="29" s="1"/>
  <c r="P58" i="29" s="1"/>
  <c r="I58" i="29"/>
  <c r="L72" i="29"/>
  <c r="M72" i="29" s="1"/>
  <c r="N72" i="29" s="1"/>
  <c r="O72" i="29" s="1"/>
  <c r="P72" i="29" s="1"/>
  <c r="I72" i="29"/>
  <c r="L81" i="29"/>
  <c r="M81" i="29" s="1"/>
  <c r="N81" i="29" s="1"/>
  <c r="O81" i="29" s="1"/>
  <c r="P81" i="29" s="1"/>
  <c r="I81" i="29"/>
  <c r="L74" i="29"/>
  <c r="M74" i="29" s="1"/>
  <c r="N74" i="29" s="1"/>
  <c r="I74" i="29"/>
  <c r="L51" i="29"/>
  <c r="M51" i="29" s="1"/>
  <c r="N51" i="29" s="1"/>
  <c r="O51" i="29" s="1"/>
  <c r="P51" i="29" s="1"/>
  <c r="I51" i="29"/>
  <c r="L83" i="29"/>
  <c r="M83" i="29" s="1"/>
  <c r="N83" i="29" s="1"/>
  <c r="O83" i="29" s="1"/>
  <c r="P83" i="29" s="1"/>
  <c r="I83" i="29"/>
  <c r="L59" i="29"/>
  <c r="M59" i="29" s="1"/>
  <c r="N59" i="29" s="1"/>
  <c r="O59" i="29" s="1"/>
  <c r="P59" i="29" s="1"/>
  <c r="I59" i="29"/>
  <c r="L43" i="29"/>
  <c r="M43" i="29" s="1"/>
  <c r="N43" i="29" s="1"/>
  <c r="O43" i="29" s="1"/>
  <c r="P43" i="29" s="1"/>
  <c r="I43" i="29"/>
  <c r="L49" i="29"/>
  <c r="M49" i="29" s="1"/>
  <c r="N49" i="29" s="1"/>
  <c r="O49" i="29" s="1"/>
  <c r="P49" i="29" s="1"/>
  <c r="I49" i="29"/>
  <c r="L36" i="29"/>
  <c r="M36" i="29" s="1"/>
  <c r="N36" i="29" s="1"/>
  <c r="I36" i="29"/>
  <c r="L76" i="29"/>
  <c r="M76" i="29" s="1"/>
  <c r="N76" i="29" s="1"/>
  <c r="O76" i="29" s="1"/>
  <c r="P76" i="29" s="1"/>
  <c r="I76" i="29"/>
  <c r="L53" i="29"/>
  <c r="M53" i="29" s="1"/>
  <c r="N53" i="29" s="1"/>
  <c r="O53" i="29" s="1"/>
  <c r="P53" i="29" s="1"/>
  <c r="I53" i="29"/>
  <c r="L85" i="29"/>
  <c r="M85" i="29" s="1"/>
  <c r="N85" i="29" s="1"/>
  <c r="O85" i="29" s="1"/>
  <c r="P85" i="29" s="1"/>
  <c r="I85" i="29"/>
  <c r="L50" i="29"/>
  <c r="M50" i="29" s="1"/>
  <c r="N50" i="29" s="1"/>
  <c r="O50" i="29" s="1"/>
  <c r="P50" i="29" s="1"/>
  <c r="I50" i="29"/>
  <c r="L46" i="29"/>
  <c r="M46" i="29" s="1"/>
  <c r="N46" i="29" s="1"/>
  <c r="O46" i="29" s="1"/>
  <c r="P46" i="29" s="1"/>
  <c r="I46" i="29"/>
  <c r="L78" i="29"/>
  <c r="M78" i="29" s="1"/>
  <c r="N78" i="29" s="1"/>
  <c r="O78" i="29" s="1"/>
  <c r="P78" i="29" s="1"/>
  <c r="I78" i="29"/>
  <c r="L55" i="29"/>
  <c r="M55" i="29" s="1"/>
  <c r="N55" i="29" s="1"/>
  <c r="O55" i="29" s="1"/>
  <c r="P55" i="29" s="1"/>
  <c r="I55" i="29"/>
  <c r="L44" i="29"/>
  <c r="M44" i="29" s="1"/>
  <c r="N44" i="29" s="1"/>
  <c r="I44" i="29"/>
  <c r="L48" i="29"/>
  <c r="M48" i="29" s="1"/>
  <c r="N48" i="29" s="1"/>
  <c r="O48" i="29" s="1"/>
  <c r="P48" i="29" s="1"/>
  <c r="I48" i="29"/>
  <c r="L80" i="29"/>
  <c r="M80" i="29" s="1"/>
  <c r="N80" i="29" s="1"/>
  <c r="O80" i="29" s="1"/>
  <c r="P80" i="29" s="1"/>
  <c r="I80" i="29"/>
  <c r="L57" i="29"/>
  <c r="M57" i="29" s="1"/>
  <c r="N57" i="29" s="1"/>
  <c r="O57" i="29" s="1"/>
  <c r="P57" i="29" s="1"/>
  <c r="I57" i="29"/>
  <c r="L37" i="29"/>
  <c r="M37" i="29" s="1"/>
  <c r="N37" i="29" s="1"/>
  <c r="I37" i="29"/>
  <c r="L60" i="28"/>
  <c r="M60" i="28" s="1"/>
  <c r="N60" i="28" s="1"/>
  <c r="O60" i="28" s="1"/>
  <c r="P60" i="28" s="1"/>
  <c r="I60" i="28"/>
  <c r="L64" i="28"/>
  <c r="M64" i="28" s="1"/>
  <c r="N64" i="28" s="1"/>
  <c r="I64" i="28"/>
  <c r="L53" i="28"/>
  <c r="M53" i="28" s="1"/>
  <c r="N53" i="28" s="1"/>
  <c r="O53" i="28" s="1"/>
  <c r="P53" i="28" s="1"/>
  <c r="I53" i="28"/>
  <c r="L69" i="28"/>
  <c r="M69" i="28" s="1"/>
  <c r="N69" i="28" s="1"/>
  <c r="O69" i="28" s="1"/>
  <c r="P69" i="28" s="1"/>
  <c r="I69" i="28"/>
  <c r="L66" i="28"/>
  <c r="M66" i="28" s="1"/>
  <c r="N66" i="28" s="1"/>
  <c r="O66" i="28" s="1"/>
  <c r="P66" i="28" s="1"/>
  <c r="I66" i="28"/>
  <c r="L58" i="28"/>
  <c r="M58" i="28" s="1"/>
  <c r="N58" i="28" s="1"/>
  <c r="O58" i="28" s="1"/>
  <c r="P58" i="28" s="1"/>
  <c r="I58" i="28"/>
  <c r="L62" i="28"/>
  <c r="M62" i="28" s="1"/>
  <c r="N62" i="28" s="1"/>
  <c r="O62" i="28" s="1"/>
  <c r="P62" i="28" s="1"/>
  <c r="I62" i="28"/>
  <c r="L59" i="28"/>
  <c r="M59" i="28" s="1"/>
  <c r="N59" i="28" s="1"/>
  <c r="O59" i="28" s="1"/>
  <c r="P59" i="28" s="1"/>
  <c r="I59" i="28"/>
  <c r="L73" i="28"/>
  <c r="M73" i="28" s="1"/>
  <c r="N73" i="28" s="1"/>
  <c r="O73" i="28" s="1"/>
  <c r="P73" i="28" s="1"/>
  <c r="I73" i="28"/>
  <c r="L68" i="28"/>
  <c r="M68" i="28" s="1"/>
  <c r="N68" i="28" s="1"/>
  <c r="O68" i="28" s="1"/>
  <c r="P68" i="28" s="1"/>
  <c r="I68" i="28"/>
  <c r="L38" i="28"/>
  <c r="M38" i="28" s="1"/>
  <c r="N38" i="28" s="1"/>
  <c r="I38" i="28"/>
  <c r="L57" i="28"/>
  <c r="M57" i="28" s="1"/>
  <c r="N57" i="28" s="1"/>
  <c r="O57" i="28" s="1"/>
  <c r="P57" i="28" s="1"/>
  <c r="I57" i="28"/>
  <c r="L65" i="28"/>
  <c r="M65" i="28" s="1"/>
  <c r="N65" i="28" s="1"/>
  <c r="O65" i="28" s="1"/>
  <c r="P65" i="28" s="1"/>
  <c r="I65" i="28"/>
  <c r="L63" i="28"/>
  <c r="M63" i="28" s="1"/>
  <c r="N63" i="28" s="1"/>
  <c r="O63" i="28" s="1"/>
  <c r="P63" i="28" s="1"/>
  <c r="I63" i="28"/>
  <c r="L70" i="28"/>
  <c r="M70" i="28" s="1"/>
  <c r="N70" i="28" s="1"/>
  <c r="O70" i="28" s="1"/>
  <c r="P70" i="28" s="1"/>
  <c r="I70" i="28"/>
  <c r="L67" i="28"/>
  <c r="M67" i="28" s="1"/>
  <c r="N67" i="28" s="1"/>
  <c r="O67" i="28" s="1"/>
  <c r="P67" i="28" s="1"/>
  <c r="I67" i="28"/>
  <c r="L81" i="28"/>
  <c r="M81" i="28" s="1"/>
  <c r="N81" i="28" s="1"/>
  <c r="O81" i="28" s="1"/>
  <c r="P81" i="28" s="1"/>
  <c r="I81" i="28"/>
  <c r="L72" i="28"/>
  <c r="M72" i="28" s="1"/>
  <c r="N72" i="28" s="1"/>
  <c r="O72" i="28" s="1"/>
  <c r="P72" i="28" s="1"/>
  <c r="I72" i="28"/>
  <c r="L41" i="28"/>
  <c r="M41" i="28" s="1"/>
  <c r="N41" i="28" s="1"/>
  <c r="O41" i="28" s="1"/>
  <c r="P41" i="28" s="1"/>
  <c r="I41" i="28"/>
  <c r="L61" i="28"/>
  <c r="M61" i="28" s="1"/>
  <c r="N61" i="28" s="1"/>
  <c r="O61" i="28" s="1"/>
  <c r="P61" i="28" s="1"/>
  <c r="I61" i="28"/>
  <c r="L55" i="28"/>
  <c r="M55" i="28" s="1"/>
  <c r="N55" i="28" s="1"/>
  <c r="O55" i="28" s="1"/>
  <c r="P55" i="28" s="1"/>
  <c r="I55" i="28"/>
  <c r="L71" i="28"/>
  <c r="M71" i="28" s="1"/>
  <c r="N71" i="28" s="1"/>
  <c r="O71" i="28" s="1"/>
  <c r="P71" i="28" s="1"/>
  <c r="I71" i="28"/>
  <c r="L85" i="28"/>
  <c r="M85" i="28" s="1"/>
  <c r="N85" i="28" s="1"/>
  <c r="O85" i="28" s="1"/>
  <c r="P85" i="28" s="1"/>
  <c r="I85" i="28"/>
  <c r="L74" i="28"/>
  <c r="M74" i="28" s="1"/>
  <c r="N74" i="28" s="1"/>
  <c r="I74" i="28"/>
  <c r="L45" i="28"/>
  <c r="M45" i="28" s="1"/>
  <c r="N45" i="28" s="1"/>
  <c r="O45" i="28" s="1"/>
  <c r="P45" i="28" s="1"/>
  <c r="I45" i="28"/>
  <c r="L47" i="28"/>
  <c r="M47" i="28" s="1"/>
  <c r="N47" i="28" s="1"/>
  <c r="O47" i="28" s="1"/>
  <c r="P47" i="28" s="1"/>
  <c r="I47" i="28"/>
  <c r="L51" i="28"/>
  <c r="M51" i="28" s="1"/>
  <c r="N51" i="28" s="1"/>
  <c r="O51" i="28" s="1"/>
  <c r="P51" i="28" s="1"/>
  <c r="I51" i="28"/>
  <c r="L77" i="28"/>
  <c r="M77" i="28" s="1"/>
  <c r="N77" i="28" s="1"/>
  <c r="O77" i="28" s="1"/>
  <c r="P77" i="28" s="1"/>
  <c r="I77" i="28"/>
  <c r="L75" i="28"/>
  <c r="M75" i="28" s="1"/>
  <c r="N75" i="28" s="1"/>
  <c r="O75" i="28" s="1"/>
  <c r="P75" i="28" s="1"/>
  <c r="I75" i="28"/>
  <c r="L36" i="28"/>
  <c r="M36" i="28" s="1"/>
  <c r="N36" i="28" s="1"/>
  <c r="I36" i="28"/>
  <c r="L76" i="28"/>
  <c r="M76" i="28" s="1"/>
  <c r="N76" i="28" s="1"/>
  <c r="O76" i="28" s="1"/>
  <c r="P76" i="28" s="1"/>
  <c r="I76" i="28"/>
  <c r="L79" i="28"/>
  <c r="M79" i="28" s="1"/>
  <c r="N79" i="28" s="1"/>
  <c r="O79" i="28" s="1"/>
  <c r="P79" i="28" s="1"/>
  <c r="I79" i="28"/>
  <c r="L46" i="28"/>
  <c r="M46" i="28" s="1"/>
  <c r="N46" i="28" s="1"/>
  <c r="O46" i="28" s="1"/>
  <c r="P46" i="28" s="1"/>
  <c r="I46" i="28"/>
  <c r="L78" i="28"/>
  <c r="M78" i="28" s="1"/>
  <c r="N78" i="28" s="1"/>
  <c r="O78" i="28" s="1"/>
  <c r="P78" i="28" s="1"/>
  <c r="I78" i="28"/>
  <c r="L83" i="28"/>
  <c r="M83" i="28" s="1"/>
  <c r="N83" i="28" s="1"/>
  <c r="O83" i="28" s="1"/>
  <c r="P83" i="28" s="1"/>
  <c r="I83" i="28"/>
  <c r="L48" i="28"/>
  <c r="M48" i="28" s="1"/>
  <c r="N48" i="28" s="1"/>
  <c r="O48" i="28" s="1"/>
  <c r="P48" i="28" s="1"/>
  <c r="I48" i="28"/>
  <c r="L80" i="28"/>
  <c r="M80" i="28" s="1"/>
  <c r="N80" i="28" s="1"/>
  <c r="O80" i="28" s="1"/>
  <c r="P80" i="28" s="1"/>
  <c r="I80" i="28"/>
  <c r="L44" i="28"/>
  <c r="M44" i="28" s="1"/>
  <c r="N44" i="28" s="1"/>
  <c r="I44" i="28"/>
  <c r="L50" i="28"/>
  <c r="M50" i="28" s="1"/>
  <c r="N50" i="28" s="1"/>
  <c r="O50" i="28" s="1"/>
  <c r="P50" i="28" s="1"/>
  <c r="I50" i="28"/>
  <c r="L82" i="28"/>
  <c r="M82" i="28" s="1"/>
  <c r="N82" i="28" s="1"/>
  <c r="O82" i="28" s="1"/>
  <c r="P82" i="28" s="1"/>
  <c r="I82" i="28"/>
  <c r="L37" i="28"/>
  <c r="M37" i="28" s="1"/>
  <c r="N37" i="28" s="1"/>
  <c r="I37" i="28"/>
  <c r="L52" i="28"/>
  <c r="M52" i="28" s="1"/>
  <c r="N52" i="28" s="1"/>
  <c r="O52" i="28" s="1"/>
  <c r="P52" i="28" s="1"/>
  <c r="I52" i="28"/>
  <c r="L84" i="28"/>
  <c r="M84" i="28" s="1"/>
  <c r="N84" i="28" s="1"/>
  <c r="I84" i="28"/>
  <c r="L40" i="28"/>
  <c r="M40" i="28" s="1"/>
  <c r="N40" i="28" s="1"/>
  <c r="O40" i="28" s="1"/>
  <c r="P40" i="28" s="1"/>
  <c r="I40" i="28"/>
  <c r="L42" i="28"/>
  <c r="M42" i="28" s="1"/>
  <c r="N42" i="28" s="1"/>
  <c r="O42" i="28" s="1"/>
  <c r="P42" i="28" s="1"/>
  <c r="I42" i="28"/>
  <c r="L54" i="28"/>
  <c r="M54" i="28" s="1"/>
  <c r="N54" i="28" s="1"/>
  <c r="I54" i="28"/>
  <c r="L39" i="28"/>
  <c r="M39" i="28" s="1"/>
  <c r="N39" i="28" s="1"/>
  <c r="I39" i="28"/>
  <c r="L43" i="28"/>
  <c r="M43" i="28" s="1"/>
  <c r="N43" i="28" s="1"/>
  <c r="O43" i="28" s="1"/>
  <c r="P43" i="28" s="1"/>
  <c r="I43" i="28"/>
  <c r="L49" i="28"/>
  <c r="M49" i="28" s="1"/>
  <c r="N49" i="28" s="1"/>
  <c r="O49" i="28" s="1"/>
  <c r="P49" i="28" s="1"/>
  <c r="I49" i="28"/>
  <c r="L56" i="28"/>
  <c r="M56" i="28" s="1"/>
  <c r="N56" i="28" s="1"/>
  <c r="O56" i="28" s="1"/>
  <c r="P56" i="28" s="1"/>
  <c r="I56" i="28"/>
  <c r="L35" i="28"/>
  <c r="M35" i="28" s="1"/>
  <c r="N35" i="28" s="1"/>
  <c r="I35" i="28"/>
  <c r="N54" i="30" l="1"/>
  <c r="O54" i="30" s="1"/>
  <c r="P54" i="30" s="1"/>
  <c r="U42" i="30" s="1"/>
  <c r="S57" i="30"/>
  <c r="T57" i="30" s="1"/>
  <c r="U57" i="30" s="1"/>
  <c r="N44" i="30"/>
  <c r="T41" i="30" s="1"/>
  <c r="S56" i="30"/>
  <c r="T56" i="30" s="1"/>
  <c r="U56" i="30" s="1"/>
  <c r="N84" i="30"/>
  <c r="O84" i="30" s="1"/>
  <c r="P84" i="30" s="1"/>
  <c r="U45" i="30" s="1"/>
  <c r="S60" i="30"/>
  <c r="T60" i="30" s="1"/>
  <c r="U60" i="30" s="1"/>
  <c r="N35" i="30"/>
  <c r="T36" i="30" s="1"/>
  <c r="S51" i="30"/>
  <c r="T51" i="30" s="1"/>
  <c r="U51" i="30" s="1"/>
  <c r="N38" i="30"/>
  <c r="T39" i="30" s="1"/>
  <c r="S54" i="30"/>
  <c r="T54" i="30" s="1"/>
  <c r="U54" i="30" s="1"/>
  <c r="N37" i="30"/>
  <c r="O37" i="30" s="1"/>
  <c r="P37" i="30" s="1"/>
  <c r="U38" i="30" s="1"/>
  <c r="S53" i="30"/>
  <c r="T53" i="30" s="1"/>
  <c r="U53" i="30" s="1"/>
  <c r="N39" i="30"/>
  <c r="O39" i="30" s="1"/>
  <c r="P39" i="30" s="1"/>
  <c r="U40" i="30" s="1"/>
  <c r="S55" i="30"/>
  <c r="T55" i="30" s="1"/>
  <c r="U55" i="30" s="1"/>
  <c r="N74" i="30"/>
  <c r="O74" i="30" s="1"/>
  <c r="P74" i="30" s="1"/>
  <c r="U44" i="30" s="1"/>
  <c r="S59" i="30"/>
  <c r="T59" i="30" s="1"/>
  <c r="U59" i="30" s="1"/>
  <c r="N36" i="30"/>
  <c r="T37" i="30" s="1"/>
  <c r="S52" i="30"/>
  <c r="T52" i="30" s="1"/>
  <c r="U52" i="30" s="1"/>
  <c r="N64" i="30"/>
  <c r="S58" i="30"/>
  <c r="T58" i="30" s="1"/>
  <c r="U58" i="30" s="1"/>
  <c r="O44" i="30"/>
  <c r="P44" i="30" s="1"/>
  <c r="U41" i="30" s="1"/>
  <c r="O64" i="30"/>
  <c r="P64" i="30" s="1"/>
  <c r="U43" i="30" s="1"/>
  <c r="T43" i="30"/>
  <c r="T41" i="29"/>
  <c r="O44" i="29"/>
  <c r="P44" i="29" s="1"/>
  <c r="U41" i="29" s="1"/>
  <c r="O35" i="29"/>
  <c r="P35" i="29" s="1"/>
  <c r="U36" i="29" s="1"/>
  <c r="T36" i="29"/>
  <c r="T42" i="29"/>
  <c r="O54" i="29"/>
  <c r="P54" i="29" s="1"/>
  <c r="U42" i="29" s="1"/>
  <c r="T43" i="29"/>
  <c r="O64" i="29"/>
  <c r="P64" i="29" s="1"/>
  <c r="U43" i="29" s="1"/>
  <c r="O37" i="29"/>
  <c r="P37" i="29" s="1"/>
  <c r="U38" i="29" s="1"/>
  <c r="T38" i="29"/>
  <c r="O39" i="29"/>
  <c r="P39" i="29" s="1"/>
  <c r="U40" i="29" s="1"/>
  <c r="T40" i="29"/>
  <c r="T37" i="29"/>
  <c r="O36" i="29"/>
  <c r="P36" i="29" s="1"/>
  <c r="U37" i="29" s="1"/>
  <c r="V37" i="29" s="1"/>
  <c r="T45" i="29"/>
  <c r="O84" i="29"/>
  <c r="P84" i="29" s="1"/>
  <c r="U45" i="29" s="1"/>
  <c r="O38" i="29"/>
  <c r="P38" i="29" s="1"/>
  <c r="U39" i="29" s="1"/>
  <c r="T39" i="29"/>
  <c r="O74" i="29"/>
  <c r="P74" i="29" s="1"/>
  <c r="U44" i="29" s="1"/>
  <c r="V44" i="29" s="1"/>
  <c r="T44" i="29"/>
  <c r="O39" i="28"/>
  <c r="P39" i="28" s="1"/>
  <c r="U40" i="28" s="1"/>
  <c r="T40" i="28"/>
  <c r="O54" i="28"/>
  <c r="P54" i="28" s="1"/>
  <c r="U42" i="28" s="1"/>
  <c r="T42" i="28"/>
  <c r="O36" i="28"/>
  <c r="P36" i="28" s="1"/>
  <c r="U37" i="28" s="1"/>
  <c r="V37" i="28" s="1"/>
  <c r="T37" i="28"/>
  <c r="O74" i="28"/>
  <c r="P74" i="28" s="1"/>
  <c r="U44" i="28" s="1"/>
  <c r="V44" i="28" s="1"/>
  <c r="T44" i="28"/>
  <c r="T36" i="28"/>
  <c r="O35" i="28"/>
  <c r="P35" i="28" s="1"/>
  <c r="U36" i="28" s="1"/>
  <c r="O84" i="28"/>
  <c r="P84" i="28" s="1"/>
  <c r="U45" i="28" s="1"/>
  <c r="T45" i="28"/>
  <c r="T39" i="28"/>
  <c r="O38" i="28"/>
  <c r="P38" i="28" s="1"/>
  <c r="U39" i="28" s="1"/>
  <c r="T41" i="28"/>
  <c r="O44" i="28"/>
  <c r="P44" i="28" s="1"/>
  <c r="U41" i="28" s="1"/>
  <c r="O64" i="28"/>
  <c r="P64" i="28" s="1"/>
  <c r="U43" i="28" s="1"/>
  <c r="T43" i="28"/>
  <c r="T38" i="28"/>
  <c r="O37" i="28"/>
  <c r="P37" i="28" s="1"/>
  <c r="U38" i="28" s="1"/>
  <c r="O36" i="30" l="1"/>
  <c r="P36" i="30" s="1"/>
  <c r="U37" i="30" s="1"/>
  <c r="V37" i="30" s="1"/>
  <c r="T42" i="30"/>
  <c r="V44" i="30"/>
  <c r="Y28" i="30"/>
  <c r="O38" i="30"/>
  <c r="P38" i="30" s="1"/>
  <c r="U39" i="30" s="1"/>
  <c r="T40" i="30"/>
  <c r="S32" i="30" s="1"/>
  <c r="T44" i="30"/>
  <c r="T38" i="30"/>
  <c r="O35" i="30"/>
  <c r="P35" i="30" s="1"/>
  <c r="U36" i="30" s="1"/>
  <c r="T45" i="30"/>
  <c r="S33" i="30"/>
  <c r="R44" i="30"/>
  <c r="R37" i="30"/>
  <c r="S31" i="30"/>
  <c r="S31" i="29"/>
  <c r="R37" i="29"/>
  <c r="R44" i="29"/>
  <c r="S33" i="29"/>
  <c r="S32" i="29"/>
  <c r="R40" i="29"/>
  <c r="S31" i="28"/>
  <c r="R37" i="28"/>
  <c r="R44" i="28"/>
  <c r="S33" i="28"/>
  <c r="S32" i="28"/>
  <c r="R40" i="28"/>
  <c r="Y27" i="30" l="1"/>
  <c r="R40" i="30"/>
  <c r="Y33" i="30" a="1"/>
  <c r="Y33" i="30" s="1"/>
  <c r="Y32" i="30" a="1"/>
  <c r="Y32" i="30" s="1"/>
  <c r="AS36" i="26" a="1"/>
  <c r="AS36" i="26" s="1"/>
  <c r="AS35" i="26" a="1"/>
  <c r="AS35" i="26" s="1"/>
  <c r="AS34" i="26" a="1"/>
  <c r="AS34" i="26" s="1"/>
  <c r="AS33" i="26" a="1"/>
  <c r="AS33" i="26" s="1"/>
  <c r="C33" i="26" a="1"/>
  <c r="C33" i="26" s="1"/>
  <c r="C32" i="26" a="1"/>
  <c r="C32" i="26" s="1"/>
  <c r="F29" i="26"/>
  <c r="F27" i="26"/>
  <c r="U19" i="26"/>
  <c r="T19" i="26"/>
  <c r="L19" i="26"/>
  <c r="T18" i="26"/>
  <c r="U18" i="26" s="1"/>
  <c r="L18" i="26"/>
  <c r="U17" i="26"/>
  <c r="T17" i="26"/>
  <c r="L17" i="26"/>
  <c r="T16" i="26"/>
  <c r="U16" i="26" s="1"/>
  <c r="L16" i="26"/>
  <c r="T15" i="26"/>
  <c r="U15" i="26" s="1"/>
  <c r="L15" i="26"/>
  <c r="T14" i="26"/>
  <c r="U14" i="26" s="1"/>
  <c r="T13" i="26"/>
  <c r="U13" i="26" s="1"/>
  <c r="T12" i="26"/>
  <c r="U12" i="26" s="1"/>
  <c r="T11" i="26"/>
  <c r="U11" i="26" s="1"/>
  <c r="T10" i="26"/>
  <c r="U10" i="26" s="1"/>
  <c r="Q7" i="26"/>
  <c r="L16" i="23"/>
  <c r="L17" i="23"/>
  <c r="L18" i="23"/>
  <c r="L19" i="23"/>
  <c r="L15" i="23"/>
  <c r="Y42" i="30" l="1"/>
  <c r="Y44" i="30"/>
  <c r="Y40" i="30"/>
  <c r="Y43" i="30"/>
  <c r="Y41" i="30"/>
  <c r="Y38" i="30"/>
  <c r="Y39" i="30"/>
  <c r="Y37" i="30"/>
  <c r="C43" i="26"/>
  <c r="C68" i="26"/>
  <c r="C46" i="26"/>
  <c r="C40" i="26"/>
  <c r="C37" i="26"/>
  <c r="C72" i="26"/>
  <c r="C44" i="26"/>
  <c r="C64" i="26"/>
  <c r="C36" i="26"/>
  <c r="C85" i="26"/>
  <c r="C83" i="26"/>
  <c r="C81" i="26"/>
  <c r="C79" i="26"/>
  <c r="C77" i="26"/>
  <c r="C75" i="26"/>
  <c r="C73" i="26"/>
  <c r="C71" i="26"/>
  <c r="C69" i="26"/>
  <c r="C67" i="26"/>
  <c r="C65" i="26"/>
  <c r="C63" i="26"/>
  <c r="C61" i="26"/>
  <c r="C59" i="26"/>
  <c r="C57" i="26"/>
  <c r="C55" i="26"/>
  <c r="C53" i="26"/>
  <c r="C51" i="26"/>
  <c r="C49" i="26"/>
  <c r="C47" i="26"/>
  <c r="C41" i="26"/>
  <c r="C38" i="26"/>
  <c r="C45" i="26"/>
  <c r="C35" i="26"/>
  <c r="C82" i="26"/>
  <c r="C78" i="26"/>
  <c r="C74" i="26"/>
  <c r="C70" i="26"/>
  <c r="C62" i="26"/>
  <c r="C60" i="26"/>
  <c r="C56" i="26"/>
  <c r="C52" i="26"/>
  <c r="C48" i="26"/>
  <c r="C84" i="26"/>
  <c r="C76" i="26"/>
  <c r="C66" i="26"/>
  <c r="C58" i="26"/>
  <c r="C50" i="26"/>
  <c r="C80" i="26"/>
  <c r="C54" i="26"/>
  <c r="C42" i="26"/>
  <c r="C39" i="26"/>
  <c r="AR42" i="26"/>
  <c r="AR43" i="26"/>
  <c r="AR40" i="26"/>
  <c r="AR44" i="26"/>
  <c r="AR41" i="26"/>
  <c r="AL32" i="24" a="1"/>
  <c r="AL32" i="24" s="1"/>
  <c r="C32" i="24" a="1"/>
  <c r="C32" i="24" s="1"/>
  <c r="AL31" i="24" a="1"/>
  <c r="AL31" i="24" s="1"/>
  <c r="C31" i="24" a="1"/>
  <c r="C31" i="24" s="1"/>
  <c r="C36" i="24" s="1"/>
  <c r="AL30" i="24" a="1"/>
  <c r="AL30" i="24" s="1"/>
  <c r="AL29" i="24" a="1"/>
  <c r="AL29" i="24" s="1"/>
  <c r="F29" i="24"/>
  <c r="F27" i="24"/>
  <c r="T19" i="24"/>
  <c r="U19" i="24" s="1"/>
  <c r="T18" i="24"/>
  <c r="U18" i="24" s="1"/>
  <c r="T17" i="24"/>
  <c r="U17" i="24" s="1"/>
  <c r="T16" i="24"/>
  <c r="U16" i="24" s="1"/>
  <c r="T15" i="24"/>
  <c r="U15" i="24" s="1"/>
  <c r="T14" i="24"/>
  <c r="U14" i="24" s="1"/>
  <c r="T13" i="24"/>
  <c r="U13" i="24" s="1"/>
  <c r="T12" i="24"/>
  <c r="U12" i="24" s="1"/>
  <c r="T11" i="24"/>
  <c r="U11" i="24" s="1"/>
  <c r="T10" i="24"/>
  <c r="U10" i="24" s="1"/>
  <c r="Q7" i="24"/>
  <c r="C32" i="23" a="1"/>
  <c r="C32" i="23" s="1"/>
  <c r="F29" i="23"/>
  <c r="F27" i="23"/>
  <c r="AS35" i="23" a="1"/>
  <c r="AS35" i="23" s="1"/>
  <c r="AS34" i="23" a="1"/>
  <c r="AS34" i="23" s="1"/>
  <c r="C33" i="23" a="1"/>
  <c r="C33" i="23" s="1"/>
  <c r="AS33" i="23" a="1"/>
  <c r="AS33" i="23" s="1"/>
  <c r="AS32" i="23" a="1"/>
  <c r="AS32" i="23" s="1"/>
  <c r="T19" i="23"/>
  <c r="U19" i="23" s="1"/>
  <c r="T18" i="23"/>
  <c r="U18" i="23" s="1"/>
  <c r="T17" i="23"/>
  <c r="U17" i="23" s="1"/>
  <c r="T16" i="23"/>
  <c r="U16" i="23" s="1"/>
  <c r="T15" i="23"/>
  <c r="U15" i="23" s="1"/>
  <c r="T14" i="23"/>
  <c r="U14" i="23" s="1"/>
  <c r="T13" i="23"/>
  <c r="U13" i="23" s="1"/>
  <c r="T12" i="23"/>
  <c r="U12" i="23" s="1"/>
  <c r="T11" i="23"/>
  <c r="U11" i="23" s="1"/>
  <c r="T10" i="23"/>
  <c r="U10" i="23" s="1"/>
  <c r="Q7" i="23"/>
  <c r="AL154" i="19"/>
  <c r="O74" i="21"/>
  <c r="J96" i="21"/>
  <c r="J49" i="21"/>
  <c r="J73" i="21"/>
  <c r="J74" i="21"/>
  <c r="J75" i="21"/>
  <c r="J76" i="21"/>
  <c r="J77" i="21"/>
  <c r="K77" i="21" s="1"/>
  <c r="J78" i="21"/>
  <c r="J79" i="21"/>
  <c r="J80" i="21"/>
  <c r="K80" i="21" s="1"/>
  <c r="J81" i="21"/>
  <c r="J82" i="21"/>
  <c r="J83" i="21"/>
  <c r="J84" i="21"/>
  <c r="J85" i="21"/>
  <c r="K85" i="21" s="1"/>
  <c r="J86" i="21"/>
  <c r="J87" i="21"/>
  <c r="J88" i="21"/>
  <c r="J89" i="21"/>
  <c r="J90" i="21"/>
  <c r="J91" i="21"/>
  <c r="J92" i="21"/>
  <c r="J93" i="21"/>
  <c r="K93" i="21" s="1"/>
  <c r="J94" i="21"/>
  <c r="J95" i="21"/>
  <c r="K95" i="21" s="1"/>
  <c r="J50" i="21"/>
  <c r="K50" i="21" s="1"/>
  <c r="J51" i="21"/>
  <c r="J52" i="21"/>
  <c r="K52" i="21" s="1"/>
  <c r="J53" i="21"/>
  <c r="K53" i="21" s="1"/>
  <c r="L53" i="21" s="1"/>
  <c r="J54" i="21"/>
  <c r="J55" i="21"/>
  <c r="K55" i="21" s="1"/>
  <c r="J56" i="21"/>
  <c r="J57" i="21"/>
  <c r="K57" i="21" s="1"/>
  <c r="J58" i="21"/>
  <c r="J59" i="21"/>
  <c r="J60" i="21"/>
  <c r="K60" i="21" s="1"/>
  <c r="J61" i="21"/>
  <c r="K61" i="21" s="1"/>
  <c r="J62" i="21"/>
  <c r="K62" i="21" s="1"/>
  <c r="L62" i="21" s="1"/>
  <c r="J63" i="21"/>
  <c r="K63" i="21" s="1"/>
  <c r="L63" i="21" s="1"/>
  <c r="J64" i="21"/>
  <c r="J65" i="21"/>
  <c r="K65" i="21" s="1"/>
  <c r="J66" i="21"/>
  <c r="K66" i="21" s="1"/>
  <c r="J67" i="21"/>
  <c r="J68" i="21"/>
  <c r="K68" i="21" s="1"/>
  <c r="J69" i="21"/>
  <c r="K69" i="21" s="1"/>
  <c r="L69" i="21" s="1"/>
  <c r="J70" i="21"/>
  <c r="K70" i="21" s="1"/>
  <c r="L70" i="21" s="1"/>
  <c r="J71" i="21"/>
  <c r="K71" i="21" s="1"/>
  <c r="L71" i="21" s="1"/>
  <c r="J72" i="21"/>
  <c r="V21" i="21" a="1"/>
  <c r="V21" i="21" s="1"/>
  <c r="G21" i="21" a="1"/>
  <c r="G21" i="21" s="1"/>
  <c r="V20" i="21" a="1"/>
  <c r="V20" i="21" s="1"/>
  <c r="G20" i="21" a="1"/>
  <c r="G20" i="21" s="1"/>
  <c r="AN155" i="19"/>
  <c r="AN156" i="19"/>
  <c r="AN157" i="19"/>
  <c r="AN158" i="19"/>
  <c r="AN159" i="19"/>
  <c r="AN160" i="19"/>
  <c r="AN161" i="19"/>
  <c r="AN162" i="19"/>
  <c r="AN163" i="19"/>
  <c r="AN164" i="19"/>
  <c r="AN165" i="19"/>
  <c r="AN166" i="19"/>
  <c r="AN167" i="19"/>
  <c r="AN168" i="19"/>
  <c r="AN169" i="19"/>
  <c r="AN170" i="19"/>
  <c r="AN171" i="19"/>
  <c r="AN172" i="19"/>
  <c r="AN173" i="19"/>
  <c r="AN174" i="19"/>
  <c r="AN175" i="19"/>
  <c r="AN176" i="19"/>
  <c r="AN177" i="19"/>
  <c r="AN178" i="19"/>
  <c r="AN179" i="19"/>
  <c r="AN180" i="19"/>
  <c r="AN181" i="19"/>
  <c r="AN182" i="19"/>
  <c r="AN183" i="19"/>
  <c r="AN184" i="19"/>
  <c r="AN185" i="19"/>
  <c r="AN186" i="19"/>
  <c r="AN187" i="19"/>
  <c r="AN188" i="19"/>
  <c r="AN189" i="19"/>
  <c r="AN190" i="19"/>
  <c r="AN191" i="19"/>
  <c r="AN192" i="19"/>
  <c r="AN193" i="19"/>
  <c r="AN194" i="19"/>
  <c r="AN195" i="19"/>
  <c r="AN196" i="19"/>
  <c r="AN197" i="19"/>
  <c r="AN198" i="19"/>
  <c r="AN199" i="19"/>
  <c r="AN200" i="19"/>
  <c r="AN201" i="19"/>
  <c r="AN202" i="19"/>
  <c r="AN203" i="19"/>
  <c r="AM155" i="19"/>
  <c r="AM156" i="19"/>
  <c r="AM157" i="19"/>
  <c r="AM158" i="19"/>
  <c r="AM159" i="19"/>
  <c r="AM160" i="19"/>
  <c r="AM161" i="19"/>
  <c r="AM162" i="19"/>
  <c r="AM163" i="19"/>
  <c r="AM164" i="19"/>
  <c r="AM165" i="19"/>
  <c r="AM166" i="19"/>
  <c r="AM167" i="19"/>
  <c r="AM168" i="19"/>
  <c r="AM169" i="19"/>
  <c r="AM170" i="19"/>
  <c r="AM171" i="19"/>
  <c r="AM172" i="19"/>
  <c r="AM173" i="19"/>
  <c r="AM174" i="19"/>
  <c r="AM175" i="19"/>
  <c r="AM176" i="19"/>
  <c r="AM177" i="19"/>
  <c r="AM178" i="19"/>
  <c r="AM179" i="19"/>
  <c r="AM180" i="19"/>
  <c r="AM181" i="19"/>
  <c r="AM182" i="19"/>
  <c r="AM183" i="19"/>
  <c r="AM184" i="19"/>
  <c r="AM185" i="19"/>
  <c r="AM186" i="19"/>
  <c r="AM187" i="19"/>
  <c r="AM188" i="19"/>
  <c r="AM189" i="19"/>
  <c r="AM190" i="19"/>
  <c r="AM191" i="19"/>
  <c r="AM192" i="19"/>
  <c r="AM193" i="19"/>
  <c r="AM194" i="19"/>
  <c r="AM195" i="19"/>
  <c r="AM196" i="19"/>
  <c r="AM197" i="19"/>
  <c r="AM198" i="19"/>
  <c r="AM199" i="19"/>
  <c r="AM200" i="19"/>
  <c r="AM201" i="19"/>
  <c r="AM202" i="19"/>
  <c r="AM203" i="19"/>
  <c r="AM154" i="19"/>
  <c r="AN154" i="19" s="1"/>
  <c r="B154" i="19"/>
  <c r="AL159" i="19"/>
  <c r="AL160" i="19"/>
  <c r="AL161" i="19"/>
  <c r="AL162" i="19"/>
  <c r="AL163" i="19"/>
  <c r="AL164" i="19"/>
  <c r="AL165" i="19"/>
  <c r="AL166" i="19"/>
  <c r="AL167" i="19"/>
  <c r="AL168" i="19"/>
  <c r="AL169" i="19"/>
  <c r="AL170" i="19"/>
  <c r="AL171" i="19"/>
  <c r="AL172" i="19"/>
  <c r="AL173" i="19"/>
  <c r="AL174" i="19"/>
  <c r="AL175" i="19"/>
  <c r="AL176" i="19"/>
  <c r="AL177" i="19"/>
  <c r="AL178" i="19"/>
  <c r="AL179" i="19"/>
  <c r="AL180" i="19"/>
  <c r="AL181" i="19"/>
  <c r="AL182" i="19"/>
  <c r="AL183" i="19"/>
  <c r="AL184" i="19"/>
  <c r="AL185" i="19"/>
  <c r="AL186" i="19"/>
  <c r="AL187" i="19"/>
  <c r="AL188" i="19"/>
  <c r="AL189" i="19"/>
  <c r="AL190" i="19"/>
  <c r="AL191" i="19"/>
  <c r="AL192" i="19"/>
  <c r="AL193" i="19"/>
  <c r="AL194" i="19"/>
  <c r="AL195" i="19"/>
  <c r="AL196" i="19"/>
  <c r="AL197" i="19"/>
  <c r="AL198" i="19"/>
  <c r="AL199" i="19"/>
  <c r="AL200" i="19"/>
  <c r="AL201" i="19"/>
  <c r="AL202" i="19"/>
  <c r="AL203" i="19"/>
  <c r="AL155" i="19"/>
  <c r="AL156" i="19"/>
  <c r="AL157" i="19"/>
  <c r="AL158" i="19"/>
  <c r="AK155" i="19"/>
  <c r="AK156" i="19"/>
  <c r="AK157" i="19"/>
  <c r="AK158" i="19"/>
  <c r="AK159" i="19"/>
  <c r="AK160" i="19"/>
  <c r="AK161" i="19"/>
  <c r="AK162" i="19"/>
  <c r="AK163" i="19"/>
  <c r="AK164" i="19"/>
  <c r="AK165" i="19"/>
  <c r="AK166" i="19"/>
  <c r="AK167" i="19"/>
  <c r="AK168" i="19"/>
  <c r="AK169" i="19"/>
  <c r="AK170" i="19"/>
  <c r="AK171" i="19"/>
  <c r="AK172" i="19"/>
  <c r="AK173" i="19"/>
  <c r="AK174" i="19"/>
  <c r="AK175" i="19"/>
  <c r="AK176" i="19"/>
  <c r="AK177" i="19"/>
  <c r="AK178" i="19"/>
  <c r="AK179" i="19"/>
  <c r="AK180" i="19"/>
  <c r="AK181" i="19"/>
  <c r="AK182" i="19"/>
  <c r="AK183" i="19"/>
  <c r="AK184" i="19"/>
  <c r="AK185" i="19"/>
  <c r="AK186" i="19"/>
  <c r="AK187" i="19"/>
  <c r="AK188" i="19"/>
  <c r="AK189" i="19"/>
  <c r="AK190" i="19"/>
  <c r="AK191" i="19"/>
  <c r="AK192" i="19"/>
  <c r="AK193" i="19"/>
  <c r="AK194" i="19"/>
  <c r="AK195" i="19"/>
  <c r="AK196" i="19"/>
  <c r="AK197" i="19"/>
  <c r="AK198" i="19"/>
  <c r="AK199" i="19"/>
  <c r="AK200" i="19"/>
  <c r="AK201" i="19"/>
  <c r="AK202" i="19"/>
  <c r="AK203" i="19"/>
  <c r="AK154" i="19"/>
  <c r="W155" i="19"/>
  <c r="W156" i="19"/>
  <c r="W157" i="19"/>
  <c r="W158" i="19"/>
  <c r="W159" i="19"/>
  <c r="W160" i="19"/>
  <c r="W161" i="19"/>
  <c r="W162" i="19"/>
  <c r="W163" i="19"/>
  <c r="W164" i="19"/>
  <c r="W165" i="19"/>
  <c r="W166" i="19"/>
  <c r="W167" i="19"/>
  <c r="W168" i="19"/>
  <c r="W169" i="19"/>
  <c r="W170" i="19"/>
  <c r="W171" i="19"/>
  <c r="W172" i="19"/>
  <c r="W173" i="19"/>
  <c r="W174" i="19"/>
  <c r="W175" i="19"/>
  <c r="W176" i="19"/>
  <c r="W177" i="19"/>
  <c r="W178" i="19"/>
  <c r="W179" i="19"/>
  <c r="W180" i="19"/>
  <c r="W181" i="19"/>
  <c r="W182" i="19"/>
  <c r="W183" i="19"/>
  <c r="W184" i="19"/>
  <c r="W185" i="19"/>
  <c r="W186" i="19"/>
  <c r="W187" i="19"/>
  <c r="W188" i="19"/>
  <c r="W189" i="19"/>
  <c r="W190" i="19"/>
  <c r="W191" i="19"/>
  <c r="W192" i="19"/>
  <c r="W193" i="19"/>
  <c r="W194" i="19"/>
  <c r="W195" i="19"/>
  <c r="W196" i="19"/>
  <c r="W197" i="19"/>
  <c r="W198" i="19"/>
  <c r="W199" i="19"/>
  <c r="W200" i="19"/>
  <c r="W201" i="19"/>
  <c r="W202" i="19"/>
  <c r="W203" i="19"/>
  <c r="W154" i="19"/>
  <c r="AJ155" i="19"/>
  <c r="AJ156" i="19"/>
  <c r="AJ157" i="19"/>
  <c r="AJ158" i="19"/>
  <c r="AJ159" i="19"/>
  <c r="AJ160" i="19"/>
  <c r="AJ161" i="19"/>
  <c r="AJ162" i="19"/>
  <c r="AJ163" i="19"/>
  <c r="AJ164" i="19"/>
  <c r="AJ165" i="19"/>
  <c r="AJ166" i="19"/>
  <c r="AJ167" i="19"/>
  <c r="AJ168" i="19"/>
  <c r="AJ169" i="19"/>
  <c r="AJ170" i="19"/>
  <c r="AJ171" i="19"/>
  <c r="AJ172" i="19"/>
  <c r="AJ173" i="19"/>
  <c r="AJ174" i="19"/>
  <c r="AJ175" i="19"/>
  <c r="AJ176" i="19"/>
  <c r="AJ177" i="19"/>
  <c r="AJ178" i="19"/>
  <c r="AJ179" i="19"/>
  <c r="AJ180" i="19"/>
  <c r="AJ181" i="19"/>
  <c r="AJ182" i="19"/>
  <c r="AJ183" i="19"/>
  <c r="AJ184" i="19"/>
  <c r="AJ185" i="19"/>
  <c r="AJ186" i="19"/>
  <c r="AJ187" i="19"/>
  <c r="AJ188" i="19"/>
  <c r="AJ189" i="19"/>
  <c r="AJ190" i="19"/>
  <c r="AJ191" i="19"/>
  <c r="AJ192" i="19"/>
  <c r="AJ193" i="19"/>
  <c r="AJ194" i="19"/>
  <c r="AJ195" i="19"/>
  <c r="AJ196" i="19"/>
  <c r="AJ197" i="19"/>
  <c r="AJ198" i="19"/>
  <c r="AJ199" i="19"/>
  <c r="AJ200" i="19"/>
  <c r="AJ201" i="19"/>
  <c r="AJ202" i="19"/>
  <c r="AJ203" i="19"/>
  <c r="AJ154" i="19"/>
  <c r="AF180" i="19"/>
  <c r="AE160" i="19"/>
  <c r="AG149" i="19" a="1"/>
  <c r="AG149" i="19" s="1"/>
  <c r="AG148" i="19" a="1"/>
  <c r="AG148" i="19" s="1"/>
  <c r="AG147" i="19" a="1"/>
  <c r="AG147" i="19" s="1"/>
  <c r="AG146" i="19" a="1"/>
  <c r="AG146" i="19" s="1"/>
  <c r="AF177" i="19"/>
  <c r="AF178" i="19"/>
  <c r="AF179" i="19"/>
  <c r="AF181" i="19"/>
  <c r="AF182" i="19"/>
  <c r="AF183" i="19"/>
  <c r="AF184" i="19"/>
  <c r="AF185" i="19"/>
  <c r="AF186" i="19"/>
  <c r="AF187" i="19"/>
  <c r="AF188" i="19"/>
  <c r="AF189" i="19"/>
  <c r="AF190" i="19"/>
  <c r="AF191" i="19"/>
  <c r="AF192" i="19"/>
  <c r="AF193" i="19"/>
  <c r="AF194" i="19"/>
  <c r="AF195" i="19"/>
  <c r="AF196" i="19"/>
  <c r="AF197" i="19"/>
  <c r="AF198" i="19"/>
  <c r="AF199" i="19"/>
  <c r="AF200" i="19"/>
  <c r="AF201" i="19"/>
  <c r="AF202" i="19"/>
  <c r="AF203" i="19"/>
  <c r="AF154" i="19"/>
  <c r="AE167" i="19"/>
  <c r="AE168" i="19"/>
  <c r="AE169" i="19"/>
  <c r="AE170" i="19"/>
  <c r="AE171" i="19"/>
  <c r="AE172" i="19"/>
  <c r="AE173" i="19"/>
  <c r="AE174" i="19"/>
  <c r="AE175" i="19"/>
  <c r="AE176" i="19"/>
  <c r="AE177" i="19"/>
  <c r="AE178" i="19"/>
  <c r="AE179" i="19"/>
  <c r="AE180" i="19"/>
  <c r="AE181" i="19"/>
  <c r="AE182" i="19"/>
  <c r="AE183" i="19"/>
  <c r="AE184" i="19"/>
  <c r="AE185" i="19"/>
  <c r="AE186" i="19"/>
  <c r="AE187" i="19"/>
  <c r="AE188" i="19"/>
  <c r="AE189" i="19"/>
  <c r="AE190" i="19"/>
  <c r="AE191" i="19"/>
  <c r="AE192" i="19"/>
  <c r="AE193" i="19"/>
  <c r="AE194" i="19"/>
  <c r="AE195" i="19"/>
  <c r="AE196" i="19"/>
  <c r="AE197" i="19"/>
  <c r="AE198" i="19"/>
  <c r="AE199" i="19"/>
  <c r="AE200" i="19"/>
  <c r="AE201" i="19"/>
  <c r="AE202" i="19"/>
  <c r="AE203" i="19"/>
  <c r="AE155" i="19"/>
  <c r="AE156" i="19"/>
  <c r="AE157" i="19"/>
  <c r="AE158" i="19"/>
  <c r="AE159" i="19"/>
  <c r="AE161" i="19"/>
  <c r="AE162" i="19"/>
  <c r="AE163" i="19"/>
  <c r="AE164" i="19"/>
  <c r="AE165" i="19"/>
  <c r="AE166" i="19"/>
  <c r="AE154" i="19"/>
  <c r="AE149" i="19" a="1"/>
  <c r="AE149" i="19" s="1"/>
  <c r="AE150" i="19" a="1"/>
  <c r="AE150" i="19" s="1"/>
  <c r="R165" i="19"/>
  <c r="R154" i="19"/>
  <c r="X154" i="19"/>
  <c r="K147" i="19"/>
  <c r="K149" i="19" a="1"/>
  <c r="K149" i="19" s="1"/>
  <c r="K153" i="19" s="1"/>
  <c r="X157" i="19"/>
  <c r="X163" i="19"/>
  <c r="X164" i="19"/>
  <c r="X172" i="19"/>
  <c r="X188" i="19"/>
  <c r="X177" i="19"/>
  <c r="X178" i="19"/>
  <c r="X193" i="19"/>
  <c r="X195" i="19"/>
  <c r="X162" i="19"/>
  <c r="R155" i="19"/>
  <c r="X155" i="19" s="1"/>
  <c r="R156" i="19"/>
  <c r="X156" i="19" s="1"/>
  <c r="R157" i="19"/>
  <c r="R158" i="19"/>
  <c r="R159" i="19"/>
  <c r="X159" i="19" s="1"/>
  <c r="R160" i="19"/>
  <c r="R161" i="19"/>
  <c r="R162" i="19"/>
  <c r="R163" i="19"/>
  <c r="R164" i="19"/>
  <c r="X165" i="19"/>
  <c r="R166" i="19"/>
  <c r="X166" i="19" s="1"/>
  <c r="R167" i="19"/>
  <c r="R168" i="19"/>
  <c r="R169" i="19"/>
  <c r="X169" i="19" s="1"/>
  <c r="R170" i="19"/>
  <c r="R171" i="19"/>
  <c r="X171" i="19" s="1"/>
  <c r="R172" i="19"/>
  <c r="R173" i="19"/>
  <c r="X173" i="19" s="1"/>
  <c r="R174" i="19"/>
  <c r="R175" i="19"/>
  <c r="X175" i="19" s="1"/>
  <c r="R176" i="19"/>
  <c r="R177" i="19"/>
  <c r="R178" i="19"/>
  <c r="R179" i="19"/>
  <c r="R180" i="19"/>
  <c r="R181" i="19"/>
  <c r="X181" i="19" s="1"/>
  <c r="R182" i="19"/>
  <c r="R183" i="19"/>
  <c r="R184" i="19"/>
  <c r="R185" i="19"/>
  <c r="X185" i="19" s="1"/>
  <c r="R186" i="19"/>
  <c r="R187" i="19"/>
  <c r="X187" i="19" s="1"/>
  <c r="R188" i="19"/>
  <c r="R189" i="19"/>
  <c r="X189" i="19" s="1"/>
  <c r="R190" i="19"/>
  <c r="R191" i="19"/>
  <c r="X191" i="19" s="1"/>
  <c r="R192" i="19"/>
  <c r="R193" i="19"/>
  <c r="R194" i="19"/>
  <c r="R195" i="19"/>
  <c r="R196" i="19"/>
  <c r="R197" i="19"/>
  <c r="R198" i="19"/>
  <c r="R199" i="19"/>
  <c r="R200" i="19"/>
  <c r="R201" i="19"/>
  <c r="X201" i="19" s="1"/>
  <c r="R202" i="19"/>
  <c r="R203" i="19"/>
  <c r="X203" i="19" s="1"/>
  <c r="E165" i="19"/>
  <c r="F165" i="19" s="1"/>
  <c r="H165" i="19" s="1"/>
  <c r="E164" i="19"/>
  <c r="F164" i="19" s="1"/>
  <c r="H164" i="19" s="1"/>
  <c r="E163" i="19"/>
  <c r="F163" i="19" s="1"/>
  <c r="H163" i="19" s="1"/>
  <c r="E162" i="19"/>
  <c r="F162" i="19" s="1"/>
  <c r="H162" i="19" s="1"/>
  <c r="E161" i="19"/>
  <c r="F161" i="19" s="1"/>
  <c r="H161" i="19" s="1"/>
  <c r="E160" i="19"/>
  <c r="F160" i="19" s="1"/>
  <c r="H160" i="19" s="1"/>
  <c r="E159" i="19"/>
  <c r="F159" i="19" s="1"/>
  <c r="H159" i="19" s="1"/>
  <c r="E158" i="19"/>
  <c r="F158" i="19" s="1"/>
  <c r="H158" i="19" s="1"/>
  <c r="E157" i="19"/>
  <c r="F157" i="19" s="1"/>
  <c r="H157" i="19" s="1"/>
  <c r="E156" i="19"/>
  <c r="F156" i="19" s="1"/>
  <c r="H156" i="19" s="1"/>
  <c r="C148" i="19"/>
  <c r="C147" i="19" s="1"/>
  <c r="D147" i="19" s="1"/>
  <c r="E147" i="19" s="1"/>
  <c r="F147" i="19" s="1"/>
  <c r="G147" i="19" s="1"/>
  <c r="K146" i="19"/>
  <c r="K150" i="19" s="1" a="1"/>
  <c r="K150" i="19" s="1"/>
  <c r="C146" i="19"/>
  <c r="C145" i="19" s="1"/>
  <c r="D145" i="19" s="1"/>
  <c r="K66" i="16"/>
  <c r="AD70" i="19"/>
  <c r="AA70" i="19"/>
  <c r="X70" i="19"/>
  <c r="U70" i="19"/>
  <c r="R70" i="19"/>
  <c r="O70" i="19"/>
  <c r="L70" i="19"/>
  <c r="C70" i="19"/>
  <c r="C69" i="19" s="1"/>
  <c r="AD69" i="19"/>
  <c r="AC69" i="19"/>
  <c r="AA69" i="19"/>
  <c r="X69" i="19"/>
  <c r="U69" i="19"/>
  <c r="R69" i="19"/>
  <c r="O69" i="19"/>
  <c r="L69" i="19"/>
  <c r="K69" i="19"/>
  <c r="AD68" i="19"/>
  <c r="AC68" i="19"/>
  <c r="AA68" i="19"/>
  <c r="X68" i="19"/>
  <c r="U68" i="19"/>
  <c r="R68" i="19"/>
  <c r="O68" i="19"/>
  <c r="L68" i="19"/>
  <c r="K68" i="19"/>
  <c r="C68" i="19"/>
  <c r="C67" i="19" s="1"/>
  <c r="AD49" i="19"/>
  <c r="AA49" i="19"/>
  <c r="X49" i="19"/>
  <c r="U49" i="19"/>
  <c r="R49" i="19"/>
  <c r="O49" i="19"/>
  <c r="L49" i="19"/>
  <c r="C49" i="19"/>
  <c r="C48" i="19" s="1"/>
  <c r="AD48" i="19"/>
  <c r="AC48" i="19"/>
  <c r="AC50" i="19" s="1" a="1"/>
  <c r="AC50" i="19" s="1"/>
  <c r="AA48" i="19"/>
  <c r="X48" i="19"/>
  <c r="U48" i="19"/>
  <c r="R48" i="19"/>
  <c r="O48" i="19"/>
  <c r="L48" i="19"/>
  <c r="K48" i="19"/>
  <c r="AD47" i="19"/>
  <c r="AC47" i="19"/>
  <c r="AA47" i="19"/>
  <c r="X47" i="19"/>
  <c r="U47" i="19"/>
  <c r="R47" i="19"/>
  <c r="O47" i="19"/>
  <c r="L47" i="19"/>
  <c r="K47" i="19"/>
  <c r="K50" i="19" s="1" a="1"/>
  <c r="K50" i="19" s="1"/>
  <c r="C47" i="19"/>
  <c r="C46" i="19" s="1"/>
  <c r="AD28" i="19"/>
  <c r="AA28" i="19"/>
  <c r="X28" i="19"/>
  <c r="U28" i="19"/>
  <c r="R28" i="19"/>
  <c r="O28" i="19"/>
  <c r="L28" i="19"/>
  <c r="C28" i="19"/>
  <c r="C27" i="19" s="1"/>
  <c r="AD27" i="19"/>
  <c r="AC27" i="19"/>
  <c r="AC29" i="19" s="1" a="1"/>
  <c r="AC29" i="19" s="1"/>
  <c r="AA27" i="19"/>
  <c r="X27" i="19"/>
  <c r="U27" i="19"/>
  <c r="R27" i="19"/>
  <c r="O27" i="19"/>
  <c r="L27" i="19"/>
  <c r="K27" i="19"/>
  <c r="AD26" i="19"/>
  <c r="AC26" i="19"/>
  <c r="AA26" i="19"/>
  <c r="X26" i="19"/>
  <c r="U26" i="19"/>
  <c r="R26" i="19"/>
  <c r="O26" i="19"/>
  <c r="L26" i="19"/>
  <c r="K26" i="19"/>
  <c r="C26" i="19"/>
  <c r="C25" i="19" s="1"/>
  <c r="E19" i="19"/>
  <c r="F19" i="19" s="1"/>
  <c r="H19" i="19" s="1"/>
  <c r="E18" i="19"/>
  <c r="F18" i="19" s="1"/>
  <c r="H18" i="19" s="1"/>
  <c r="E17" i="19"/>
  <c r="F17" i="19" s="1"/>
  <c r="H17" i="19" s="1"/>
  <c r="E16" i="19"/>
  <c r="F16" i="19" s="1"/>
  <c r="H16" i="19" s="1"/>
  <c r="E15" i="19"/>
  <c r="F15" i="19" s="1"/>
  <c r="H15" i="19" s="1"/>
  <c r="E14" i="19"/>
  <c r="F14" i="19" s="1"/>
  <c r="H14" i="19" s="1"/>
  <c r="E13" i="19"/>
  <c r="F13" i="19" s="1"/>
  <c r="H13" i="19" s="1"/>
  <c r="E12" i="19"/>
  <c r="F12" i="19" s="1"/>
  <c r="H12" i="19" s="1"/>
  <c r="E11" i="19"/>
  <c r="F11" i="19" s="1"/>
  <c r="H11" i="19" s="1"/>
  <c r="E10" i="19"/>
  <c r="F10" i="19" s="1"/>
  <c r="H10" i="19" s="1"/>
  <c r="P14" i="18"/>
  <c r="AA37" i="30" l="1"/>
  <c r="Z37" i="30"/>
  <c r="AA39" i="30"/>
  <c r="Z39" i="30"/>
  <c r="Z38" i="30"/>
  <c r="AA38" i="30"/>
  <c r="AA41" i="30"/>
  <c r="Z41" i="30"/>
  <c r="Z43" i="30"/>
  <c r="AA43" i="30"/>
  <c r="Z40" i="30"/>
  <c r="AA40" i="30"/>
  <c r="Z44" i="30"/>
  <c r="AA44" i="30"/>
  <c r="Z42" i="30"/>
  <c r="AA42" i="30"/>
  <c r="K82" i="21"/>
  <c r="K67" i="21"/>
  <c r="L67" i="21" s="1"/>
  <c r="K51" i="21"/>
  <c r="K81" i="21"/>
  <c r="L80" i="21" s="1"/>
  <c r="K83" i="21"/>
  <c r="K79" i="21"/>
  <c r="K78" i="21"/>
  <c r="L78" i="21" s="1"/>
  <c r="K59" i="21"/>
  <c r="L60" i="21" s="1"/>
  <c r="K87" i="21"/>
  <c r="K90" i="21"/>
  <c r="L90" i="21" s="1"/>
  <c r="K74" i="21"/>
  <c r="L74" i="21" s="1"/>
  <c r="K75" i="21"/>
  <c r="V28" i="21"/>
  <c r="W28" i="21" s="1"/>
  <c r="K89" i="21"/>
  <c r="L89" i="21" s="1"/>
  <c r="K73" i="21"/>
  <c r="L73" i="21" s="1"/>
  <c r="L61" i="21"/>
  <c r="K91" i="21"/>
  <c r="K58" i="21"/>
  <c r="L58" i="21" s="1"/>
  <c r="K88" i="21"/>
  <c r="K76" i="21"/>
  <c r="L76" i="21" s="1"/>
  <c r="K72" i="21"/>
  <c r="L72" i="21" s="1"/>
  <c r="K56" i="21"/>
  <c r="L56" i="21" s="1"/>
  <c r="K86" i="21"/>
  <c r="L86" i="21" s="1"/>
  <c r="K54" i="21"/>
  <c r="L54" i="21" s="1"/>
  <c r="K84" i="21"/>
  <c r="L84" i="21" s="1"/>
  <c r="L55" i="21"/>
  <c r="L51" i="21"/>
  <c r="K92" i="21"/>
  <c r="L92" i="21" s="1"/>
  <c r="L79" i="21"/>
  <c r="K64" i="21"/>
  <c r="L65" i="21" s="1"/>
  <c r="K94" i="21"/>
  <c r="L93" i="21" s="1"/>
  <c r="L68" i="21"/>
  <c r="L52" i="21"/>
  <c r="L85" i="21"/>
  <c r="L82" i="21"/>
  <c r="L66" i="21"/>
  <c r="L94" i="21"/>
  <c r="C29" i="26"/>
  <c r="H27" i="26"/>
  <c r="H29" i="26" s="1"/>
  <c r="F28" i="26" s="1"/>
  <c r="C35" i="23"/>
  <c r="AK38" i="24"/>
  <c r="AK39" i="24"/>
  <c r="AK36" i="24"/>
  <c r="AK40" i="24"/>
  <c r="AK37" i="24"/>
  <c r="C59" i="24"/>
  <c r="C51" i="24"/>
  <c r="C39" i="24"/>
  <c r="C55" i="24"/>
  <c r="C49" i="24"/>
  <c r="C57" i="24"/>
  <c r="C47" i="24"/>
  <c r="C61" i="24"/>
  <c r="C53" i="24"/>
  <c r="C45" i="24"/>
  <c r="C67" i="24"/>
  <c r="C73" i="24"/>
  <c r="C83" i="24"/>
  <c r="C42" i="24"/>
  <c r="C81" i="24"/>
  <c r="C63" i="24"/>
  <c r="C69" i="24"/>
  <c r="C75" i="24"/>
  <c r="C79" i="24"/>
  <c r="C65" i="24"/>
  <c r="C71" i="24"/>
  <c r="C77" i="24"/>
  <c r="C35" i="24"/>
  <c r="C44" i="24"/>
  <c r="C41" i="24"/>
  <c r="C46" i="24"/>
  <c r="C48" i="24"/>
  <c r="C50" i="24"/>
  <c r="C52" i="24"/>
  <c r="C54" i="24"/>
  <c r="C56" i="24"/>
  <c r="C58" i="24"/>
  <c r="C60" i="24"/>
  <c r="C62" i="24"/>
  <c r="C64" i="24"/>
  <c r="C66" i="24"/>
  <c r="C68" i="24"/>
  <c r="C70" i="24"/>
  <c r="C72" i="24"/>
  <c r="C74" i="24"/>
  <c r="C76" i="24"/>
  <c r="C78" i="24"/>
  <c r="C80" i="24"/>
  <c r="C82" i="24"/>
  <c r="C84" i="24"/>
  <c r="C37" i="24"/>
  <c r="C43" i="24"/>
  <c r="C34" i="24"/>
  <c r="C40" i="24"/>
  <c r="C38" i="24"/>
  <c r="AR43" i="23"/>
  <c r="AR40" i="23"/>
  <c r="C44" i="23"/>
  <c r="C39" i="23"/>
  <c r="C42" i="23"/>
  <c r="C37" i="23"/>
  <c r="C85" i="23"/>
  <c r="C83" i="23"/>
  <c r="C81" i="23"/>
  <c r="C79" i="23"/>
  <c r="C77" i="23"/>
  <c r="C75" i="23"/>
  <c r="C73" i="23"/>
  <c r="C71" i="23"/>
  <c r="C69" i="23"/>
  <c r="C67" i="23"/>
  <c r="C65" i="23"/>
  <c r="C63" i="23"/>
  <c r="C61" i="23"/>
  <c r="C59" i="23"/>
  <c r="C57" i="23"/>
  <c r="C55" i="23"/>
  <c r="C53" i="23"/>
  <c r="C51" i="23"/>
  <c r="C49" i="23"/>
  <c r="C47" i="23"/>
  <c r="C40" i="23"/>
  <c r="C45" i="23"/>
  <c r="C43" i="23"/>
  <c r="C38" i="23"/>
  <c r="C41" i="23"/>
  <c r="C36" i="23"/>
  <c r="C84" i="23"/>
  <c r="C29" i="23" s="1"/>
  <c r="C82" i="23"/>
  <c r="C80" i="23"/>
  <c r="C78" i="23"/>
  <c r="C76" i="23"/>
  <c r="C74" i="23"/>
  <c r="C72" i="23"/>
  <c r="C70" i="23"/>
  <c r="C68" i="23"/>
  <c r="C66" i="23"/>
  <c r="C64" i="23"/>
  <c r="C62" i="23"/>
  <c r="C60" i="23"/>
  <c r="H27" i="23" s="1"/>
  <c r="H29" i="23" s="1"/>
  <c r="F28" i="23" s="1"/>
  <c r="G27" i="23" s="1" a="1"/>
  <c r="G27" i="23" s="1"/>
  <c r="C58" i="23"/>
  <c r="C56" i="23"/>
  <c r="C54" i="23"/>
  <c r="C52" i="23"/>
  <c r="C50" i="23"/>
  <c r="C48" i="23"/>
  <c r="C46" i="23"/>
  <c r="AR42" i="23"/>
  <c r="AR39" i="23"/>
  <c r="AR41" i="23"/>
  <c r="G24" i="21"/>
  <c r="H24" i="21" s="1"/>
  <c r="G32" i="21"/>
  <c r="H32" i="21" s="1"/>
  <c r="G30" i="21"/>
  <c r="H30" i="21" s="1"/>
  <c r="G28" i="21"/>
  <c r="H28" i="21" s="1"/>
  <c r="G26" i="21"/>
  <c r="H26" i="21" s="1"/>
  <c r="G25" i="21"/>
  <c r="H25" i="21" s="1"/>
  <c r="G33" i="21"/>
  <c r="H33" i="21" s="1"/>
  <c r="G31" i="21"/>
  <c r="H31" i="21" s="1"/>
  <c r="G29" i="21"/>
  <c r="H29" i="21" s="1"/>
  <c r="G27" i="21"/>
  <c r="H27" i="21" s="1"/>
  <c r="V25" i="21"/>
  <c r="W25" i="21" s="1"/>
  <c r="V24" i="21"/>
  <c r="W24" i="21" s="1"/>
  <c r="V30" i="21"/>
  <c r="W30" i="21" s="1"/>
  <c r="V26" i="21"/>
  <c r="W26" i="21" s="1"/>
  <c r="V32" i="21"/>
  <c r="W32" i="21" s="1"/>
  <c r="V27" i="21"/>
  <c r="W27" i="21" s="1"/>
  <c r="V29" i="21"/>
  <c r="W29" i="21" s="1"/>
  <c r="V31" i="21"/>
  <c r="W31" i="21" s="1"/>
  <c r="V33" i="21"/>
  <c r="W33" i="21" s="1"/>
  <c r="X190" i="19"/>
  <c r="X174" i="19"/>
  <c r="X158" i="19"/>
  <c r="X202" i="19"/>
  <c r="X186" i="19"/>
  <c r="X170" i="19"/>
  <c r="X200" i="19"/>
  <c r="X184" i="19"/>
  <c r="X168" i="19"/>
  <c r="X183" i="19"/>
  <c r="X167" i="19"/>
  <c r="X161" i="19"/>
  <c r="X176" i="19"/>
  <c r="X160" i="19"/>
  <c r="AG155" i="19"/>
  <c r="AG159" i="19"/>
  <c r="AG202" i="19"/>
  <c r="AG186" i="19"/>
  <c r="AG170" i="19"/>
  <c r="AG176" i="19"/>
  <c r="AG185" i="19"/>
  <c r="AG168" i="19"/>
  <c r="AG199" i="19"/>
  <c r="AG183" i="19"/>
  <c r="AG167" i="19"/>
  <c r="AG184" i="19"/>
  <c r="AG198" i="19"/>
  <c r="AG182" i="19"/>
  <c r="AG166" i="19"/>
  <c r="AG177" i="19"/>
  <c r="AG192" i="19"/>
  <c r="AG201" i="19"/>
  <c r="AG200" i="19"/>
  <c r="AG197" i="19"/>
  <c r="AG181" i="19"/>
  <c r="AG165" i="19"/>
  <c r="AG193" i="19"/>
  <c r="AG160" i="19"/>
  <c r="AG169" i="19"/>
  <c r="AG196" i="19"/>
  <c r="AG180" i="19"/>
  <c r="AG164" i="19"/>
  <c r="AG161" i="19"/>
  <c r="AG191" i="19"/>
  <c r="AG195" i="19"/>
  <c r="AG179" i="19"/>
  <c r="AG163" i="19"/>
  <c r="AG194" i="19"/>
  <c r="AG178" i="19"/>
  <c r="AG162" i="19"/>
  <c r="AG190" i="19"/>
  <c r="AG174" i="19"/>
  <c r="AG158" i="19"/>
  <c r="AG189" i="19"/>
  <c r="AG173" i="19"/>
  <c r="AG157" i="19"/>
  <c r="AG175" i="19"/>
  <c r="AG154" i="19"/>
  <c r="AG188" i="19"/>
  <c r="AG172" i="19"/>
  <c r="AG156" i="19"/>
  <c r="AG203" i="19"/>
  <c r="AG187" i="19"/>
  <c r="AG171" i="19"/>
  <c r="K30" i="19" a="1"/>
  <c r="K30" i="19" s="1"/>
  <c r="K71" i="19" a="1"/>
  <c r="K71" i="19" s="1"/>
  <c r="AC71" i="19" a="1"/>
  <c r="AC71" i="19" s="1"/>
  <c r="X196" i="19"/>
  <c r="X192" i="19"/>
  <c r="E145" i="19"/>
  <c r="F145" i="19" s="1"/>
  <c r="G145" i="19" s="1"/>
  <c r="X199" i="19"/>
  <c r="X198" i="19"/>
  <c r="X182" i="19"/>
  <c r="X197" i="19"/>
  <c r="X180" i="19"/>
  <c r="X179" i="19"/>
  <c r="X194" i="19"/>
  <c r="K202" i="19"/>
  <c r="L202" i="19" s="1"/>
  <c r="M202" i="19" s="1"/>
  <c r="K186" i="19"/>
  <c r="L186" i="19" s="1"/>
  <c r="M186" i="19" s="1"/>
  <c r="K170" i="19"/>
  <c r="L170" i="19" s="1"/>
  <c r="M170" i="19" s="1"/>
  <c r="K191" i="19"/>
  <c r="L191" i="19" s="1"/>
  <c r="M191" i="19" s="1"/>
  <c r="K175" i="19"/>
  <c r="L175" i="19" s="1"/>
  <c r="M175" i="19" s="1"/>
  <c r="K196" i="19"/>
  <c r="L196" i="19" s="1"/>
  <c r="M196" i="19" s="1"/>
  <c r="K180" i="19"/>
  <c r="L180" i="19" s="1"/>
  <c r="M180" i="19" s="1"/>
  <c r="K201" i="19"/>
  <c r="L201" i="19" s="1"/>
  <c r="M201" i="19" s="1"/>
  <c r="K185" i="19"/>
  <c r="L185" i="19" s="1"/>
  <c r="M185" i="19" s="1"/>
  <c r="K169" i="19"/>
  <c r="L169" i="19" s="1"/>
  <c r="M169" i="19" s="1"/>
  <c r="K159" i="19"/>
  <c r="L159" i="19" s="1"/>
  <c r="M159" i="19" s="1"/>
  <c r="K190" i="19"/>
  <c r="L190" i="19" s="1"/>
  <c r="M190" i="19" s="1"/>
  <c r="K174" i="19"/>
  <c r="L174" i="19" s="1"/>
  <c r="M174" i="19" s="1"/>
  <c r="K195" i="19"/>
  <c r="L195" i="19" s="1"/>
  <c r="M195" i="19" s="1"/>
  <c r="K179" i="19"/>
  <c r="L179" i="19" s="1"/>
  <c r="M179" i="19" s="1"/>
  <c r="K164" i="19"/>
  <c r="L164" i="19" s="1"/>
  <c r="M164" i="19" s="1"/>
  <c r="K156" i="19"/>
  <c r="L156" i="19" s="1"/>
  <c r="M156" i="19" s="1"/>
  <c r="K200" i="19"/>
  <c r="L200" i="19" s="1"/>
  <c r="M200" i="19" s="1"/>
  <c r="K184" i="19"/>
  <c r="L184" i="19" s="1"/>
  <c r="M184" i="19" s="1"/>
  <c r="K168" i="19"/>
  <c r="L168" i="19" s="1"/>
  <c r="M168" i="19" s="1"/>
  <c r="K189" i="19"/>
  <c r="L189" i="19" s="1"/>
  <c r="M189" i="19" s="1"/>
  <c r="K173" i="19"/>
  <c r="L173" i="19" s="1"/>
  <c r="M173" i="19" s="1"/>
  <c r="K161" i="19"/>
  <c r="L161" i="19" s="1"/>
  <c r="M161" i="19" s="1"/>
  <c r="K162" i="19"/>
  <c r="L162" i="19" s="1"/>
  <c r="M162" i="19" s="1"/>
  <c r="K194" i="19"/>
  <c r="L194" i="19" s="1"/>
  <c r="M194" i="19" s="1"/>
  <c r="K178" i="19"/>
  <c r="L178" i="19" s="1"/>
  <c r="M178" i="19" s="1"/>
  <c r="K181" i="19"/>
  <c r="L181" i="19" s="1"/>
  <c r="M181" i="19" s="1"/>
  <c r="K199" i="19"/>
  <c r="L199" i="19" s="1"/>
  <c r="M199" i="19" s="1"/>
  <c r="K183" i="19"/>
  <c r="L183" i="19" s="1"/>
  <c r="M183" i="19" s="1"/>
  <c r="K167" i="19"/>
  <c r="L167" i="19" s="1"/>
  <c r="M167" i="19" s="1"/>
  <c r="K158" i="19"/>
  <c r="L158" i="19" s="1"/>
  <c r="M158" i="19" s="1"/>
  <c r="K188" i="19"/>
  <c r="L188" i="19" s="1"/>
  <c r="M188" i="19" s="1"/>
  <c r="K172" i="19"/>
  <c r="L172" i="19" s="1"/>
  <c r="M172" i="19" s="1"/>
  <c r="K192" i="19"/>
  <c r="L192" i="19" s="1"/>
  <c r="M192" i="19" s="1"/>
  <c r="K154" i="19"/>
  <c r="L154" i="19" s="1"/>
  <c r="M154" i="19" s="1"/>
  <c r="K157" i="19"/>
  <c r="L157" i="19" s="1"/>
  <c r="M157" i="19" s="1"/>
  <c r="L153" i="19"/>
  <c r="M153" i="19" s="1"/>
  <c r="K193" i="19"/>
  <c r="L193" i="19" s="1"/>
  <c r="M193" i="19" s="1"/>
  <c r="K177" i="19"/>
  <c r="L177" i="19" s="1"/>
  <c r="M177" i="19" s="1"/>
  <c r="K163" i="19"/>
  <c r="L163" i="19" s="1"/>
  <c r="M163" i="19" s="1"/>
  <c r="K155" i="19"/>
  <c r="L155" i="19" s="1"/>
  <c r="M155" i="19" s="1"/>
  <c r="K198" i="19"/>
  <c r="L198" i="19" s="1"/>
  <c r="M198" i="19" s="1"/>
  <c r="K182" i="19"/>
  <c r="L182" i="19" s="1"/>
  <c r="M182" i="19" s="1"/>
  <c r="K166" i="19"/>
  <c r="L166" i="19" s="1"/>
  <c r="M166" i="19" s="1"/>
  <c r="K165" i="19"/>
  <c r="L165" i="19" s="1"/>
  <c r="M165" i="19" s="1"/>
  <c r="K187" i="19"/>
  <c r="L187" i="19" s="1"/>
  <c r="M187" i="19" s="1"/>
  <c r="K171" i="19"/>
  <c r="L171" i="19" s="1"/>
  <c r="M171" i="19" s="1"/>
  <c r="K160" i="19"/>
  <c r="L160" i="19" s="1"/>
  <c r="M160" i="19" s="1"/>
  <c r="K176" i="19"/>
  <c r="L176" i="19" s="1"/>
  <c r="M176" i="19" s="1"/>
  <c r="K197" i="19"/>
  <c r="L197" i="19" s="1"/>
  <c r="M197" i="19" s="1"/>
  <c r="N69" i="19"/>
  <c r="D69" i="19"/>
  <c r="D46" i="19"/>
  <c r="N47" i="19"/>
  <c r="N48" i="19"/>
  <c r="D48" i="19"/>
  <c r="D67" i="19"/>
  <c r="E67" i="19" s="1"/>
  <c r="N68" i="19"/>
  <c r="D25" i="19"/>
  <c r="N26" i="19"/>
  <c r="N27" i="19"/>
  <c r="D27" i="19"/>
  <c r="AC51" i="19" a="1"/>
  <c r="AC51" i="19" s="1"/>
  <c r="AC54" i="19" s="1"/>
  <c r="K51" i="19" a="1"/>
  <c r="K51" i="19" s="1"/>
  <c r="K60" i="19" s="1"/>
  <c r="K72" i="19" a="1"/>
  <c r="K72" i="19" s="1"/>
  <c r="K29" i="19" a="1"/>
  <c r="K29" i="19" s="1"/>
  <c r="AC30" i="19" a="1"/>
  <c r="AC30" i="19" s="1"/>
  <c r="AC37" i="19" s="1"/>
  <c r="AC72" i="19" a="1"/>
  <c r="AC72" i="19" s="1"/>
  <c r="AC78" i="19" s="1"/>
  <c r="U66" i="16"/>
  <c r="U45" i="16"/>
  <c r="U90" i="16"/>
  <c r="U89" i="16"/>
  <c r="U88" i="16"/>
  <c r="U87" i="16"/>
  <c r="U86" i="16"/>
  <c r="U85" i="16"/>
  <c r="AD66" i="16"/>
  <c r="AC66" i="16"/>
  <c r="AC69" i="16" s="1" a="1"/>
  <c r="AC69" i="16" s="1"/>
  <c r="AA66" i="16"/>
  <c r="X66" i="16"/>
  <c r="R66" i="16"/>
  <c r="O66" i="16"/>
  <c r="L66" i="16"/>
  <c r="AD45" i="16"/>
  <c r="AC45" i="16"/>
  <c r="AA45" i="16"/>
  <c r="X45" i="16"/>
  <c r="R45" i="16"/>
  <c r="O45" i="16"/>
  <c r="L45" i="16"/>
  <c r="K45" i="16"/>
  <c r="AD24" i="16"/>
  <c r="AA24" i="16"/>
  <c r="X24" i="16"/>
  <c r="U24" i="16"/>
  <c r="R24" i="16"/>
  <c r="O24" i="16"/>
  <c r="L24" i="16"/>
  <c r="S22" i="18"/>
  <c r="S23" i="18" s="1"/>
  <c r="T19" i="18" s="1"/>
  <c r="T21" i="18" s="1"/>
  <c r="T22" i="18" s="1"/>
  <c r="T23" i="18" s="1"/>
  <c r="T24" i="18" s="1"/>
  <c r="T25" i="18" s="1"/>
  <c r="P22" i="18"/>
  <c r="P23" i="18" s="1"/>
  <c r="Q19" i="18" s="1"/>
  <c r="T20" i="18"/>
  <c r="Q20" i="18"/>
  <c r="Q16" i="18"/>
  <c r="P16" i="18"/>
  <c r="K16" i="18"/>
  <c r="G16" i="18"/>
  <c r="Q15" i="18"/>
  <c r="P15" i="18"/>
  <c r="K15" i="18"/>
  <c r="G15" i="18"/>
  <c r="Q14" i="18"/>
  <c r="K14" i="18"/>
  <c r="G14" i="18"/>
  <c r="AD26" i="16"/>
  <c r="AA26" i="16"/>
  <c r="X26" i="16"/>
  <c r="U26" i="16"/>
  <c r="R26" i="16"/>
  <c r="O26" i="16"/>
  <c r="L26" i="16"/>
  <c r="C26" i="16"/>
  <c r="C25" i="16" s="1"/>
  <c r="AD25" i="16"/>
  <c r="AC25" i="16"/>
  <c r="AA25" i="16"/>
  <c r="X25" i="16"/>
  <c r="U25" i="16"/>
  <c r="R25" i="16"/>
  <c r="O25" i="16"/>
  <c r="L25" i="16"/>
  <c r="K25" i="16"/>
  <c r="AC24" i="16"/>
  <c r="K24" i="16"/>
  <c r="C24" i="16"/>
  <c r="C23" i="16" s="1"/>
  <c r="AD68" i="16"/>
  <c r="AA68" i="16"/>
  <c r="X68" i="16"/>
  <c r="U68" i="16"/>
  <c r="R68" i="16"/>
  <c r="O68" i="16"/>
  <c r="L68" i="16"/>
  <c r="C68" i="16"/>
  <c r="C67" i="16" s="1"/>
  <c r="D67" i="16" s="1"/>
  <c r="AD67" i="16"/>
  <c r="AC67" i="16"/>
  <c r="AA67" i="16"/>
  <c r="X67" i="16"/>
  <c r="U67" i="16"/>
  <c r="R67" i="16"/>
  <c r="O67" i="16"/>
  <c r="L67" i="16"/>
  <c r="K67" i="16"/>
  <c r="K69" i="16" s="1" a="1"/>
  <c r="K69" i="16" s="1"/>
  <c r="C66" i="16"/>
  <c r="C65" i="16" s="1"/>
  <c r="N66" i="16" s="1"/>
  <c r="AC12" i="16"/>
  <c r="AC14" i="16" s="1"/>
  <c r="K12" i="16"/>
  <c r="K14" i="16" s="1"/>
  <c r="Z12" i="16"/>
  <c r="Z14" i="16" s="1"/>
  <c r="W12" i="16"/>
  <c r="W14" i="16" s="1"/>
  <c r="T12" i="16"/>
  <c r="T14" i="16" s="1"/>
  <c r="Q12" i="16"/>
  <c r="Q14" i="16" s="1"/>
  <c r="N12" i="16"/>
  <c r="N14" i="16" s="1"/>
  <c r="AC9" i="16"/>
  <c r="Z9" i="16"/>
  <c r="W9" i="16"/>
  <c r="T9" i="16"/>
  <c r="Q9" i="16"/>
  <c r="N9" i="16"/>
  <c r="K9" i="16"/>
  <c r="AD47" i="16"/>
  <c r="AA47" i="16"/>
  <c r="X47" i="16"/>
  <c r="U47" i="16"/>
  <c r="R47" i="16"/>
  <c r="O47" i="16"/>
  <c r="L47" i="16"/>
  <c r="AD46" i="16"/>
  <c r="AC46" i="16"/>
  <c r="AA46" i="16"/>
  <c r="X46" i="16"/>
  <c r="U46" i="16"/>
  <c r="R46" i="16"/>
  <c r="O46" i="16"/>
  <c r="L46" i="16"/>
  <c r="K46" i="16"/>
  <c r="C47" i="16"/>
  <c r="C46" i="16" s="1"/>
  <c r="N46" i="16" s="1"/>
  <c r="C45" i="16"/>
  <c r="C44" i="16" s="1"/>
  <c r="N45" i="16" s="1"/>
  <c r="Y51" i="17"/>
  <c r="Y50" i="17"/>
  <c r="Y49" i="17"/>
  <c r="W51" i="17"/>
  <c r="W50" i="17"/>
  <c r="W49" i="17"/>
  <c r="U51" i="17"/>
  <c r="U50" i="17"/>
  <c r="U49" i="17"/>
  <c r="S51" i="17"/>
  <c r="S50" i="17"/>
  <c r="S49" i="17"/>
  <c r="Q51" i="17"/>
  <c r="Q50" i="17"/>
  <c r="Q49" i="17"/>
  <c r="O51" i="17"/>
  <c r="O50" i="17"/>
  <c r="O49" i="17"/>
  <c r="E35" i="17"/>
  <c r="E34" i="17"/>
  <c r="F42" i="17"/>
  <c r="X30" i="17"/>
  <c r="W30" i="17"/>
  <c r="V30" i="17"/>
  <c r="V32" i="17" s="1"/>
  <c r="U30" i="17"/>
  <c r="T30" i="17"/>
  <c r="S30" i="17"/>
  <c r="R30" i="17"/>
  <c r="Q30" i="17"/>
  <c r="P30" i="17"/>
  <c r="O30" i="17"/>
  <c r="X29" i="17"/>
  <c r="W29" i="17"/>
  <c r="V29" i="17"/>
  <c r="U29" i="17"/>
  <c r="T29" i="17"/>
  <c r="S29" i="17"/>
  <c r="R29" i="17"/>
  <c r="Q29" i="17"/>
  <c r="P29" i="17"/>
  <c r="P31" i="17" s="1"/>
  <c r="O29" i="17"/>
  <c r="X28" i="17"/>
  <c r="W28" i="17"/>
  <c r="V28" i="17"/>
  <c r="U28" i="17"/>
  <c r="T28" i="17"/>
  <c r="S28" i="17"/>
  <c r="R28" i="17"/>
  <c r="Q28" i="17"/>
  <c r="P28" i="17"/>
  <c r="O28" i="17"/>
  <c r="X27" i="17"/>
  <c r="W27" i="17"/>
  <c r="V27" i="17"/>
  <c r="U27" i="17"/>
  <c r="T27" i="17"/>
  <c r="S27" i="17"/>
  <c r="R27" i="17"/>
  <c r="Q27" i="17"/>
  <c r="P27" i="17"/>
  <c r="O27" i="17"/>
  <c r="AN67" i="17"/>
  <c r="AO67" i="17" s="1"/>
  <c r="AP67" i="17" s="1"/>
  <c r="AN66" i="17"/>
  <c r="AO66" i="17" s="1"/>
  <c r="AP66" i="17" s="1"/>
  <c r="AQ66" i="17" s="1"/>
  <c r="AN65" i="17"/>
  <c r="AO65" i="17" s="1"/>
  <c r="AP65" i="17" s="1"/>
  <c r="AN64" i="17"/>
  <c r="AO64" i="17" s="1"/>
  <c r="AP64" i="17" s="1"/>
  <c r="AN63" i="17"/>
  <c r="AO63" i="17" s="1"/>
  <c r="AP63" i="17" s="1"/>
  <c r="AN62" i="17"/>
  <c r="AO62" i="17" s="1"/>
  <c r="AP62" i="17" s="1"/>
  <c r="AQ62" i="17" s="1"/>
  <c r="AN61" i="17"/>
  <c r="AO61" i="17" s="1"/>
  <c r="AP61" i="17" s="1"/>
  <c r="AN60" i="17"/>
  <c r="AO60" i="17" s="1"/>
  <c r="AP60" i="17" s="1"/>
  <c r="AN59" i="17"/>
  <c r="AO59" i="17" s="1"/>
  <c r="AP59" i="17" s="1"/>
  <c r="AO58" i="17"/>
  <c r="AP58" i="17" s="1"/>
  <c r="AQ58" i="17" s="1"/>
  <c r="AN58" i="17"/>
  <c r="E23" i="17"/>
  <c r="F23" i="17" s="1"/>
  <c r="G23" i="17" s="1"/>
  <c r="D43" i="17" s="1"/>
  <c r="E22" i="17"/>
  <c r="F22" i="17" s="1"/>
  <c r="G22" i="17" s="1"/>
  <c r="H22" i="17" s="1"/>
  <c r="E21" i="17"/>
  <c r="F21" i="17" s="1"/>
  <c r="G21" i="17" s="1"/>
  <c r="D41" i="17" s="1"/>
  <c r="E20" i="17"/>
  <c r="F20" i="17" s="1"/>
  <c r="G20" i="17" s="1"/>
  <c r="D40" i="17" s="1"/>
  <c r="E19" i="17"/>
  <c r="F19" i="17" s="1"/>
  <c r="G19" i="17" s="1"/>
  <c r="D39" i="17" s="1"/>
  <c r="E18" i="17"/>
  <c r="F18" i="17" s="1"/>
  <c r="G18" i="17" s="1"/>
  <c r="H18" i="17" s="1"/>
  <c r="E17" i="17"/>
  <c r="F17" i="17" s="1"/>
  <c r="G17" i="17" s="1"/>
  <c r="D37" i="17" s="1"/>
  <c r="E16" i="17"/>
  <c r="F16" i="17" s="1"/>
  <c r="G16" i="17" s="1"/>
  <c r="D36" i="17" s="1"/>
  <c r="E15" i="17"/>
  <c r="F15" i="17" s="1"/>
  <c r="G15" i="17" s="1"/>
  <c r="D35" i="17" s="1"/>
  <c r="E14" i="17"/>
  <c r="F14" i="17" s="1"/>
  <c r="G14" i="17" s="1"/>
  <c r="H14" i="17" s="1"/>
  <c r="C30" i="17"/>
  <c r="E8" i="16"/>
  <c r="F8" i="16" s="1"/>
  <c r="E17" i="16"/>
  <c r="F17" i="16" s="1"/>
  <c r="H17" i="16" s="1"/>
  <c r="E16" i="16"/>
  <c r="F16" i="16" s="1"/>
  <c r="H16" i="16" s="1"/>
  <c r="E15" i="16"/>
  <c r="F15" i="16" s="1"/>
  <c r="H15" i="16" s="1"/>
  <c r="E14" i="16"/>
  <c r="F14" i="16" s="1"/>
  <c r="H14" i="16" s="1"/>
  <c r="E13" i="16"/>
  <c r="F13" i="16" s="1"/>
  <c r="H13" i="16" s="1"/>
  <c r="E12" i="16"/>
  <c r="F12" i="16" s="1"/>
  <c r="H12" i="16" s="1"/>
  <c r="E11" i="16"/>
  <c r="F11" i="16" s="1"/>
  <c r="H11" i="16" s="1"/>
  <c r="E10" i="16"/>
  <c r="F10" i="16" s="1"/>
  <c r="H10" i="16" s="1"/>
  <c r="E9" i="16"/>
  <c r="F9" i="16" s="1"/>
  <c r="H9" i="16" s="1"/>
  <c r="L91" i="21" l="1"/>
  <c r="L81" i="21"/>
  <c r="L83" i="21"/>
  <c r="L57" i="21"/>
  <c r="L88" i="21"/>
  <c r="L64" i="21"/>
  <c r="L77" i="21"/>
  <c r="L87" i="21"/>
  <c r="L59" i="21"/>
  <c r="I25" i="21"/>
  <c r="L75" i="21"/>
  <c r="G27" i="26" a="1"/>
  <c r="G27" i="26" s="1"/>
  <c r="G29" i="26" a="1"/>
  <c r="G29" i="26" s="1"/>
  <c r="G28" i="26" a="1"/>
  <c r="G28" i="26" s="1"/>
  <c r="H27" i="24"/>
  <c r="H29" i="24" s="1"/>
  <c r="F28" i="24" s="1"/>
  <c r="C29" i="24"/>
  <c r="G28" i="23" a="1"/>
  <c r="G28" i="23" s="1"/>
  <c r="G29" i="23" a="1"/>
  <c r="G29" i="23" s="1"/>
  <c r="K29" i="21"/>
  <c r="I29" i="21"/>
  <c r="K33" i="21"/>
  <c r="I33" i="21"/>
  <c r="Z29" i="21"/>
  <c r="X29" i="21"/>
  <c r="Z27" i="21"/>
  <c r="X27" i="21"/>
  <c r="Z28" i="21"/>
  <c r="X28" i="21"/>
  <c r="I26" i="21"/>
  <c r="K26" i="21"/>
  <c r="K28" i="21"/>
  <c r="I28" i="21"/>
  <c r="Z26" i="21"/>
  <c r="X26" i="21"/>
  <c r="I30" i="21"/>
  <c r="K30" i="21"/>
  <c r="K31" i="21"/>
  <c r="I31" i="21"/>
  <c r="I32" i="21"/>
  <c r="K32" i="21"/>
  <c r="Z31" i="21"/>
  <c r="X31" i="21"/>
  <c r="Z30" i="21"/>
  <c r="X30" i="21"/>
  <c r="Z32" i="21"/>
  <c r="X32" i="21"/>
  <c r="X25" i="21"/>
  <c r="Z33" i="21"/>
  <c r="X33" i="21"/>
  <c r="K27" i="21"/>
  <c r="I27" i="21"/>
  <c r="K74" i="19"/>
  <c r="AC48" i="16" a="1"/>
  <c r="AC48" i="16" s="1"/>
  <c r="K27" i="16" a="1"/>
  <c r="K27" i="16" s="1"/>
  <c r="K58" i="19"/>
  <c r="K55" i="19"/>
  <c r="AC74" i="19"/>
  <c r="K57" i="19"/>
  <c r="AC56" i="19"/>
  <c r="AC55" i="19"/>
  <c r="K81" i="19"/>
  <c r="AC61" i="19"/>
  <c r="AC60" i="19"/>
  <c r="AC62" i="19"/>
  <c r="AC75" i="19"/>
  <c r="AC76" i="19"/>
  <c r="AC80" i="19"/>
  <c r="AC82" i="19"/>
  <c r="K56" i="19"/>
  <c r="AC77" i="19"/>
  <c r="K36" i="19"/>
  <c r="K41" i="19"/>
  <c r="K39" i="19"/>
  <c r="K37" i="19"/>
  <c r="K35" i="19"/>
  <c r="K33" i="19"/>
  <c r="K32" i="19"/>
  <c r="K40" i="19"/>
  <c r="K34" i="19"/>
  <c r="K38" i="19"/>
  <c r="AC39" i="19"/>
  <c r="K62" i="19"/>
  <c r="K76" i="19"/>
  <c r="AC32" i="19"/>
  <c r="K53" i="19"/>
  <c r="K78" i="19"/>
  <c r="AC38" i="19"/>
  <c r="E69" i="19"/>
  <c r="Q69" i="19"/>
  <c r="AC58" i="19"/>
  <c r="AC40" i="19"/>
  <c r="K61" i="19"/>
  <c r="AC34" i="19"/>
  <c r="K82" i="19"/>
  <c r="K59" i="19"/>
  <c r="AC53" i="19"/>
  <c r="AC41" i="19"/>
  <c r="E48" i="19"/>
  <c r="Q48" i="19"/>
  <c r="AC79" i="19"/>
  <c r="K80" i="19"/>
  <c r="AC36" i="19"/>
  <c r="AC33" i="19"/>
  <c r="AC57" i="19"/>
  <c r="N29" i="19" a="1"/>
  <c r="N29" i="19" s="1"/>
  <c r="N30" i="19" a="1"/>
  <c r="N30" i="19" s="1"/>
  <c r="N50" i="19" a="1"/>
  <c r="N50" i="19" s="1"/>
  <c r="N51" i="19" a="1"/>
  <c r="N51" i="19" s="1"/>
  <c r="AC81" i="19"/>
  <c r="Q27" i="19"/>
  <c r="E27" i="19"/>
  <c r="AC59" i="19"/>
  <c r="Q26" i="19"/>
  <c r="E25" i="19"/>
  <c r="Q47" i="19"/>
  <c r="E46" i="19"/>
  <c r="AC83" i="19"/>
  <c r="AC35" i="19"/>
  <c r="K77" i="19"/>
  <c r="K83" i="19"/>
  <c r="N71" i="19" a="1"/>
  <c r="N71" i="19" s="1"/>
  <c r="N72" i="19" a="1"/>
  <c r="N72" i="19" s="1"/>
  <c r="K75" i="19"/>
  <c r="T68" i="19"/>
  <c r="F67" i="19"/>
  <c r="K54" i="19"/>
  <c r="K79" i="19"/>
  <c r="AC28" i="16" a="1"/>
  <c r="AC28" i="16" s="1"/>
  <c r="K48" i="16" a="1"/>
  <c r="K48" i="16" s="1"/>
  <c r="K28" i="16" a="1"/>
  <c r="K28" i="16" s="1"/>
  <c r="N48" i="16" a="1"/>
  <c r="N48" i="16" s="1"/>
  <c r="K70" i="16" a="1"/>
  <c r="K70" i="16" s="1"/>
  <c r="K76" i="16" s="1"/>
  <c r="K49" i="16" a="1"/>
  <c r="K49" i="16" s="1"/>
  <c r="AC49" i="16" a="1"/>
  <c r="AC49" i="16" s="1"/>
  <c r="AC54" i="16" s="1"/>
  <c r="AC27" i="16" a="1"/>
  <c r="AC27" i="16" s="1"/>
  <c r="N67" i="16"/>
  <c r="N49" i="16" a="1"/>
  <c r="N49" i="16" s="1"/>
  <c r="AC70" i="16" a="1"/>
  <c r="AC70" i="16" s="1"/>
  <c r="AC81" i="16" s="1"/>
  <c r="Q21" i="18"/>
  <c r="Q22" i="18" s="1"/>
  <c r="Q23" i="18" s="1"/>
  <c r="Q24" i="18" s="1"/>
  <c r="Q25" i="18" s="1"/>
  <c r="N25" i="16"/>
  <c r="D25" i="16"/>
  <c r="N24" i="16"/>
  <c r="D23" i="16"/>
  <c r="D65" i="16"/>
  <c r="Q67" i="16"/>
  <c r="E67" i="16"/>
  <c r="D44" i="16"/>
  <c r="Q45" i="16" s="1"/>
  <c r="D46" i="16"/>
  <c r="Q46" i="16" s="1"/>
  <c r="H8" i="16"/>
  <c r="R31" i="17"/>
  <c r="D34" i="17"/>
  <c r="D42" i="17"/>
  <c r="D38" i="17"/>
  <c r="E38" i="17" s="1"/>
  <c r="F38" i="17" s="1"/>
  <c r="G38" i="17" s="1"/>
  <c r="P32" i="17"/>
  <c r="R32" i="17"/>
  <c r="V31" i="17"/>
  <c r="T32" i="17"/>
  <c r="T31" i="17"/>
  <c r="E39" i="17"/>
  <c r="F39" i="17" s="1"/>
  <c r="G39" i="17" s="1"/>
  <c r="E41" i="17"/>
  <c r="F41" i="17" s="1"/>
  <c r="G41" i="17" s="1"/>
  <c r="E36" i="17"/>
  <c r="F36" i="17" s="1"/>
  <c r="G36" i="17" s="1"/>
  <c r="F35" i="17"/>
  <c r="G35" i="17" s="1"/>
  <c r="E43" i="17"/>
  <c r="F43" i="17" s="1"/>
  <c r="G43" i="17" s="1"/>
  <c r="E40" i="17"/>
  <c r="F40" i="17" s="1"/>
  <c r="G40" i="17" s="1"/>
  <c r="E37" i="17"/>
  <c r="F37" i="17" s="1"/>
  <c r="G37" i="17" s="1"/>
  <c r="F34" i="17"/>
  <c r="G34" i="17" s="1"/>
  <c r="E42" i="17"/>
  <c r="G42" i="17" s="1"/>
  <c r="F43" i="26" l="1"/>
  <c r="F40" i="26"/>
  <c r="F37" i="26"/>
  <c r="F44" i="26"/>
  <c r="F85" i="26"/>
  <c r="F83" i="26"/>
  <c r="F81" i="26"/>
  <c r="F79" i="26"/>
  <c r="F77" i="26"/>
  <c r="F75" i="26"/>
  <c r="F73" i="26"/>
  <c r="F71" i="26"/>
  <c r="F69" i="26"/>
  <c r="F67" i="26"/>
  <c r="F65" i="26"/>
  <c r="F63" i="26"/>
  <c r="F61" i="26"/>
  <c r="F59" i="26"/>
  <c r="F57" i="26"/>
  <c r="F55" i="26"/>
  <c r="F53" i="26"/>
  <c r="F51" i="26"/>
  <c r="F49" i="26"/>
  <c r="F47" i="26"/>
  <c r="F41" i="26"/>
  <c r="F38" i="26"/>
  <c r="F45" i="26"/>
  <c r="F35" i="26"/>
  <c r="F84" i="26"/>
  <c r="F74" i="26"/>
  <c r="F68" i="26"/>
  <c r="F64" i="26"/>
  <c r="F60" i="26"/>
  <c r="F56" i="26"/>
  <c r="F50" i="26"/>
  <c r="F46" i="26"/>
  <c r="F82" i="26"/>
  <c r="F80" i="26"/>
  <c r="F78" i="26"/>
  <c r="F76" i="26"/>
  <c r="F72" i="26"/>
  <c r="F70" i="26"/>
  <c r="F66" i="26"/>
  <c r="F62" i="26"/>
  <c r="F58" i="26"/>
  <c r="F52" i="26"/>
  <c r="F48" i="26"/>
  <c r="F36" i="26"/>
  <c r="F54" i="26"/>
  <c r="F42" i="26"/>
  <c r="F39" i="26"/>
  <c r="F35" i="23"/>
  <c r="L35" i="23" s="1"/>
  <c r="M35" i="23" s="1"/>
  <c r="N35" i="23" s="1"/>
  <c r="T36" i="23" s="1"/>
  <c r="F36" i="23"/>
  <c r="L36" i="23" s="1"/>
  <c r="M36" i="23" s="1"/>
  <c r="N36" i="23" s="1"/>
  <c r="G27" i="24" a="1"/>
  <c r="G27" i="24" s="1"/>
  <c r="G29" i="24" a="1"/>
  <c r="G29" i="24" s="1"/>
  <c r="G28" i="24" a="1"/>
  <c r="G28" i="24" s="1"/>
  <c r="F53" i="23"/>
  <c r="L53" i="23" s="1"/>
  <c r="M53" i="23" s="1"/>
  <c r="N53" i="23" s="1"/>
  <c r="O53" i="23" s="1"/>
  <c r="P53" i="23" s="1"/>
  <c r="F65" i="23"/>
  <c r="L65" i="23" s="1"/>
  <c r="M65" i="23" s="1"/>
  <c r="N65" i="23" s="1"/>
  <c r="O65" i="23" s="1"/>
  <c r="P65" i="23" s="1"/>
  <c r="F66" i="23"/>
  <c r="L66" i="23" s="1"/>
  <c r="M66" i="23" s="1"/>
  <c r="N66" i="23" s="1"/>
  <c r="O66" i="23" s="1"/>
  <c r="P66" i="23" s="1"/>
  <c r="F85" i="23"/>
  <c r="L85" i="23" s="1"/>
  <c r="M85" i="23" s="1"/>
  <c r="N85" i="23" s="1"/>
  <c r="O85" i="23" s="1"/>
  <c r="P85" i="23" s="1"/>
  <c r="F58" i="23"/>
  <c r="L58" i="23" s="1"/>
  <c r="M58" i="23" s="1"/>
  <c r="N58" i="23" s="1"/>
  <c r="O58" i="23" s="1"/>
  <c r="P58" i="23" s="1"/>
  <c r="F75" i="23"/>
  <c r="L75" i="23" s="1"/>
  <c r="M75" i="23" s="1"/>
  <c r="N75" i="23" s="1"/>
  <c r="O75" i="23" s="1"/>
  <c r="P75" i="23" s="1"/>
  <c r="F57" i="23"/>
  <c r="L57" i="23" s="1"/>
  <c r="M57" i="23" s="1"/>
  <c r="N57" i="23" s="1"/>
  <c r="O57" i="23" s="1"/>
  <c r="P57" i="23" s="1"/>
  <c r="F41" i="23"/>
  <c r="L41" i="23" s="1"/>
  <c r="M41" i="23" s="1"/>
  <c r="N41" i="23" s="1"/>
  <c r="O41" i="23" s="1"/>
  <c r="P41" i="23" s="1"/>
  <c r="F68" i="23"/>
  <c r="L68" i="23" s="1"/>
  <c r="M68" i="23" s="1"/>
  <c r="N68" i="23" s="1"/>
  <c r="O68" i="23" s="1"/>
  <c r="P68" i="23" s="1"/>
  <c r="F46" i="23"/>
  <c r="L46" i="23" s="1"/>
  <c r="M46" i="23" s="1"/>
  <c r="N46" i="23" s="1"/>
  <c r="O46" i="23" s="1"/>
  <c r="P46" i="23" s="1"/>
  <c r="F67" i="23"/>
  <c r="L67" i="23" s="1"/>
  <c r="M67" i="23" s="1"/>
  <c r="N67" i="23" s="1"/>
  <c r="O67" i="23" s="1"/>
  <c r="P67" i="23" s="1"/>
  <c r="F40" i="23"/>
  <c r="L40" i="23" s="1"/>
  <c r="M40" i="23" s="1"/>
  <c r="N40" i="23" s="1"/>
  <c r="O40" i="23" s="1"/>
  <c r="P40" i="23" s="1"/>
  <c r="F78" i="23"/>
  <c r="L78" i="23" s="1"/>
  <c r="M78" i="23" s="1"/>
  <c r="N78" i="23" s="1"/>
  <c r="O78" i="23" s="1"/>
  <c r="P78" i="23" s="1"/>
  <c r="F77" i="23"/>
  <c r="L77" i="23" s="1"/>
  <c r="M77" i="23" s="1"/>
  <c r="N77" i="23" s="1"/>
  <c r="O77" i="23" s="1"/>
  <c r="P77" i="23" s="1"/>
  <c r="F49" i="23"/>
  <c r="L49" i="23" s="1"/>
  <c r="M49" i="23" s="1"/>
  <c r="N49" i="23" s="1"/>
  <c r="O49" i="23" s="1"/>
  <c r="P49" i="23" s="1"/>
  <c r="F38" i="23"/>
  <c r="L38" i="23" s="1"/>
  <c r="M38" i="23" s="1"/>
  <c r="N38" i="23" s="1"/>
  <c r="T39" i="23" s="1"/>
  <c r="F74" i="23"/>
  <c r="L74" i="23" s="1"/>
  <c r="M74" i="23" s="1"/>
  <c r="N74" i="23" s="1"/>
  <c r="T44" i="23" s="1"/>
  <c r="F48" i="23"/>
  <c r="L48" i="23" s="1"/>
  <c r="M48" i="23" s="1"/>
  <c r="N48" i="23" s="1"/>
  <c r="O48" i="23" s="1"/>
  <c r="P48" i="23" s="1"/>
  <c r="F44" i="23"/>
  <c r="L44" i="23" s="1"/>
  <c r="M44" i="23" s="1"/>
  <c r="N44" i="23" s="1"/>
  <c r="F55" i="23"/>
  <c r="L55" i="23" s="1"/>
  <c r="M55" i="23" s="1"/>
  <c r="N55" i="23" s="1"/>
  <c r="O55" i="23" s="1"/>
  <c r="P55" i="23" s="1"/>
  <c r="F60" i="23"/>
  <c r="L60" i="23" s="1"/>
  <c r="M60" i="23" s="1"/>
  <c r="N60" i="23" s="1"/>
  <c r="O60" i="23" s="1"/>
  <c r="P60" i="23" s="1"/>
  <c r="F69" i="23"/>
  <c r="L69" i="23" s="1"/>
  <c r="M69" i="23" s="1"/>
  <c r="N69" i="23" s="1"/>
  <c r="O69" i="23" s="1"/>
  <c r="P69" i="23" s="1"/>
  <c r="F83" i="23"/>
  <c r="L83" i="23" s="1"/>
  <c r="M83" i="23" s="1"/>
  <c r="N83" i="23" s="1"/>
  <c r="O83" i="23" s="1"/>
  <c r="P83" i="23" s="1"/>
  <c r="F80" i="23"/>
  <c r="L80" i="23" s="1"/>
  <c r="M80" i="23" s="1"/>
  <c r="N80" i="23" s="1"/>
  <c r="O80" i="23" s="1"/>
  <c r="P80" i="23" s="1"/>
  <c r="F45" i="23"/>
  <c r="L45" i="23" s="1"/>
  <c r="M45" i="23" s="1"/>
  <c r="N45" i="23" s="1"/>
  <c r="O45" i="23" s="1"/>
  <c r="P45" i="23" s="1"/>
  <c r="F70" i="23"/>
  <c r="L70" i="23" s="1"/>
  <c r="M70" i="23" s="1"/>
  <c r="N70" i="23" s="1"/>
  <c r="O70" i="23" s="1"/>
  <c r="P70" i="23" s="1"/>
  <c r="F52" i="23"/>
  <c r="L52" i="23" s="1"/>
  <c r="M52" i="23" s="1"/>
  <c r="N52" i="23" s="1"/>
  <c r="O52" i="23" s="1"/>
  <c r="P52" i="23" s="1"/>
  <c r="F39" i="23"/>
  <c r="L39" i="23" s="1"/>
  <c r="M39" i="23" s="1"/>
  <c r="N39" i="23" s="1"/>
  <c r="O39" i="23" s="1"/>
  <c r="P39" i="23" s="1"/>
  <c r="U40" i="23" s="1"/>
  <c r="F47" i="23"/>
  <c r="L47" i="23" s="1"/>
  <c r="M47" i="23" s="1"/>
  <c r="N47" i="23" s="1"/>
  <c r="O47" i="23" s="1"/>
  <c r="P47" i="23" s="1"/>
  <c r="F82" i="23"/>
  <c r="L82" i="23" s="1"/>
  <c r="M82" i="23" s="1"/>
  <c r="N82" i="23" s="1"/>
  <c r="O82" i="23" s="1"/>
  <c r="P82" i="23" s="1"/>
  <c r="F84" i="23"/>
  <c r="L84" i="23" s="1"/>
  <c r="M84" i="23" s="1"/>
  <c r="N84" i="23" s="1"/>
  <c r="O84" i="23" s="1"/>
  <c r="P84" i="23" s="1"/>
  <c r="U45" i="23" s="1"/>
  <c r="F62" i="23"/>
  <c r="L62" i="23" s="1"/>
  <c r="M62" i="23" s="1"/>
  <c r="N62" i="23" s="1"/>
  <c r="O62" i="23" s="1"/>
  <c r="P62" i="23" s="1"/>
  <c r="F79" i="23"/>
  <c r="L79" i="23" s="1"/>
  <c r="M79" i="23" s="1"/>
  <c r="N79" i="23" s="1"/>
  <c r="O79" i="23" s="1"/>
  <c r="P79" i="23" s="1"/>
  <c r="F59" i="23"/>
  <c r="L59" i="23" s="1"/>
  <c r="M59" i="23" s="1"/>
  <c r="N59" i="23" s="1"/>
  <c r="O59" i="23" s="1"/>
  <c r="P59" i="23" s="1"/>
  <c r="F50" i="23"/>
  <c r="L50" i="23" s="1"/>
  <c r="M50" i="23" s="1"/>
  <c r="N50" i="23" s="1"/>
  <c r="O50" i="23" s="1"/>
  <c r="P50" i="23" s="1"/>
  <c r="F61" i="23"/>
  <c r="L61" i="23" s="1"/>
  <c r="M61" i="23" s="1"/>
  <c r="N61" i="23" s="1"/>
  <c r="O61" i="23" s="1"/>
  <c r="P61" i="23" s="1"/>
  <c r="F43" i="23"/>
  <c r="L43" i="23" s="1"/>
  <c r="M43" i="23" s="1"/>
  <c r="N43" i="23" s="1"/>
  <c r="O43" i="23" s="1"/>
  <c r="P43" i="23" s="1"/>
  <c r="F72" i="23"/>
  <c r="L72" i="23" s="1"/>
  <c r="M72" i="23" s="1"/>
  <c r="N72" i="23" s="1"/>
  <c r="O72" i="23" s="1"/>
  <c r="P72" i="23" s="1"/>
  <c r="F37" i="23"/>
  <c r="L37" i="23" s="1"/>
  <c r="M37" i="23" s="1"/>
  <c r="N37" i="23" s="1"/>
  <c r="O37" i="23" s="1"/>
  <c r="P37" i="23" s="1"/>
  <c r="U38" i="23" s="1"/>
  <c r="F54" i="23"/>
  <c r="L54" i="23" s="1"/>
  <c r="M54" i="23" s="1"/>
  <c r="N54" i="23" s="1"/>
  <c r="T42" i="23" s="1"/>
  <c r="F71" i="23"/>
  <c r="L71" i="23" s="1"/>
  <c r="M71" i="23" s="1"/>
  <c r="N71" i="23" s="1"/>
  <c r="O71" i="23" s="1"/>
  <c r="P71" i="23" s="1"/>
  <c r="F81" i="23"/>
  <c r="L81" i="23" s="1"/>
  <c r="M81" i="23" s="1"/>
  <c r="N81" i="23" s="1"/>
  <c r="O81" i="23" s="1"/>
  <c r="P81" i="23" s="1"/>
  <c r="F42" i="23"/>
  <c r="L42" i="23" s="1"/>
  <c r="M42" i="23" s="1"/>
  <c r="N42" i="23" s="1"/>
  <c r="O42" i="23" s="1"/>
  <c r="P42" i="23" s="1"/>
  <c r="F51" i="23"/>
  <c r="L51" i="23" s="1"/>
  <c r="M51" i="23" s="1"/>
  <c r="N51" i="23" s="1"/>
  <c r="O51" i="23" s="1"/>
  <c r="P51" i="23" s="1"/>
  <c r="F63" i="23"/>
  <c r="L63" i="23" s="1"/>
  <c r="M63" i="23" s="1"/>
  <c r="N63" i="23" s="1"/>
  <c r="O63" i="23" s="1"/>
  <c r="P63" i="23" s="1"/>
  <c r="F64" i="23"/>
  <c r="L64" i="23" s="1"/>
  <c r="M64" i="23" s="1"/>
  <c r="N64" i="23" s="1"/>
  <c r="T43" i="23" s="1"/>
  <c r="F76" i="23"/>
  <c r="L76" i="23" s="1"/>
  <c r="M76" i="23" s="1"/>
  <c r="N76" i="23" s="1"/>
  <c r="O76" i="23" s="1"/>
  <c r="P76" i="23" s="1"/>
  <c r="F56" i="23"/>
  <c r="L56" i="23" s="1"/>
  <c r="M56" i="23" s="1"/>
  <c r="N56" i="23" s="1"/>
  <c r="O56" i="23" s="1"/>
  <c r="P56" i="23" s="1"/>
  <c r="F73" i="23"/>
  <c r="L73" i="23" s="1"/>
  <c r="M73" i="23" s="1"/>
  <c r="N73" i="23" s="1"/>
  <c r="O73" i="23" s="1"/>
  <c r="P73" i="23" s="1"/>
  <c r="K55" i="16"/>
  <c r="N61" i="19"/>
  <c r="N59" i="19"/>
  <c r="N57" i="19"/>
  <c r="N55" i="19"/>
  <c r="N53" i="19"/>
  <c r="N62" i="19"/>
  <c r="N60" i="19"/>
  <c r="N58" i="19"/>
  <c r="N56" i="19"/>
  <c r="N54" i="19"/>
  <c r="N40" i="19"/>
  <c r="N34" i="19"/>
  <c r="N41" i="19"/>
  <c r="N39" i="19"/>
  <c r="N37" i="19"/>
  <c r="N35" i="19"/>
  <c r="N33" i="19"/>
  <c r="N36" i="19"/>
  <c r="N32" i="19"/>
  <c r="N38" i="19"/>
  <c r="Q71" i="19" a="1"/>
  <c r="Q71" i="19" s="1"/>
  <c r="Q72" i="19" a="1"/>
  <c r="Q72" i="19" s="1"/>
  <c r="T47" i="19"/>
  <c r="F46" i="19"/>
  <c r="F69" i="19"/>
  <c r="T69" i="19"/>
  <c r="T71" i="19" s="1" a="1"/>
  <c r="T71" i="19" s="1"/>
  <c r="N82" i="19"/>
  <c r="N80" i="19"/>
  <c r="N78" i="19"/>
  <c r="N76" i="19"/>
  <c r="N74" i="19"/>
  <c r="N83" i="19"/>
  <c r="N81" i="19"/>
  <c r="N79" i="19"/>
  <c r="N77" i="19"/>
  <c r="N75" i="19"/>
  <c r="Q50" i="19" a="1"/>
  <c r="Q50" i="19" s="1"/>
  <c r="Q51" i="19" a="1"/>
  <c r="Q51" i="19" s="1"/>
  <c r="G67" i="19"/>
  <c r="Z68" i="19" s="1"/>
  <c r="W68" i="19"/>
  <c r="Q29" i="19" a="1"/>
  <c r="Q29" i="19" s="1"/>
  <c r="Q30" i="19" a="1"/>
  <c r="Q30" i="19" s="1"/>
  <c r="F25" i="19"/>
  <c r="T26" i="19"/>
  <c r="F27" i="19"/>
  <c r="T27" i="19"/>
  <c r="T48" i="19"/>
  <c r="F48" i="19"/>
  <c r="AC30" i="16"/>
  <c r="N51" i="16"/>
  <c r="K32" i="16"/>
  <c r="K80" i="16"/>
  <c r="AC32" i="16"/>
  <c r="K31" i="16"/>
  <c r="K75" i="16"/>
  <c r="K34" i="16"/>
  <c r="K78" i="16"/>
  <c r="AC34" i="16"/>
  <c r="K77" i="16"/>
  <c r="K36" i="16"/>
  <c r="K35" i="16"/>
  <c r="K37" i="16"/>
  <c r="K73" i="16"/>
  <c r="K38" i="16"/>
  <c r="K72" i="16"/>
  <c r="K39" i="16"/>
  <c r="K79" i="16"/>
  <c r="K74" i="16"/>
  <c r="K30" i="16"/>
  <c r="K81" i="16"/>
  <c r="AE81" i="16" s="1"/>
  <c r="AC80" i="16"/>
  <c r="AC73" i="16"/>
  <c r="AC75" i="16"/>
  <c r="AE75" i="16" s="1"/>
  <c r="AC51" i="16"/>
  <c r="K51" i="16"/>
  <c r="AC58" i="16"/>
  <c r="K58" i="16"/>
  <c r="AC56" i="16"/>
  <c r="K56" i="16"/>
  <c r="K53" i="16"/>
  <c r="K60" i="16"/>
  <c r="K54" i="16"/>
  <c r="AE54" i="16" s="1"/>
  <c r="AC52" i="16"/>
  <c r="AC55" i="16"/>
  <c r="AE55" i="16" s="1"/>
  <c r="N55" i="16"/>
  <c r="AC59" i="16"/>
  <c r="N57" i="16"/>
  <c r="AC53" i="16"/>
  <c r="N53" i="16"/>
  <c r="N59" i="16"/>
  <c r="AC57" i="16"/>
  <c r="AC60" i="16"/>
  <c r="N52" i="16"/>
  <c r="K52" i="16"/>
  <c r="K59" i="16"/>
  <c r="K57" i="16"/>
  <c r="AC36" i="16"/>
  <c r="AC77" i="16"/>
  <c r="AC38" i="16"/>
  <c r="N60" i="16"/>
  <c r="AC33" i="16"/>
  <c r="AC31" i="16"/>
  <c r="N58" i="16"/>
  <c r="AC35" i="16"/>
  <c r="AC79" i="16"/>
  <c r="N56" i="16"/>
  <c r="AC37" i="16"/>
  <c r="AC39" i="16"/>
  <c r="K33" i="16"/>
  <c r="AE33" i="16" s="1"/>
  <c r="AC72" i="16"/>
  <c r="AC74" i="16"/>
  <c r="AE74" i="16" s="1"/>
  <c r="AC76" i="16"/>
  <c r="AE76" i="16" s="1"/>
  <c r="N54" i="16"/>
  <c r="AC78" i="16"/>
  <c r="Q49" i="16" a="1"/>
  <c r="Q49" i="16" s="1"/>
  <c r="Q48" i="16" a="1"/>
  <c r="Q48" i="16" s="1"/>
  <c r="Q24" i="16"/>
  <c r="E23" i="16"/>
  <c r="N28" i="16" a="1"/>
  <c r="N28" i="16" s="1"/>
  <c r="N27" i="16" a="1"/>
  <c r="N27" i="16" s="1"/>
  <c r="Q25" i="16"/>
  <c r="E25" i="16"/>
  <c r="T67" i="16"/>
  <c r="F67" i="16"/>
  <c r="E65" i="16"/>
  <c r="T66" i="16" s="1"/>
  <c r="N70" i="16" a="1"/>
  <c r="N70" i="16" s="1"/>
  <c r="N69" i="16" a="1"/>
  <c r="N69" i="16" s="1"/>
  <c r="E46" i="16"/>
  <c r="T46" i="16" s="1"/>
  <c r="E44" i="16"/>
  <c r="T45" i="16" s="1"/>
  <c r="L67" i="26" l="1"/>
  <c r="M67" i="26" s="1"/>
  <c r="N67" i="26" s="1"/>
  <c r="O67" i="26" s="1"/>
  <c r="P67" i="26" s="1"/>
  <c r="I67" i="26"/>
  <c r="L62" i="26"/>
  <c r="M62" i="26" s="1"/>
  <c r="N62" i="26" s="1"/>
  <c r="O62" i="26" s="1"/>
  <c r="P62" i="26" s="1"/>
  <c r="I62" i="26"/>
  <c r="L35" i="26"/>
  <c r="M35" i="26" s="1"/>
  <c r="I35" i="26"/>
  <c r="L71" i="26"/>
  <c r="M71" i="26" s="1"/>
  <c r="N71" i="26" s="1"/>
  <c r="O71" i="26" s="1"/>
  <c r="P71" i="26" s="1"/>
  <c r="I71" i="26"/>
  <c r="L63" i="26"/>
  <c r="M63" i="26" s="1"/>
  <c r="N63" i="26" s="1"/>
  <c r="O63" i="26" s="1"/>
  <c r="P63" i="26" s="1"/>
  <c r="I63" i="26"/>
  <c r="L74" i="26"/>
  <c r="M74" i="26" s="1"/>
  <c r="I74" i="26"/>
  <c r="L66" i="26"/>
  <c r="M66" i="26" s="1"/>
  <c r="N66" i="26" s="1"/>
  <c r="O66" i="26" s="1"/>
  <c r="P66" i="26" s="1"/>
  <c r="I66" i="26"/>
  <c r="L45" i="26"/>
  <c r="M45" i="26" s="1"/>
  <c r="N45" i="26" s="1"/>
  <c r="O45" i="26" s="1"/>
  <c r="P45" i="26" s="1"/>
  <c r="I45" i="26"/>
  <c r="L73" i="26"/>
  <c r="M73" i="26" s="1"/>
  <c r="N73" i="26" s="1"/>
  <c r="O73" i="26" s="1"/>
  <c r="P73" i="26" s="1"/>
  <c r="I73" i="26"/>
  <c r="L68" i="26"/>
  <c r="M68" i="26" s="1"/>
  <c r="N68" i="26" s="1"/>
  <c r="O68" i="26" s="1"/>
  <c r="P68" i="26" s="1"/>
  <c r="I68" i="26"/>
  <c r="L69" i="26"/>
  <c r="M69" i="26" s="1"/>
  <c r="N69" i="26" s="1"/>
  <c r="O69" i="26" s="1"/>
  <c r="P69" i="26" s="1"/>
  <c r="I69" i="26"/>
  <c r="L41" i="26"/>
  <c r="M41" i="26" s="1"/>
  <c r="N41" i="26" s="1"/>
  <c r="O41" i="26" s="1"/>
  <c r="P41" i="26" s="1"/>
  <c r="I41" i="26"/>
  <c r="L77" i="26"/>
  <c r="M77" i="26" s="1"/>
  <c r="N77" i="26" s="1"/>
  <c r="O77" i="26" s="1"/>
  <c r="P77" i="26" s="1"/>
  <c r="I77" i="26"/>
  <c r="L65" i="26"/>
  <c r="M65" i="26" s="1"/>
  <c r="N65" i="26" s="1"/>
  <c r="O65" i="26" s="1"/>
  <c r="P65" i="26" s="1"/>
  <c r="I65" i="26"/>
  <c r="L58" i="26"/>
  <c r="M58" i="26" s="1"/>
  <c r="N58" i="26" s="1"/>
  <c r="O58" i="26" s="1"/>
  <c r="P58" i="26" s="1"/>
  <c r="I58" i="26"/>
  <c r="L70" i="26"/>
  <c r="M70" i="26" s="1"/>
  <c r="N70" i="26" s="1"/>
  <c r="O70" i="26" s="1"/>
  <c r="P70" i="26" s="1"/>
  <c r="I70" i="26"/>
  <c r="L75" i="26"/>
  <c r="M75" i="26" s="1"/>
  <c r="N75" i="26" s="1"/>
  <c r="O75" i="26" s="1"/>
  <c r="P75" i="26" s="1"/>
  <c r="I75" i="26"/>
  <c r="L76" i="26"/>
  <c r="M76" i="26" s="1"/>
  <c r="N76" i="26" s="1"/>
  <c r="O76" i="26" s="1"/>
  <c r="P76" i="26" s="1"/>
  <c r="I76" i="26"/>
  <c r="L79" i="26"/>
  <c r="M79" i="26" s="1"/>
  <c r="N79" i="26" s="1"/>
  <c r="O79" i="26" s="1"/>
  <c r="P79" i="26" s="1"/>
  <c r="I79" i="26"/>
  <c r="L78" i="26"/>
  <c r="M78" i="26" s="1"/>
  <c r="N78" i="26" s="1"/>
  <c r="O78" i="26" s="1"/>
  <c r="P78" i="26" s="1"/>
  <c r="I78" i="26"/>
  <c r="L49" i="26"/>
  <c r="M49" i="26" s="1"/>
  <c r="N49" i="26" s="1"/>
  <c r="O49" i="26" s="1"/>
  <c r="P49" i="26" s="1"/>
  <c r="I49" i="26"/>
  <c r="L81" i="26"/>
  <c r="M81" i="26" s="1"/>
  <c r="N81" i="26" s="1"/>
  <c r="O81" i="26" s="1"/>
  <c r="P81" i="26" s="1"/>
  <c r="I81" i="26"/>
  <c r="L36" i="26"/>
  <c r="M36" i="26" s="1"/>
  <c r="I36" i="26"/>
  <c r="L84" i="26"/>
  <c r="M84" i="26" s="1"/>
  <c r="I84" i="26"/>
  <c r="L38" i="26"/>
  <c r="M38" i="26" s="1"/>
  <c r="I38" i="26"/>
  <c r="L72" i="26"/>
  <c r="M72" i="26" s="1"/>
  <c r="N72" i="26" s="1"/>
  <c r="O72" i="26" s="1"/>
  <c r="P72" i="26" s="1"/>
  <c r="I72" i="26"/>
  <c r="L47" i="26"/>
  <c r="M47" i="26" s="1"/>
  <c r="N47" i="26" s="1"/>
  <c r="O47" i="26" s="1"/>
  <c r="P47" i="26" s="1"/>
  <c r="I47" i="26"/>
  <c r="L80" i="26"/>
  <c r="M80" i="26" s="1"/>
  <c r="N80" i="26" s="1"/>
  <c r="O80" i="26" s="1"/>
  <c r="P80" i="26" s="1"/>
  <c r="I80" i="26"/>
  <c r="L51" i="26"/>
  <c r="M51" i="26" s="1"/>
  <c r="N51" i="26" s="1"/>
  <c r="O51" i="26" s="1"/>
  <c r="P51" i="26" s="1"/>
  <c r="I51" i="26"/>
  <c r="L83" i="26"/>
  <c r="M83" i="26" s="1"/>
  <c r="N83" i="26" s="1"/>
  <c r="O83" i="26" s="1"/>
  <c r="P83" i="26" s="1"/>
  <c r="I83" i="26"/>
  <c r="L64" i="26"/>
  <c r="M64" i="26" s="1"/>
  <c r="I64" i="26"/>
  <c r="L52" i="26"/>
  <c r="M52" i="26" s="1"/>
  <c r="N52" i="26" s="1"/>
  <c r="O52" i="26" s="1"/>
  <c r="P52" i="26" s="1"/>
  <c r="I52" i="26"/>
  <c r="L82" i="26"/>
  <c r="M82" i="26" s="1"/>
  <c r="N82" i="26" s="1"/>
  <c r="O82" i="26" s="1"/>
  <c r="P82" i="26" s="1"/>
  <c r="I82" i="26"/>
  <c r="L53" i="26"/>
  <c r="M53" i="26" s="1"/>
  <c r="N53" i="26" s="1"/>
  <c r="O53" i="26" s="1"/>
  <c r="P53" i="26" s="1"/>
  <c r="I53" i="26"/>
  <c r="L46" i="26"/>
  <c r="M46" i="26" s="1"/>
  <c r="N46" i="26" s="1"/>
  <c r="O46" i="26" s="1"/>
  <c r="P46" i="26" s="1"/>
  <c r="I46" i="26"/>
  <c r="L55" i="26"/>
  <c r="M55" i="26" s="1"/>
  <c r="N55" i="26" s="1"/>
  <c r="O55" i="26" s="1"/>
  <c r="P55" i="26" s="1"/>
  <c r="I55" i="26"/>
  <c r="L39" i="26"/>
  <c r="M39" i="26" s="1"/>
  <c r="I39" i="26"/>
  <c r="L37" i="26"/>
  <c r="M37" i="26" s="1"/>
  <c r="I37" i="26"/>
  <c r="L42" i="26"/>
  <c r="M42" i="26" s="1"/>
  <c r="N42" i="26" s="1"/>
  <c r="O42" i="26" s="1"/>
  <c r="P42" i="26" s="1"/>
  <c r="I42" i="26"/>
  <c r="L56" i="26"/>
  <c r="M56" i="26" s="1"/>
  <c r="N56" i="26" s="1"/>
  <c r="O56" i="26" s="1"/>
  <c r="P56" i="26" s="1"/>
  <c r="I56" i="26"/>
  <c r="L59" i="26"/>
  <c r="M59" i="26" s="1"/>
  <c r="N59" i="26" s="1"/>
  <c r="O59" i="26" s="1"/>
  <c r="P59" i="26" s="1"/>
  <c r="I59" i="26"/>
  <c r="L40" i="26"/>
  <c r="M40" i="26" s="1"/>
  <c r="N40" i="26" s="1"/>
  <c r="O40" i="26" s="1"/>
  <c r="P40" i="26" s="1"/>
  <c r="I40" i="26"/>
  <c r="L48" i="26"/>
  <c r="M48" i="26" s="1"/>
  <c r="N48" i="26" s="1"/>
  <c r="O48" i="26" s="1"/>
  <c r="P48" i="26" s="1"/>
  <c r="I48" i="26"/>
  <c r="L85" i="26"/>
  <c r="M85" i="26" s="1"/>
  <c r="N85" i="26" s="1"/>
  <c r="O85" i="26" s="1"/>
  <c r="P85" i="26" s="1"/>
  <c r="I85" i="26"/>
  <c r="L44" i="26"/>
  <c r="M44" i="26" s="1"/>
  <c r="I44" i="26"/>
  <c r="L50" i="26"/>
  <c r="M50" i="26" s="1"/>
  <c r="N50" i="26" s="1"/>
  <c r="O50" i="26" s="1"/>
  <c r="P50" i="26" s="1"/>
  <c r="I50" i="26"/>
  <c r="L57" i="26"/>
  <c r="M57" i="26" s="1"/>
  <c r="N57" i="26" s="1"/>
  <c r="O57" i="26" s="1"/>
  <c r="P57" i="26" s="1"/>
  <c r="I57" i="26"/>
  <c r="L54" i="26"/>
  <c r="M54" i="26" s="1"/>
  <c r="I54" i="26"/>
  <c r="L60" i="26"/>
  <c r="M60" i="26" s="1"/>
  <c r="N60" i="26" s="1"/>
  <c r="O60" i="26" s="1"/>
  <c r="P60" i="26" s="1"/>
  <c r="I60" i="26"/>
  <c r="L61" i="26"/>
  <c r="M61" i="26" s="1"/>
  <c r="N61" i="26" s="1"/>
  <c r="O61" i="26" s="1"/>
  <c r="P61" i="26" s="1"/>
  <c r="I61" i="26"/>
  <c r="L43" i="26"/>
  <c r="M43" i="26" s="1"/>
  <c r="N43" i="26" s="1"/>
  <c r="O43" i="26" s="1"/>
  <c r="P43" i="26" s="1"/>
  <c r="I43" i="26"/>
  <c r="I83" i="23"/>
  <c r="R44" i="23"/>
  <c r="S33" i="23"/>
  <c r="F36" i="24"/>
  <c r="F40" i="24"/>
  <c r="F34" i="24"/>
  <c r="F43" i="24"/>
  <c r="F37" i="24"/>
  <c r="F84" i="24"/>
  <c r="F82" i="24"/>
  <c r="F80" i="24"/>
  <c r="F78" i="24"/>
  <c r="F76" i="24"/>
  <c r="F74" i="24"/>
  <c r="F72" i="24"/>
  <c r="F70" i="24"/>
  <c r="F68" i="24"/>
  <c r="F66" i="24"/>
  <c r="F64" i="24"/>
  <c r="F62" i="24"/>
  <c r="F60" i="24"/>
  <c r="F58" i="24"/>
  <c r="F56" i="24"/>
  <c r="F54" i="24"/>
  <c r="F52" i="24"/>
  <c r="F50" i="24"/>
  <c r="F48" i="24"/>
  <c r="F46" i="24"/>
  <c r="F41" i="24"/>
  <c r="F44" i="24"/>
  <c r="F35" i="24"/>
  <c r="F38" i="24"/>
  <c r="F42" i="24"/>
  <c r="F83" i="24"/>
  <c r="F81" i="24"/>
  <c r="F79" i="24"/>
  <c r="F77" i="24"/>
  <c r="F75" i="24"/>
  <c r="F73" i="24"/>
  <c r="F71" i="24"/>
  <c r="F69" i="24"/>
  <c r="F67" i="24"/>
  <c r="F65" i="24"/>
  <c r="F63" i="24"/>
  <c r="F61" i="24"/>
  <c r="F59" i="24"/>
  <c r="F57" i="24"/>
  <c r="F55" i="24"/>
  <c r="F53" i="24"/>
  <c r="F51" i="24"/>
  <c r="F49" i="24"/>
  <c r="F47" i="24"/>
  <c r="F45" i="24"/>
  <c r="F39" i="24"/>
  <c r="I85" i="23"/>
  <c r="I41" i="23"/>
  <c r="I40" i="23"/>
  <c r="I60" i="23"/>
  <c r="O54" i="23"/>
  <c r="P54" i="23" s="1"/>
  <c r="U42" i="23" s="1"/>
  <c r="I70" i="23"/>
  <c r="I67" i="23"/>
  <c r="I37" i="23"/>
  <c r="I52" i="23"/>
  <c r="I35" i="23"/>
  <c r="I82" i="23"/>
  <c r="I43" i="23"/>
  <c r="I66" i="23"/>
  <c r="I75" i="23"/>
  <c r="I81" i="23"/>
  <c r="O38" i="23"/>
  <c r="P38" i="23" s="1"/>
  <c r="U39" i="23" s="1"/>
  <c r="I80" i="23"/>
  <c r="O35" i="23"/>
  <c r="P35" i="23" s="1"/>
  <c r="U36" i="23" s="1"/>
  <c r="T38" i="23"/>
  <c r="I44" i="23"/>
  <c r="I48" i="23"/>
  <c r="I59" i="23"/>
  <c r="I78" i="23"/>
  <c r="I74" i="23"/>
  <c r="I46" i="23"/>
  <c r="I73" i="23"/>
  <c r="I76" i="23"/>
  <c r="I65" i="23"/>
  <c r="I53" i="23"/>
  <c r="I79" i="23"/>
  <c r="I56" i="23"/>
  <c r="I36" i="23"/>
  <c r="I50" i="23"/>
  <c r="I54" i="23"/>
  <c r="I38" i="23"/>
  <c r="I68" i="23"/>
  <c r="T40" i="23"/>
  <c r="I47" i="23"/>
  <c r="O74" i="23"/>
  <c r="P74" i="23" s="1"/>
  <c r="U44" i="23" s="1"/>
  <c r="V44" i="23" s="1"/>
  <c r="I42" i="23"/>
  <c r="I72" i="23"/>
  <c r="O64" i="23"/>
  <c r="P64" i="23" s="1"/>
  <c r="U43" i="23" s="1"/>
  <c r="I69" i="23"/>
  <c r="I77" i="23"/>
  <c r="I57" i="23"/>
  <c r="I55" i="23"/>
  <c r="I71" i="23"/>
  <c r="I39" i="23"/>
  <c r="I64" i="23"/>
  <c r="I62" i="23"/>
  <c r="T45" i="23"/>
  <c r="I58" i="23"/>
  <c r="I45" i="23"/>
  <c r="I61" i="23"/>
  <c r="I51" i="23"/>
  <c r="I63" i="23"/>
  <c r="I49" i="23"/>
  <c r="I84" i="23"/>
  <c r="O44" i="23"/>
  <c r="P44" i="23" s="1"/>
  <c r="U41" i="23" s="1"/>
  <c r="T41" i="23"/>
  <c r="T37" i="23"/>
  <c r="O36" i="23"/>
  <c r="P36" i="23" s="1"/>
  <c r="U37" i="23" s="1"/>
  <c r="V37" i="23" s="1"/>
  <c r="AE32" i="16"/>
  <c r="AE36" i="16"/>
  <c r="AE60" i="16"/>
  <c r="T72" i="19" a="1"/>
  <c r="T72" i="19" s="1"/>
  <c r="T79" i="19" s="1"/>
  <c r="G27" i="19"/>
  <c r="Z27" i="19" s="1"/>
  <c r="W27" i="19"/>
  <c r="T29" i="19" a="1"/>
  <c r="T29" i="19" s="1"/>
  <c r="T30" i="19" a="1"/>
  <c r="T30" i="19" s="1"/>
  <c r="G25" i="19"/>
  <c r="Z26" i="19" s="1"/>
  <c r="W26" i="19"/>
  <c r="Q40" i="19"/>
  <c r="Q38" i="19"/>
  <c r="Q36" i="19"/>
  <c r="Q34" i="19"/>
  <c r="Q32" i="19"/>
  <c r="Q41" i="19"/>
  <c r="Q39" i="19"/>
  <c r="Q37" i="19"/>
  <c r="Q35" i="19"/>
  <c r="Q33" i="19"/>
  <c r="W69" i="19"/>
  <c r="W71" i="19" s="1" a="1"/>
  <c r="W71" i="19" s="1"/>
  <c r="G69" i="19"/>
  <c r="Z69" i="19" s="1"/>
  <c r="Z72" i="19" a="1"/>
  <c r="Z72" i="19" s="1"/>
  <c r="Z71" i="19" a="1"/>
  <c r="Z71" i="19" s="1"/>
  <c r="G46" i="19"/>
  <c r="Z47" i="19" s="1"/>
  <c r="W47" i="19"/>
  <c r="Q83" i="19"/>
  <c r="Q81" i="19"/>
  <c r="Q75" i="19"/>
  <c r="Q79" i="19"/>
  <c r="Q82" i="19"/>
  <c r="Q80" i="19"/>
  <c r="Q78" i="19"/>
  <c r="Q76" i="19"/>
  <c r="Q74" i="19"/>
  <c r="Q77" i="19"/>
  <c r="W48" i="19"/>
  <c r="G48" i="19"/>
  <c r="Z48" i="19" s="1"/>
  <c r="Q56" i="19"/>
  <c r="Q54" i="19"/>
  <c r="Q58" i="19"/>
  <c r="Q62" i="19"/>
  <c r="Q61" i="19"/>
  <c r="Q59" i="19"/>
  <c r="Q57" i="19"/>
  <c r="Q55" i="19"/>
  <c r="Q53" i="19"/>
  <c r="Q60" i="19"/>
  <c r="T51" i="19" a="1"/>
  <c r="T51" i="19" s="1"/>
  <c r="T50" i="19" a="1"/>
  <c r="T50" i="19" s="1"/>
  <c r="AE30" i="16"/>
  <c r="AE31" i="16"/>
  <c r="AE58" i="16"/>
  <c r="AE56" i="16"/>
  <c r="AE35" i="16"/>
  <c r="AE38" i="16"/>
  <c r="AE52" i="16"/>
  <c r="AE78" i="16"/>
  <c r="AE77" i="16"/>
  <c r="AE34" i="16"/>
  <c r="AE79" i="16"/>
  <c r="AE73" i="16"/>
  <c r="AE80" i="16"/>
  <c r="AE39" i="16"/>
  <c r="AE57" i="16"/>
  <c r="N61" i="16"/>
  <c r="AE37" i="16"/>
  <c r="AE72" i="16"/>
  <c r="AE53" i="16"/>
  <c r="AE59" i="16"/>
  <c r="AE51" i="16"/>
  <c r="T49" i="16" a="1"/>
  <c r="T49" i="16" s="1"/>
  <c r="T48" i="16" a="1"/>
  <c r="T48" i="16" s="1"/>
  <c r="Q54" i="16"/>
  <c r="Q59" i="16"/>
  <c r="Q61" i="16" s="1"/>
  <c r="Q52" i="16"/>
  <c r="Q56" i="16"/>
  <c r="Q58" i="16"/>
  <c r="Q60" i="16"/>
  <c r="Q57" i="16"/>
  <c r="Q51" i="16"/>
  <c r="Q53" i="16"/>
  <c r="Q55" i="16"/>
  <c r="T25" i="16"/>
  <c r="F25" i="16"/>
  <c r="N38" i="16"/>
  <c r="N40" i="16" s="1"/>
  <c r="N36" i="16"/>
  <c r="N34" i="16"/>
  <c r="N32" i="16"/>
  <c r="N30" i="16"/>
  <c r="N39" i="16"/>
  <c r="N37" i="16"/>
  <c r="N35" i="16"/>
  <c r="N33" i="16"/>
  <c r="N31" i="16"/>
  <c r="T24" i="16"/>
  <c r="F23" i="16"/>
  <c r="Q27" i="16" a="1"/>
  <c r="Q27" i="16" s="1"/>
  <c r="Q28" i="16" a="1"/>
  <c r="Q28" i="16" s="1"/>
  <c r="F65" i="16"/>
  <c r="W66" i="16" s="1"/>
  <c r="N80" i="16"/>
  <c r="N82" i="16" s="1"/>
  <c r="N78" i="16"/>
  <c r="N76" i="16"/>
  <c r="N74" i="16"/>
  <c r="N72" i="16"/>
  <c r="N81" i="16"/>
  <c r="N79" i="16"/>
  <c r="N77" i="16"/>
  <c r="N75" i="16"/>
  <c r="N73" i="16"/>
  <c r="Q69" i="16" a="1"/>
  <c r="Q69" i="16" s="1"/>
  <c r="Q70" i="16" a="1"/>
  <c r="Q70" i="16" s="1"/>
  <c r="G67" i="16"/>
  <c r="Z67" i="16" s="1"/>
  <c r="W67" i="16"/>
  <c r="F44" i="16"/>
  <c r="W45" i="16" s="1"/>
  <c r="F46" i="16"/>
  <c r="W46" i="16" s="1"/>
  <c r="N74" i="26" l="1"/>
  <c r="S59" i="26"/>
  <c r="T59" i="26" s="1"/>
  <c r="U59" i="26" s="1"/>
  <c r="N36" i="26"/>
  <c r="S52" i="26"/>
  <c r="T52" i="26" s="1"/>
  <c r="U52" i="26" s="1"/>
  <c r="N44" i="26"/>
  <c r="S56" i="26"/>
  <c r="T56" i="26" s="1"/>
  <c r="U56" i="26" s="1"/>
  <c r="N64" i="26"/>
  <c r="S58" i="26"/>
  <c r="T58" i="26" s="1"/>
  <c r="U58" i="26" s="1"/>
  <c r="N37" i="26"/>
  <c r="T38" i="26" s="1"/>
  <c r="S53" i="26"/>
  <c r="T53" i="26" s="1"/>
  <c r="U53" i="26" s="1"/>
  <c r="N39" i="26"/>
  <c r="O39" i="26" s="1"/>
  <c r="P39" i="26" s="1"/>
  <c r="U40" i="26" s="1"/>
  <c r="S55" i="26"/>
  <c r="T55" i="26" s="1"/>
  <c r="U55" i="26" s="1"/>
  <c r="N54" i="26"/>
  <c r="T42" i="26" s="1"/>
  <c r="S57" i="26"/>
  <c r="T57" i="26" s="1"/>
  <c r="U57" i="26" s="1"/>
  <c r="N35" i="26"/>
  <c r="O35" i="26" s="1"/>
  <c r="P35" i="26" s="1"/>
  <c r="U36" i="26" s="1"/>
  <c r="S51" i="26"/>
  <c r="T51" i="26" s="1"/>
  <c r="U51" i="26" s="1"/>
  <c r="N84" i="26"/>
  <c r="S60" i="26"/>
  <c r="T60" i="26" s="1"/>
  <c r="U60" i="26" s="1"/>
  <c r="N38" i="26"/>
  <c r="O38" i="26" s="1"/>
  <c r="P38" i="26" s="1"/>
  <c r="U39" i="26" s="1"/>
  <c r="S54" i="26"/>
  <c r="T54" i="26" s="1"/>
  <c r="U54" i="26" s="1"/>
  <c r="T45" i="26"/>
  <c r="O84" i="26"/>
  <c r="P84" i="26" s="1"/>
  <c r="U45" i="26" s="1"/>
  <c r="O74" i="26"/>
  <c r="P74" i="26" s="1"/>
  <c r="U44" i="26" s="1"/>
  <c r="T44" i="26"/>
  <c r="O37" i="26"/>
  <c r="P37" i="26" s="1"/>
  <c r="U38" i="26" s="1"/>
  <c r="O36" i="26"/>
  <c r="P36" i="26" s="1"/>
  <c r="U37" i="26" s="1"/>
  <c r="T37" i="26"/>
  <c r="O44" i="26"/>
  <c r="P44" i="26" s="1"/>
  <c r="U41" i="26" s="1"/>
  <c r="T41" i="26"/>
  <c r="O64" i="26"/>
  <c r="P64" i="26" s="1"/>
  <c r="U43" i="26" s="1"/>
  <c r="T43" i="26"/>
  <c r="R40" i="23"/>
  <c r="S32" i="23"/>
  <c r="R37" i="23"/>
  <c r="S31" i="23"/>
  <c r="L49" i="24"/>
  <c r="M49" i="24" s="1"/>
  <c r="N49" i="24" s="1"/>
  <c r="O49" i="24" s="1"/>
  <c r="P49" i="24" s="1"/>
  <c r="I49" i="24"/>
  <c r="L81" i="24"/>
  <c r="M81" i="24" s="1"/>
  <c r="N81" i="24" s="1"/>
  <c r="O81" i="24" s="1"/>
  <c r="P81" i="24" s="1"/>
  <c r="I81" i="24"/>
  <c r="L64" i="24"/>
  <c r="M64" i="24" s="1"/>
  <c r="N64" i="24" s="1"/>
  <c r="O64" i="24" s="1"/>
  <c r="P64" i="24" s="1"/>
  <c r="I64" i="24"/>
  <c r="L72" i="24"/>
  <c r="M72" i="24" s="1"/>
  <c r="N72" i="24" s="1"/>
  <c r="O72" i="24" s="1"/>
  <c r="P72" i="24" s="1"/>
  <c r="I72" i="24"/>
  <c r="L41" i="24"/>
  <c r="M41" i="24" s="1"/>
  <c r="N41" i="24" s="1"/>
  <c r="O41" i="24" s="1"/>
  <c r="P41" i="24" s="1"/>
  <c r="I41" i="24"/>
  <c r="L76" i="24"/>
  <c r="M76" i="24" s="1"/>
  <c r="N76" i="24" s="1"/>
  <c r="O76" i="24" s="1"/>
  <c r="P76" i="24" s="1"/>
  <c r="I76" i="24"/>
  <c r="L53" i="24"/>
  <c r="M53" i="24" s="1"/>
  <c r="N53" i="24" s="1"/>
  <c r="I53" i="24"/>
  <c r="L63" i="24"/>
  <c r="M63" i="24" s="1"/>
  <c r="N63" i="24" s="1"/>
  <c r="I63" i="24"/>
  <c r="L46" i="24"/>
  <c r="M46" i="24" s="1"/>
  <c r="N46" i="24" s="1"/>
  <c r="O46" i="24" s="1"/>
  <c r="P46" i="24" s="1"/>
  <c r="I46" i="24"/>
  <c r="L78" i="24"/>
  <c r="M78" i="24" s="1"/>
  <c r="N78" i="24" s="1"/>
  <c r="O78" i="24" s="1"/>
  <c r="P78" i="24" s="1"/>
  <c r="I78" i="24"/>
  <c r="L42" i="24"/>
  <c r="M42" i="24" s="1"/>
  <c r="N42" i="24" s="1"/>
  <c r="O42" i="24" s="1"/>
  <c r="P42" i="24" s="1"/>
  <c r="I42" i="24"/>
  <c r="L35" i="24"/>
  <c r="M35" i="24" s="1"/>
  <c r="N35" i="24" s="1"/>
  <c r="I35" i="24"/>
  <c r="L65" i="24"/>
  <c r="M65" i="24" s="1"/>
  <c r="N65" i="24" s="1"/>
  <c r="O65" i="24" s="1"/>
  <c r="P65" i="24" s="1"/>
  <c r="I65" i="24"/>
  <c r="L48" i="24"/>
  <c r="M48" i="24" s="1"/>
  <c r="N48" i="24" s="1"/>
  <c r="O48" i="24" s="1"/>
  <c r="P48" i="24" s="1"/>
  <c r="I48" i="24"/>
  <c r="L80" i="24"/>
  <c r="M80" i="24" s="1"/>
  <c r="N80" i="24" s="1"/>
  <c r="O80" i="24" s="1"/>
  <c r="P80" i="24" s="1"/>
  <c r="I80" i="24"/>
  <c r="L67" i="24"/>
  <c r="M67" i="24" s="1"/>
  <c r="N67" i="24" s="1"/>
  <c r="O67" i="24" s="1"/>
  <c r="P67" i="24" s="1"/>
  <c r="I67" i="24"/>
  <c r="L50" i="24"/>
  <c r="M50" i="24" s="1"/>
  <c r="N50" i="24" s="1"/>
  <c r="O50" i="24" s="1"/>
  <c r="P50" i="24" s="1"/>
  <c r="I50" i="24"/>
  <c r="L82" i="24"/>
  <c r="M82" i="24" s="1"/>
  <c r="N82" i="24" s="1"/>
  <c r="O82" i="24" s="1"/>
  <c r="P82" i="24" s="1"/>
  <c r="I82" i="24"/>
  <c r="L83" i="24"/>
  <c r="M83" i="24" s="1"/>
  <c r="N83" i="24" s="1"/>
  <c r="I83" i="24"/>
  <c r="L70" i="24"/>
  <c r="M70" i="24" s="1"/>
  <c r="N70" i="24" s="1"/>
  <c r="O70" i="24" s="1"/>
  <c r="P70" i="24" s="1"/>
  <c r="I70" i="24"/>
  <c r="L44" i="24"/>
  <c r="M44" i="24" s="1"/>
  <c r="N44" i="24" s="1"/>
  <c r="O44" i="24" s="1"/>
  <c r="P44" i="24" s="1"/>
  <c r="I44" i="24"/>
  <c r="L69" i="24"/>
  <c r="M69" i="24" s="1"/>
  <c r="N69" i="24" s="1"/>
  <c r="O69" i="24" s="1"/>
  <c r="P69" i="24" s="1"/>
  <c r="I69" i="24"/>
  <c r="L52" i="24"/>
  <c r="M52" i="24" s="1"/>
  <c r="N52" i="24" s="1"/>
  <c r="O52" i="24" s="1"/>
  <c r="P52" i="24" s="1"/>
  <c r="I52" i="24"/>
  <c r="L84" i="24"/>
  <c r="M84" i="24" s="1"/>
  <c r="N84" i="24" s="1"/>
  <c r="O84" i="24" s="1"/>
  <c r="P84" i="24" s="1"/>
  <c r="I84" i="24"/>
  <c r="L51" i="24"/>
  <c r="M51" i="24" s="1"/>
  <c r="N51" i="24" s="1"/>
  <c r="O51" i="24" s="1"/>
  <c r="P51" i="24" s="1"/>
  <c r="I51" i="24"/>
  <c r="L38" i="24"/>
  <c r="M38" i="24" s="1"/>
  <c r="N38" i="24" s="1"/>
  <c r="I38" i="24"/>
  <c r="L59" i="24"/>
  <c r="M59" i="24" s="1"/>
  <c r="N59" i="24" s="1"/>
  <c r="O59" i="24" s="1"/>
  <c r="P59" i="24" s="1"/>
  <c r="I59" i="24"/>
  <c r="L71" i="24"/>
  <c r="M71" i="24" s="1"/>
  <c r="N71" i="24" s="1"/>
  <c r="O71" i="24" s="1"/>
  <c r="P71" i="24" s="1"/>
  <c r="I71" i="24"/>
  <c r="L54" i="24"/>
  <c r="M54" i="24" s="1"/>
  <c r="N54" i="24" s="1"/>
  <c r="O54" i="24" s="1"/>
  <c r="P54" i="24" s="1"/>
  <c r="I54" i="24"/>
  <c r="L37" i="24"/>
  <c r="M37" i="24" s="1"/>
  <c r="N37" i="24" s="1"/>
  <c r="I37" i="24"/>
  <c r="L74" i="24"/>
  <c r="M74" i="24" s="1"/>
  <c r="N74" i="24" s="1"/>
  <c r="O74" i="24" s="1"/>
  <c r="P74" i="24" s="1"/>
  <c r="I74" i="24"/>
  <c r="L73" i="24"/>
  <c r="M73" i="24" s="1"/>
  <c r="N73" i="24" s="1"/>
  <c r="I73" i="24"/>
  <c r="L56" i="24"/>
  <c r="M56" i="24" s="1"/>
  <c r="N56" i="24" s="1"/>
  <c r="O56" i="24" s="1"/>
  <c r="P56" i="24" s="1"/>
  <c r="I56" i="24"/>
  <c r="L43" i="24"/>
  <c r="M43" i="24" s="1"/>
  <c r="N43" i="24" s="1"/>
  <c r="I43" i="24"/>
  <c r="L68" i="24"/>
  <c r="M68" i="24" s="1"/>
  <c r="N68" i="24" s="1"/>
  <c r="O68" i="24" s="1"/>
  <c r="P68" i="24" s="1"/>
  <c r="I68" i="24"/>
  <c r="L57" i="24"/>
  <c r="M57" i="24" s="1"/>
  <c r="N57" i="24" s="1"/>
  <c r="O57" i="24" s="1"/>
  <c r="P57" i="24" s="1"/>
  <c r="I57" i="24"/>
  <c r="L39" i="24"/>
  <c r="M39" i="24" s="1"/>
  <c r="N39" i="24" s="1"/>
  <c r="O39" i="24" s="1"/>
  <c r="P39" i="24" s="1"/>
  <c r="I39" i="24"/>
  <c r="L75" i="24"/>
  <c r="M75" i="24" s="1"/>
  <c r="N75" i="24" s="1"/>
  <c r="O75" i="24" s="1"/>
  <c r="P75" i="24" s="1"/>
  <c r="I75" i="24"/>
  <c r="L58" i="24"/>
  <c r="M58" i="24" s="1"/>
  <c r="N58" i="24" s="1"/>
  <c r="O58" i="24" s="1"/>
  <c r="P58" i="24" s="1"/>
  <c r="I58" i="24"/>
  <c r="L34" i="24"/>
  <c r="M34" i="24" s="1"/>
  <c r="N34" i="24" s="1"/>
  <c r="I34" i="24"/>
  <c r="L66" i="24"/>
  <c r="M66" i="24" s="1"/>
  <c r="N66" i="24" s="1"/>
  <c r="O66" i="24" s="1"/>
  <c r="P66" i="24" s="1"/>
  <c r="I66" i="24"/>
  <c r="L55" i="24"/>
  <c r="M55" i="24" s="1"/>
  <c r="N55" i="24" s="1"/>
  <c r="O55" i="24" s="1"/>
  <c r="P55" i="24" s="1"/>
  <c r="I55" i="24"/>
  <c r="L61" i="24"/>
  <c r="M61" i="24" s="1"/>
  <c r="N61" i="24" s="1"/>
  <c r="O61" i="24" s="1"/>
  <c r="P61" i="24" s="1"/>
  <c r="I61" i="24"/>
  <c r="L45" i="24"/>
  <c r="M45" i="24" s="1"/>
  <c r="N45" i="24" s="1"/>
  <c r="O45" i="24" s="1"/>
  <c r="P45" i="24" s="1"/>
  <c r="I45" i="24"/>
  <c r="L77" i="24"/>
  <c r="M77" i="24" s="1"/>
  <c r="N77" i="24" s="1"/>
  <c r="O77" i="24" s="1"/>
  <c r="P77" i="24" s="1"/>
  <c r="I77" i="24"/>
  <c r="L60" i="24"/>
  <c r="M60" i="24" s="1"/>
  <c r="N60" i="24" s="1"/>
  <c r="O60" i="24" s="1"/>
  <c r="P60" i="24" s="1"/>
  <c r="I60" i="24"/>
  <c r="L40" i="24"/>
  <c r="M40" i="24" s="1"/>
  <c r="N40" i="24" s="1"/>
  <c r="O40" i="24" s="1"/>
  <c r="P40" i="24" s="1"/>
  <c r="I40" i="24"/>
  <c r="L47" i="24"/>
  <c r="M47" i="24" s="1"/>
  <c r="N47" i="24" s="1"/>
  <c r="O47" i="24" s="1"/>
  <c r="P47" i="24" s="1"/>
  <c r="I47" i="24"/>
  <c r="L79" i="24"/>
  <c r="M79" i="24" s="1"/>
  <c r="N79" i="24" s="1"/>
  <c r="O79" i="24" s="1"/>
  <c r="P79" i="24" s="1"/>
  <c r="I79" i="24"/>
  <c r="L62" i="24"/>
  <c r="M62" i="24" s="1"/>
  <c r="N62" i="24" s="1"/>
  <c r="O62" i="24" s="1"/>
  <c r="P62" i="24" s="1"/>
  <c r="I62" i="24"/>
  <c r="L36" i="24"/>
  <c r="M36" i="24" s="1"/>
  <c r="N36" i="24" s="1"/>
  <c r="I36" i="24"/>
  <c r="T77" i="19"/>
  <c r="T75" i="19"/>
  <c r="T78" i="19"/>
  <c r="T80" i="19"/>
  <c r="T74" i="19"/>
  <c r="T76" i="19"/>
  <c r="T82" i="19"/>
  <c r="T81" i="19"/>
  <c r="T83" i="19"/>
  <c r="W72" i="19" a="1"/>
  <c r="W72" i="19" s="1"/>
  <c r="W81" i="19" s="1"/>
  <c r="Z79" i="19"/>
  <c r="Z75" i="19"/>
  <c r="Z83" i="19"/>
  <c r="Z82" i="19"/>
  <c r="Z80" i="19"/>
  <c r="Z78" i="19"/>
  <c r="Z76" i="19"/>
  <c r="Z74" i="19"/>
  <c r="Z81" i="19"/>
  <c r="Z77" i="19"/>
  <c r="T62" i="19"/>
  <c r="T54" i="19"/>
  <c r="T56" i="19"/>
  <c r="T58" i="19"/>
  <c r="T61" i="19"/>
  <c r="T59" i="19"/>
  <c r="T57" i="19"/>
  <c r="T55" i="19"/>
  <c r="T53" i="19"/>
  <c r="T60" i="19"/>
  <c r="W30" i="19" a="1"/>
  <c r="W30" i="19" s="1"/>
  <c r="W29" i="19" a="1"/>
  <c r="W29" i="19" s="1"/>
  <c r="Z29" i="19" a="1"/>
  <c r="Z29" i="19" s="1"/>
  <c r="Z30" i="19" a="1"/>
  <c r="Z30" i="19" s="1"/>
  <c r="T37" i="19"/>
  <c r="T39" i="19"/>
  <c r="T35" i="19"/>
  <c r="T41" i="19"/>
  <c r="T33" i="19"/>
  <c r="T40" i="19"/>
  <c r="T38" i="19"/>
  <c r="T36" i="19"/>
  <c r="T34" i="19"/>
  <c r="T32" i="19"/>
  <c r="W51" i="19" a="1"/>
  <c r="W51" i="19" s="1"/>
  <c r="W50" i="19" a="1"/>
  <c r="W50" i="19" s="1"/>
  <c r="Z51" i="19" a="1"/>
  <c r="Z51" i="19" s="1"/>
  <c r="Z50" i="19" a="1"/>
  <c r="Z50" i="19" s="1"/>
  <c r="T55" i="16"/>
  <c r="T58" i="16"/>
  <c r="T51" i="16"/>
  <c r="T60" i="16"/>
  <c r="T53" i="16"/>
  <c r="T57" i="16"/>
  <c r="T59" i="16"/>
  <c r="T56" i="16"/>
  <c r="T52" i="16"/>
  <c r="T54" i="16"/>
  <c r="W49" i="16" a="1"/>
  <c r="W49" i="16" s="1"/>
  <c r="W48" i="16" a="1"/>
  <c r="W48" i="16" s="1"/>
  <c r="Q38" i="16"/>
  <c r="Q40" i="16" s="1"/>
  <c r="Q36" i="16"/>
  <c r="Q34" i="16"/>
  <c r="Q32" i="16"/>
  <c r="Q30" i="16"/>
  <c r="Q39" i="16"/>
  <c r="Q37" i="16"/>
  <c r="Q35" i="16"/>
  <c r="Q33" i="16"/>
  <c r="Q31" i="16"/>
  <c r="G25" i="16"/>
  <c r="Z25" i="16" s="1"/>
  <c r="W25" i="16"/>
  <c r="T27" i="16" a="1"/>
  <c r="T27" i="16" s="1"/>
  <c r="T28" i="16" a="1"/>
  <c r="T28" i="16" s="1"/>
  <c r="W24" i="16"/>
  <c r="G23" i="16"/>
  <c r="Z24" i="16" s="1"/>
  <c r="T69" i="16" a="1"/>
  <c r="T69" i="16" s="1"/>
  <c r="T70" i="16" a="1"/>
  <c r="T70" i="16" s="1"/>
  <c r="G65" i="16"/>
  <c r="Z66" i="16" s="1"/>
  <c r="Q80" i="16"/>
  <c r="Q82" i="16" s="1"/>
  <c r="Q78" i="16"/>
  <c r="Q76" i="16"/>
  <c r="Q74" i="16"/>
  <c r="Q72" i="16"/>
  <c r="Q81" i="16"/>
  <c r="Q79" i="16"/>
  <c r="Q77" i="16"/>
  <c r="Q75" i="16"/>
  <c r="Q73" i="16"/>
  <c r="G46" i="16"/>
  <c r="Z46" i="16" s="1"/>
  <c r="G44" i="16"/>
  <c r="Z45" i="16" s="1"/>
  <c r="V37" i="26" l="1"/>
  <c r="Y27" i="26"/>
  <c r="V44" i="26"/>
  <c r="Y28" i="26"/>
  <c r="T39" i="26"/>
  <c r="O54" i="26"/>
  <c r="P54" i="26" s="1"/>
  <c r="U42" i="26" s="1"/>
  <c r="T36" i="26"/>
  <c r="T40" i="26"/>
  <c r="R40" i="26" s="1"/>
  <c r="S32" i="26"/>
  <c r="S31" i="26"/>
  <c r="R37" i="26"/>
  <c r="R44" i="26"/>
  <c r="S33" i="26"/>
  <c r="T42" i="24"/>
  <c r="O63" i="24"/>
  <c r="P63" i="24" s="1"/>
  <c r="U42" i="24" s="1"/>
  <c r="T41" i="24"/>
  <c r="O53" i="24"/>
  <c r="P53" i="24" s="1"/>
  <c r="U41" i="24" s="1"/>
  <c r="T38" i="24"/>
  <c r="O37" i="24"/>
  <c r="P37" i="24" s="1"/>
  <c r="U38" i="24" s="1"/>
  <c r="T35" i="24"/>
  <c r="O34" i="24"/>
  <c r="P34" i="24" s="1"/>
  <c r="U35" i="24" s="1"/>
  <c r="O73" i="24"/>
  <c r="P73" i="24" s="1"/>
  <c r="U43" i="24" s="1"/>
  <c r="T43" i="24"/>
  <c r="T44" i="24"/>
  <c r="O83" i="24"/>
  <c r="P83" i="24" s="1"/>
  <c r="U44" i="24" s="1"/>
  <c r="O35" i="24"/>
  <c r="P35" i="24" s="1"/>
  <c r="U36" i="24" s="1"/>
  <c r="T36" i="24"/>
  <c r="O36" i="24"/>
  <c r="P36" i="24" s="1"/>
  <c r="U37" i="24" s="1"/>
  <c r="T37" i="24"/>
  <c r="T40" i="24"/>
  <c r="O43" i="24"/>
  <c r="P43" i="24" s="1"/>
  <c r="U40" i="24" s="1"/>
  <c r="O38" i="24"/>
  <c r="P38" i="24" s="1"/>
  <c r="U39" i="24" s="1"/>
  <c r="T39" i="24"/>
  <c r="W74" i="19"/>
  <c r="W76" i="19"/>
  <c r="W78" i="19"/>
  <c r="W82" i="19"/>
  <c r="W80" i="19"/>
  <c r="W75" i="19"/>
  <c r="W83" i="19"/>
  <c r="W77" i="19"/>
  <c r="W79" i="19"/>
  <c r="Z33" i="19"/>
  <c r="Z37" i="19"/>
  <c r="Z40" i="19"/>
  <c r="Z38" i="19"/>
  <c r="Z36" i="19"/>
  <c r="Z34" i="19"/>
  <c r="Z32" i="19"/>
  <c r="Z41" i="19"/>
  <c r="Z35" i="19"/>
  <c r="Z39" i="19"/>
  <c r="Z62" i="19"/>
  <c r="Z54" i="19"/>
  <c r="Z56" i="19"/>
  <c r="Z61" i="19"/>
  <c r="Z59" i="19"/>
  <c r="Z57" i="19"/>
  <c r="Z55" i="19"/>
  <c r="Z53" i="19"/>
  <c r="Z60" i="19"/>
  <c r="Z58" i="19"/>
  <c r="W39" i="19"/>
  <c r="W33" i="19"/>
  <c r="W41" i="19"/>
  <c r="W37" i="19"/>
  <c r="W40" i="19"/>
  <c r="W38" i="19"/>
  <c r="W36" i="19"/>
  <c r="W34" i="19"/>
  <c r="W32" i="19"/>
  <c r="W35" i="19"/>
  <c r="W58" i="19"/>
  <c r="W56" i="19"/>
  <c r="W61" i="19"/>
  <c r="W59" i="19"/>
  <c r="W57" i="19"/>
  <c r="W55" i="19"/>
  <c r="W53" i="19"/>
  <c r="W60" i="19"/>
  <c r="W54" i="19"/>
  <c r="W62" i="19"/>
  <c r="T61" i="16"/>
  <c r="Z48" i="16" a="1"/>
  <c r="Z48" i="16" s="1"/>
  <c r="Z49" i="16" a="1"/>
  <c r="Z49" i="16" s="1"/>
  <c r="W57" i="16"/>
  <c r="W56" i="16"/>
  <c r="W59" i="16"/>
  <c r="W61" i="16" s="1"/>
  <c r="W52" i="16"/>
  <c r="W54" i="16"/>
  <c r="W55" i="16"/>
  <c r="W53" i="16"/>
  <c r="W58" i="16"/>
  <c r="W51" i="16"/>
  <c r="W60" i="16"/>
  <c r="T38" i="16"/>
  <c r="T40" i="16" s="1"/>
  <c r="T36" i="16"/>
  <c r="T34" i="16"/>
  <c r="T85" i="16" s="1"/>
  <c r="T32" i="16"/>
  <c r="T30" i="16"/>
  <c r="T39" i="16"/>
  <c r="T37" i="16"/>
  <c r="T35" i="16"/>
  <c r="T87" i="16" s="1"/>
  <c r="T33" i="16"/>
  <c r="T31" i="16"/>
  <c r="Z27" i="16" a="1"/>
  <c r="Z27" i="16" s="1"/>
  <c r="Z28" i="16" a="1"/>
  <c r="Z28" i="16" s="1"/>
  <c r="W27" i="16" a="1"/>
  <c r="W27" i="16" s="1"/>
  <c r="W28" i="16" a="1"/>
  <c r="W28" i="16" s="1"/>
  <c r="T80" i="16"/>
  <c r="T78" i="16"/>
  <c r="T76" i="16"/>
  <c r="T86" i="16" s="1"/>
  <c r="T74" i="16"/>
  <c r="T72" i="16"/>
  <c r="T81" i="16"/>
  <c r="T79" i="16"/>
  <c r="T77" i="16"/>
  <c r="T88" i="16" s="1"/>
  <c r="T75" i="16"/>
  <c r="T73" i="16"/>
  <c r="W69" i="16" a="1"/>
  <c r="W69" i="16" s="1"/>
  <c r="W70" i="16" a="1"/>
  <c r="W70" i="16" s="1"/>
  <c r="Z69" i="16" a="1"/>
  <c r="Z69" i="16" s="1"/>
  <c r="Z70" i="16" a="1"/>
  <c r="Z70" i="16" s="1"/>
  <c r="Y33" i="26" l="1" a="1"/>
  <c r="Y33" i="26" s="1"/>
  <c r="Y32" i="26" a="1"/>
  <c r="Y32" i="26" s="1"/>
  <c r="R43" i="24"/>
  <c r="S32" i="24"/>
  <c r="R36" i="24"/>
  <c r="S30" i="24"/>
  <c r="R39" i="24"/>
  <c r="S31" i="24"/>
  <c r="T82" i="16"/>
  <c r="T90" i="16"/>
  <c r="T89" i="16"/>
  <c r="Z60" i="16"/>
  <c r="Z53" i="16"/>
  <c r="Z55" i="16"/>
  <c r="Z57" i="16"/>
  <c r="Z59" i="16"/>
  <c r="Z52" i="16"/>
  <c r="Z54" i="16"/>
  <c r="Z56" i="16"/>
  <c r="Z58" i="16"/>
  <c r="Z51" i="16"/>
  <c r="W38" i="16"/>
  <c r="W40" i="16" s="1"/>
  <c r="W36" i="16"/>
  <c r="W34" i="16"/>
  <c r="W32" i="16"/>
  <c r="W30" i="16"/>
  <c r="W39" i="16"/>
  <c r="W37" i="16"/>
  <c r="W35" i="16"/>
  <c r="W33" i="16"/>
  <c r="W31" i="16"/>
  <c r="Z38" i="16"/>
  <c r="Z36" i="16"/>
  <c r="Z34" i="16"/>
  <c r="Z32" i="16"/>
  <c r="Z30" i="16"/>
  <c r="Z39" i="16"/>
  <c r="Z37" i="16"/>
  <c r="Z35" i="16"/>
  <c r="Z33" i="16"/>
  <c r="Z31" i="16"/>
  <c r="Z80" i="16"/>
  <c r="Z78" i="16"/>
  <c r="Z76" i="16"/>
  <c r="Z74" i="16"/>
  <c r="Z72" i="16"/>
  <c r="Z81" i="16"/>
  <c r="Z79" i="16"/>
  <c r="Z77" i="16"/>
  <c r="Z75" i="16"/>
  <c r="Z73" i="16"/>
  <c r="W80" i="16"/>
  <c r="W82" i="16" s="1"/>
  <c r="W78" i="16"/>
  <c r="W76" i="16"/>
  <c r="W74" i="16"/>
  <c r="W72" i="16"/>
  <c r="W81" i="16"/>
  <c r="W79" i="16"/>
  <c r="W77" i="16"/>
  <c r="W75" i="16"/>
  <c r="W73" i="16"/>
  <c r="Y40" i="26" l="1"/>
  <c r="Y44" i="26"/>
  <c r="Y43" i="26"/>
  <c r="Y38" i="26"/>
  <c r="Y42" i="26"/>
  <c r="Y39" i="26"/>
  <c r="Y41" i="26"/>
  <c r="Y37" i="26"/>
  <c r="Z61" i="16"/>
  <c r="AC61" i="16"/>
  <c r="Z40" i="16"/>
  <c r="AC40" i="16"/>
  <c r="Z82" i="16"/>
  <c r="AC82" i="16"/>
  <c r="Z42" i="26" l="1"/>
  <c r="AA42" i="26"/>
  <c r="Z37" i="26"/>
  <c r="AA37" i="26"/>
  <c r="Z41" i="26"/>
  <c r="AA41" i="26"/>
  <c r="Z39" i="26"/>
  <c r="AA39" i="26"/>
  <c r="Z38" i="26"/>
  <c r="AA38" i="26"/>
  <c r="Z43" i="26"/>
  <c r="AA43" i="26"/>
  <c r="Z44" i="26"/>
  <c r="AA44" i="26"/>
  <c r="Z40" i="26"/>
  <c r="AA40" i="2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<sst xmlns="http://schemas.openxmlformats.org/spreadsheetml/2006/main" count="1509" uniqueCount="299">
  <si>
    <t xml:space="preserve"> spr rate</t>
  </si>
  <si>
    <t xml:space="preserve"> mWheel</t>
  </si>
  <si>
    <t xml:space="preserve"> ips</t>
  </si>
  <si>
    <t>ro</t>
  </si>
  <si>
    <t>r zeta</t>
  </si>
  <si>
    <t>r coeff</t>
  </si>
  <si>
    <t>copy</t>
  </si>
  <si>
    <t>end</t>
  </si>
  <si>
    <t>curve</t>
  </si>
  <si>
    <t>adjust with factor</t>
  </si>
  <si>
    <t xml:space="preserve"> lev ratio at 100tr</t>
  </si>
  <si>
    <t xml:space="preserve"> zeta_backwards_shr_spr_per_levratio.xlsx</t>
  </si>
  <si>
    <t>r-zeta</t>
  </si>
  <si>
    <t xml:space="preserve">  $r_damp1_targ = ($r_zeta1_targ * 1.0) * $lrfoal * sqrt( 4 * $mWheel * $kspring_coef / 32.2 ) / 12;</t>
  </si>
  <si>
    <t xml:space="preserve"> kspring coeff</t>
  </si>
  <si>
    <t>target</t>
  </si>
  <si>
    <t>reb</t>
  </si>
  <si>
    <t xml:space="preserve"> r_damp_bkwd</t>
  </si>
  <si>
    <t xml:space="preserve"> see  zeta_fkr_drag_force.xlsx  for new linear drag force</t>
  </si>
  <si>
    <t xml:space="preserve"> 93_63_70</t>
  </si>
  <si>
    <t xml:space="preserve"> 6-15-22</t>
  </si>
  <si>
    <t xml:space="preserve"> We used restackor to find r-zeta curves that were linear / parrallel to the zeta .70 baseline</t>
  </si>
  <si>
    <t xml:space="preserve"> </t>
  </si>
  <si>
    <t xml:space="preserve"> 94_72_64</t>
  </si>
  <si>
    <t xml:space="preserve"> adjust spr rate --&gt; </t>
  </si>
  <si>
    <t xml:space="preserve"> [4.55 spr for 200 lb rider]</t>
  </si>
  <si>
    <t xml:space="preserve"> We also used restackor    01_sh_3783s_bert.xls   </t>
  </si>
  <si>
    <t xml:space="preserve"> zeta_backwards_shr.xlsx</t>
  </si>
  <si>
    <t>in  zeta_targetnu_sh_reb  TABLE</t>
  </si>
  <si>
    <t xml:space="preserve"> enter good</t>
  </si>
  <si>
    <t xml:space="preserve"> rebound</t>
  </si>
  <si>
    <t xml:space="preserve"> here</t>
  </si>
  <si>
    <t>this is the r-zeta curve numbers</t>
  </si>
  <si>
    <t xml:space="preserve">that get entered </t>
  </si>
  <si>
    <t>should</t>
  </si>
  <si>
    <t xml:space="preserve"> be 1.00</t>
  </si>
  <si>
    <t>final 4.55</t>
  </si>
  <si>
    <t xml:space="preserve"> 2ips range</t>
  </si>
  <si>
    <t xml:space="preserve"> 55-65</t>
  </si>
  <si>
    <t>.69-.70</t>
  </si>
  <si>
    <t xml:space="preserve">  .67-.69</t>
  </si>
  <si>
    <t>.66-.67</t>
  </si>
  <si>
    <t xml:space="preserve"> .64-.65</t>
  </si>
  <si>
    <t xml:space="preserve"> .63-.64</t>
  </si>
  <si>
    <t xml:space="preserve"> .61-.62</t>
  </si>
  <si>
    <t xml:space="preserve"> .59-.60</t>
  </si>
  <si>
    <t xml:space="preserve"> .58-.59</t>
  </si>
  <si>
    <t xml:space="preserve"> .56-.57</t>
  </si>
  <si>
    <t xml:space="preserve"> .55-.56</t>
  </si>
  <si>
    <t xml:space="preserve"> .53-.54</t>
  </si>
  <si>
    <t xml:space="preserve"> 94_74_68</t>
  </si>
  <si>
    <t xml:space="preserve"> 92_70_61</t>
  </si>
  <si>
    <t xml:space="preserve"> 89_68_58</t>
  </si>
  <si>
    <t xml:space="preserve"> 87_66_55</t>
  </si>
  <si>
    <t xml:space="preserve"> 84_65_52</t>
  </si>
  <si>
    <t xml:space="preserve"> r_damp</t>
  </si>
  <si>
    <t>bkwd</t>
  </si>
  <si>
    <t xml:space="preserve"> 6-15-22   </t>
  </si>
  <si>
    <t xml:space="preserve">  We used restackor to smooth out zetaC and get rid of dip at 3" stroke.</t>
  </si>
  <si>
    <t xml:space="preserve">  See restackor    01_sh_3783s_bert.xls   </t>
  </si>
  <si>
    <t xml:space="preserve">  Then added these new r-zeta curves to VDB    zeta_targetnu_sh_reb    TABLE.</t>
  </si>
  <si>
    <t xml:space="preserve"> restackor rzeta at .5" stroke =</t>
  </si>
  <si>
    <t xml:space="preserve"> 97_74_68</t>
  </si>
  <si>
    <t xml:space="preserve"> 8-4-22</t>
  </si>
  <si>
    <t xml:space="preserve"> It looks like these have to much emphasis on keeping 2ips above 55 lbs, we might want 50?</t>
  </si>
  <si>
    <t>ips</t>
  </si>
  <si>
    <t>linear</t>
  </si>
  <si>
    <t xml:space="preserve"> x 1.06</t>
  </si>
  <si>
    <t xml:space="preserve"> baseline</t>
  </si>
  <si>
    <t xml:space="preserve"> / 1.06</t>
  </si>
  <si>
    <t>This is the same at 2ips as baseline, but stiffer at 50ips</t>
  </si>
  <si>
    <t>This is the same at 2ips as baseline, but softer at 50ips</t>
  </si>
  <si>
    <t>We created these numbers and plugged them right into restackor    01_sh_WP_s50oval_3783s_bert.xlsm</t>
  </si>
  <si>
    <t xml:space="preserve"> 8-4-22 See NEW_zeta_restackor02 tab for newest</t>
  </si>
  <si>
    <t xml:space="preserve"> WP Link Shock</t>
  </si>
  <si>
    <t xml:space="preserve"> 4.55 kg</t>
  </si>
  <si>
    <r>
      <t xml:space="preserve">  Reb range from   </t>
    </r>
    <r>
      <rPr>
        <i/>
        <sz val="11"/>
        <color theme="1"/>
        <rFont val="Calibri"/>
        <family val="2"/>
        <scheme val="minor"/>
      </rPr>
      <t>openDynoSh_press_a_target.php</t>
    </r>
    <r>
      <rPr>
        <sz val="10"/>
        <color theme="1"/>
        <rFont val="Arial"/>
        <family val="2"/>
      </rPr>
      <t xml:space="preserve">  &gt;  </t>
    </r>
    <r>
      <rPr>
        <i/>
        <sz val="11"/>
        <color theme="1"/>
        <rFont val="Calibri"/>
        <family val="2"/>
        <scheme val="minor"/>
      </rPr>
      <t>quickLookSh_dynoshock_reb_wsort.php</t>
    </r>
  </si>
  <si>
    <t>This is reb range for 4.55 kg spr</t>
  </si>
  <si>
    <t>We just eyeballed the high and low  for each velocity, and thru out those with extreme/unreasonable r-zeta.</t>
  </si>
  <si>
    <t xml:space="preserve"> adj percent</t>
  </si>
  <si>
    <t xml:space="preserve">       - - - range - - - - </t>
  </si>
  <si>
    <t>final</t>
  </si>
  <si>
    <t>low</t>
  </si>
  <si>
    <t>high</t>
  </si>
  <si>
    <t>aver</t>
  </si>
  <si>
    <t>low zeta</t>
  </si>
  <si>
    <t>high zeta</t>
  </si>
  <si>
    <t>low aver</t>
  </si>
  <si>
    <t>high aver</t>
  </si>
  <si>
    <t>Also see  NEW_zeta_restackor02a tab for reb range at 2 - 5 - 40ips</t>
  </si>
  <si>
    <t xml:space="preserve"> 8-6-24</t>
  </si>
  <si>
    <t xml:space="preserve"> Compare reb force curve</t>
  </si>
  <si>
    <t>This page</t>
  </si>
  <si>
    <t xml:space="preserve"> 74_64_59</t>
  </si>
  <si>
    <t xml:space="preserve"> 74_67_62</t>
  </si>
  <si>
    <t xml:space="preserve"> 74_69_66</t>
  </si>
  <si>
    <t xml:space="preserve"> 83_74_70</t>
  </si>
  <si>
    <t xml:space="preserve"> 78_73_74</t>
  </si>
  <si>
    <t xml:space="preserve"> 74_71_70</t>
  </si>
  <si>
    <t xml:space="preserve"> rzeta_bkwd_less_compdrag</t>
  </si>
  <si>
    <t xml:space="preserve"> 8-9-22</t>
  </si>
  <si>
    <t>We noticed  73_64_59  had higher r-zeta at 1ips than 73_69_66, where, if anything, it should be lower</t>
  </si>
  <si>
    <t>call it .73</t>
  </si>
  <si>
    <t>We changed target designation to 2-5-40ips</t>
  </si>
  <si>
    <r>
      <t xml:space="preserve">To keep it simple, we will just </t>
    </r>
    <r>
      <rPr>
        <b/>
        <sz val="10"/>
        <color rgb="FFC00000"/>
        <rFont val="Arial"/>
        <family val="2"/>
      </rPr>
      <t>change  ztnshr_rzeta_1 to .813</t>
    </r>
    <r>
      <rPr>
        <sz val="10"/>
        <color theme="1"/>
        <rFont val="Arial"/>
        <family val="2"/>
      </rPr>
      <t>, same as 73_69_66  [zeta_targetnu_sh_reb TABLE]</t>
    </r>
  </si>
  <si>
    <t>As per zeta_backwards_shr.xlsx</t>
  </si>
  <si>
    <t>WP Link Shock</t>
  </si>
  <si>
    <t xml:space="preserve"> 4.55 kg spr</t>
  </si>
  <si>
    <t>reb range</t>
  </si>
  <si>
    <t xml:space="preserve"> 115 - 129 - 144</t>
  </si>
  <si>
    <t xml:space="preserve"> 50 - 56 - 63</t>
  </si>
  <si>
    <t xml:space="preserve"> 839 - 940 - 1053</t>
  </si>
  <si>
    <t>r-zeta range</t>
  </si>
  <si>
    <t xml:space="preserve"> .66 - .74 - .84</t>
  </si>
  <si>
    <t xml:space="preserve"> .61 - .68 - .76</t>
  </si>
  <si>
    <t xml:space="preserve"> .56 - .625 - .70</t>
  </si>
  <si>
    <t xml:space="preserve"> 8-11-22</t>
  </si>
  <si>
    <t xml:space="preserve"> We are going to redo  r-zeta target  93_63_70  that dips at 5-10ips from small dia and/or two small dia sep shims.</t>
  </si>
  <si>
    <t xml:space="preserve"> 93_63_70 was pretty sloppy.  We'll engineer a nice new one.</t>
  </si>
  <si>
    <t>coeff</t>
  </si>
  <si>
    <t xml:space="preserve"> 10-50ips</t>
  </si>
  <si>
    <t xml:space="preserve"> 1-10ips</t>
  </si>
  <si>
    <t>THIS CREATED RZETA WITH DIP AT 5IPS BASED ON ABOVE</t>
  </si>
  <si>
    <t>copied as numbers</t>
  </si>
  <si>
    <t>diff from curve</t>
  </si>
  <si>
    <t>copy before playing</t>
  </si>
  <si>
    <t>poly 2</t>
  </si>
  <si>
    <t>poly 3</t>
  </si>
  <si>
    <t>diff from</t>
  </si>
  <si>
    <t>to recreate the curve,</t>
  </si>
  <si>
    <t>subtract poly curve from</t>
  </si>
  <si>
    <t>recreated</t>
  </si>
  <si>
    <t>use zeta to</t>
  </si>
  <si>
    <t xml:space="preserve">create </t>
  </si>
  <si>
    <t>reb coeff</t>
  </si>
  <si>
    <t>get reb force</t>
  </si>
  <si>
    <t>now multiply to</t>
  </si>
  <si>
    <t>copy over rzeta from column AL</t>
  </si>
  <si>
    <t>these zeta numbers</t>
  </si>
  <si>
    <t xml:space="preserve">would go in </t>
  </si>
  <si>
    <t>SQLyog</t>
  </si>
  <si>
    <t>BUT NOW WE WANT TO REDESING THE TARGET</t>
  </si>
  <si>
    <t>HOW???</t>
  </si>
  <si>
    <t>ro wogas</t>
  </si>
  <si>
    <t xml:space="preserve">  e.g.  Similar to 93_63_70</t>
  </si>
  <si>
    <t>reb force</t>
  </si>
  <si>
    <t xml:space="preserve"> With 1 - 51ips, 26ips is the middle. </t>
  </si>
  <si>
    <t>(linear - poly)</t>
  </si>
  <si>
    <t xml:space="preserve"> middle reb number</t>
  </si>
  <si>
    <t xml:space="preserve"> dip / curve</t>
  </si>
  <si>
    <t>dished reb curve</t>
  </si>
  <si>
    <t>difference shows curve</t>
  </si>
  <si>
    <t>SPARE</t>
  </si>
  <si>
    <t xml:space="preserve">Create a reb force curve with r-zet that dips at 5ips.  </t>
  </si>
  <si>
    <t>reverse</t>
  </si>
  <si>
    <t xml:space="preserve">engineer </t>
  </si>
  <si>
    <t>as well</t>
  </si>
  <si>
    <t>might</t>
  </si>
  <si>
    <t>WE WILL CREATE NEW TAB FOR EACH TARGET</t>
  </si>
  <si>
    <t xml:space="preserve">Not sure if we will use this tab, but we are calculation new r-zeta on     nonlinear_zeta_66_58_62   </t>
  </si>
  <si>
    <t xml:space="preserve">    66_58_62</t>
  </si>
  <si>
    <t xml:space="preserve"> Not sure we will use it because reb is 61 lbs at 2ips.</t>
  </si>
  <si>
    <t xml:space="preserve">    We're thinking  52 - 55 - 58 lbf reb at 2ips, but undecided.</t>
  </si>
  <si>
    <t xml:space="preserve">  This is the first attempt at      nonlinear reb target with reduced reb at 5-10ips</t>
  </si>
  <si>
    <t xml:space="preserve">  We created it using poly 3 curve to create dip.</t>
  </si>
  <si>
    <t xml:space="preserve">     Create linear curve with desired reb force for 1 and 50ips.</t>
  </si>
  <si>
    <t xml:space="preserve">     The linear trendline will fill in the middle.</t>
  </si>
  <si>
    <t xml:space="preserve">         Then reduce the 26ips number the desired amount and run poly 3 trendline. </t>
  </si>
  <si>
    <t xml:space="preserve">         The poly 3 trendline creates a nice gradual curve/slope.</t>
  </si>
  <si>
    <t xml:space="preserve">    METHOD:</t>
  </si>
  <si>
    <t xml:space="preserve">             Finally, subtract the poly reb nubers from the linear curve.  This gives a different perspective on the nonlinear curve.</t>
  </si>
  <si>
    <t xml:space="preserve"> We may want to run this nonlinear target at a full range of reb increments, as per our 'current thinking'</t>
  </si>
  <si>
    <t xml:space="preserve"> min and max reb force range.</t>
  </si>
  <si>
    <t xml:space="preserve">        55 / 1.07 = 51.4</t>
  </si>
  <si>
    <t xml:space="preserve">        55 x 1.07 = 59</t>
  </si>
  <si>
    <t xml:space="preserve">    2ips range = 55 +/- 7%     [55 lbs is  made up / averaged / best guess baseline]</t>
  </si>
  <si>
    <t>Current incremental range for 2ips:</t>
  </si>
  <si>
    <t xml:space="preserve"> 8-12-22</t>
  </si>
  <si>
    <t xml:space="preserve"> On the first attempt designing r-zeta curve for nonlinear reb with reduced reb at 5-10ips, we ended up with -50 reb force at 2ips.  </t>
  </si>
  <si>
    <t xml:space="preserve"> For now keep it in the 'theoretical range' of 51 - 55 - 59 lbf at 2ips.</t>
  </si>
  <si>
    <t xml:space="preserve"> 1st </t>
  </si>
  <si>
    <t xml:space="preserve"> Our r-zeta relationship between 1 and 2 is not linear</t>
  </si>
  <si>
    <t xml:space="preserve"> To get this page to match 96_63_70 we need to tweak 1ips</t>
  </si>
  <si>
    <t>We took our original 96_63_70 and recreated with the algorithm from this page.</t>
  </si>
  <si>
    <t>If we tweak 35 at 1ips to 40 it turns out pretty close.</t>
  </si>
  <si>
    <r>
      <t xml:space="preserve">THEREFORE it think we can use this method to develop the new  </t>
    </r>
    <r>
      <rPr>
        <i/>
        <sz val="10"/>
        <color rgb="FFC00000"/>
        <rFont val="Arial"/>
        <family val="2"/>
      </rPr>
      <t>nonlinear reb target with reduced reb at 5-10ips</t>
    </r>
  </si>
  <si>
    <t>ADDITIONAL COMMENTS</t>
  </si>
  <si>
    <t>GUIDELINES</t>
  </si>
  <si>
    <t xml:space="preserve">   40ips reb range   887 - 940 - 997 - 1054</t>
  </si>
  <si>
    <t xml:space="preserve">     2ips reb range            51 - 55 - 59</t>
  </si>
  <si>
    <t xml:space="preserve">  First create the linear curve.</t>
  </si>
  <si>
    <t xml:space="preserve">    Tweak 51 to get target reb at 40ips [U42]</t>
  </si>
  <si>
    <t xml:space="preserve">    Tweak 1 to get target reb at 2ips [U35]</t>
  </si>
  <si>
    <t>&lt;- match using C26</t>
  </si>
  <si>
    <t>&lt;- match using C27</t>
  </si>
  <si>
    <t>SEE OLDER AT  zeta_backwards_shr_BU_8-13-22.xlsx</t>
  </si>
  <si>
    <t>COREY</t>
  </si>
  <si>
    <t xml:space="preserve"> 4096s</t>
  </si>
  <si>
    <t xml:space="preserve"> 8-13-22</t>
  </si>
  <si>
    <t xml:space="preserve"> 51-887</t>
  </si>
  <si>
    <t xml:space="preserve"> match 2 &amp; 40ips</t>
  </si>
  <si>
    <t xml:space="preserve"> using C26 &amp; C27</t>
  </si>
  <si>
    <t xml:space="preserve"> 51-940</t>
  </si>
  <si>
    <t xml:space="preserve"> 51-997</t>
  </si>
  <si>
    <t xml:space="preserve"> 51-1054</t>
  </si>
  <si>
    <t xml:space="preserve"> 55-887</t>
  </si>
  <si>
    <t xml:space="preserve"> 55-940</t>
  </si>
  <si>
    <t xml:space="preserve"> 55-997</t>
  </si>
  <si>
    <t xml:space="preserve"> 55-1054</t>
  </si>
  <si>
    <t xml:space="preserve"> 59-887</t>
  </si>
  <si>
    <t xml:space="preserve"> 59-940</t>
  </si>
  <si>
    <t xml:space="preserve"> 59-997</t>
  </si>
  <si>
    <t xml:space="preserve"> 59-1054</t>
  </si>
  <si>
    <t>Recreate all linear r-zeta targets using linear on this page.</t>
  </si>
  <si>
    <t>887 - 940 - 997 - 1054</t>
  </si>
  <si>
    <r>
      <t xml:space="preserve">47-  </t>
    </r>
    <r>
      <rPr>
        <sz val="10"/>
        <color rgb="FFC00000"/>
        <rFont val="Arial"/>
        <family val="2"/>
      </rPr>
      <t>51 - 55 - 59</t>
    </r>
    <r>
      <rPr>
        <sz val="10"/>
        <color theme="1"/>
        <rFont val="Arial"/>
        <family val="2"/>
      </rPr>
      <t xml:space="preserve"> - 63</t>
    </r>
  </si>
  <si>
    <t xml:space="preserve"> 40ips reb range</t>
  </si>
  <si>
    <t>27 - 29 - 31 - 33 - 35</t>
  </si>
  <si>
    <t xml:space="preserve">   2ips reb range </t>
  </si>
  <si>
    <t xml:space="preserve">   1ips fixed (2ips x .57)</t>
  </si>
  <si>
    <r>
      <t xml:space="preserve">1 </t>
    </r>
    <r>
      <rPr>
        <sz val="9"/>
        <color theme="1"/>
        <rFont val="Arial"/>
        <family val="2"/>
      </rPr>
      <t>fixed</t>
    </r>
  </si>
  <si>
    <t>1fx</t>
  </si>
  <si>
    <r>
      <t>1</t>
    </r>
    <r>
      <rPr>
        <sz val="9"/>
        <color theme="1"/>
        <rFont val="Arial"/>
        <family val="2"/>
      </rPr>
      <t>fx</t>
    </r>
  </si>
  <si>
    <t>The linear regression starts from 1ips, but we align at 2ips.</t>
  </si>
  <si>
    <t xml:space="preserve">    This results in funky 1ips numbers that calculate high on 887 and low on 1054.</t>
  </si>
  <si>
    <t>Fixed 1ips number</t>
  </si>
  <si>
    <t xml:space="preserve">    In real life they are also out of sync due to reb needle bleed area and clicker position.</t>
  </si>
  <si>
    <t xml:space="preserve">    So we are setting a FIXED 1ips number based on comparing several actual tests.   --------&gt;</t>
  </si>
  <si>
    <r>
      <t xml:space="preserve">1 </t>
    </r>
    <r>
      <rPr>
        <u/>
        <sz val="9"/>
        <color theme="1"/>
        <rFont val="Arial"/>
        <family val="2"/>
      </rPr>
      <t>fixed</t>
    </r>
  </si>
  <si>
    <t>2ips</t>
  </si>
  <si>
    <r>
      <t xml:space="preserve">We are creating NEW   </t>
    </r>
    <r>
      <rPr>
        <i/>
        <sz val="10"/>
        <color theme="1"/>
        <rFont val="Arial"/>
        <family val="2"/>
      </rPr>
      <t>nonlinear reb targ with reduced reb at 5-10ips</t>
    </r>
  </si>
  <si>
    <t>As per linear, the nonlinear regression starts from 1ips, but we align at 2ips.</t>
  </si>
  <si>
    <t>Second set dip to create nonlinear curve</t>
  </si>
  <si>
    <t xml:space="preserve"> 63_55_64 x 1.0</t>
  </si>
  <si>
    <t>Stock Dyno</t>
  </si>
  <si>
    <t xml:space="preserve"> 3771s</t>
  </si>
  <si>
    <t xml:space="preserve"> 21te300</t>
  </si>
  <si>
    <t>actual</t>
  </si>
  <si>
    <t>align ---&gt;</t>
  </si>
  <si>
    <t>USE THIS TO PLAY WITH STOCK DYNO AND OTHERS</t>
  </si>
  <si>
    <t xml:space="preserve"> 70-978</t>
  </si>
  <si>
    <t>Corey</t>
  </si>
  <si>
    <t xml:space="preserve"> 53 -1055</t>
  </si>
  <si>
    <t xml:space="preserve">  2 &amp; 50ips align</t>
  </si>
  <si>
    <t xml:space="preserve">  The middle velocities do not.</t>
  </si>
  <si>
    <t xml:space="preserve"> Corey</t>
  </si>
  <si>
    <t xml:space="preserve"> 18xc300</t>
  </si>
  <si>
    <t xml:space="preserve"> mid 2-40</t>
  </si>
  <si>
    <t>mid 1-51</t>
  </si>
  <si>
    <t xml:space="preserve"> We created this to see if we can add linear to  quickLookSh_dynoshock_reb_wsort</t>
  </si>
  <si>
    <t xml:space="preserve"> Notice 2-40ips range</t>
  </si>
  <si>
    <t>copy from</t>
  </si>
  <si>
    <t>vdb</t>
  </si>
  <si>
    <t>lb diff</t>
  </si>
  <si>
    <t xml:space="preserve"> 2-1</t>
  </si>
  <si>
    <t>We looked at several rebounds and found  Stock Dyno</t>
  </si>
  <si>
    <t>for KTM's to have 40, 57 and 60 lb diff.  We will try 60.</t>
  </si>
  <si>
    <t xml:space="preserve"> L 51-887 / 68_62_59</t>
  </si>
  <si>
    <t xml:space="preserve"> L 51-940 / 68_64_62</t>
  </si>
  <si>
    <t xml:space="preserve"> L 51-997 / 68_67_66</t>
  </si>
  <si>
    <t xml:space="preserve"> L 51-1054 / 68_69_70</t>
  </si>
  <si>
    <t xml:space="preserve"> L 55-887 / 73_64_59</t>
  </si>
  <si>
    <t xml:space="preserve"> L 55-940 / 73_66_62</t>
  </si>
  <si>
    <t xml:space="preserve"> L 55-997 / 73_69_66</t>
  </si>
  <si>
    <t xml:space="preserve"> L 55-1054 / 73_71_70</t>
  </si>
  <si>
    <t xml:space="preserve"> L 59-887 / 78_66_59</t>
  </si>
  <si>
    <t xml:space="preserve"> L 59-940 / 78_68_62</t>
  </si>
  <si>
    <t xml:space="preserve"> L 59-997 / 78_71_66</t>
  </si>
  <si>
    <t xml:space="preserve"> L 59-1054 / 78_73_70</t>
  </si>
  <si>
    <t xml:space="preserve"> 2-40ips</t>
  </si>
  <si>
    <t xml:space="preserve"> diff 1-2</t>
  </si>
  <si>
    <t xml:space="preserve"> %diff</t>
  </si>
  <si>
    <t xml:space="preserve"> lb diff 1-2</t>
  </si>
  <si>
    <t xml:space="preserve"> D29  51-940 / 68_60_62</t>
  </si>
  <si>
    <t xml:space="preserve"> D29  51-997 / 68_62_66</t>
  </si>
  <si>
    <t xml:space="preserve"> D29  51-1054 / 68_65_70</t>
  </si>
  <si>
    <t xml:space="preserve"> D29  51-887 / 68_58_59</t>
  </si>
  <si>
    <t xml:space="preserve"> D29  55-887 / 73_60_59</t>
  </si>
  <si>
    <t xml:space="preserve"> D29  55-940 / 73_62_62</t>
  </si>
  <si>
    <t xml:space="preserve"> D29  55-997 / 73_64_66</t>
  </si>
  <si>
    <t xml:space="preserve"> D29  55-1054 / 73_67_70</t>
  </si>
  <si>
    <t xml:space="preserve"> D29  59-940 / 78_64_62</t>
  </si>
  <si>
    <t xml:space="preserve"> D29  59-997 / 78_66_66</t>
  </si>
  <si>
    <t xml:space="preserve"> D29  59-1054 / 78_69_70</t>
  </si>
  <si>
    <t>D46</t>
  </si>
  <si>
    <t>D29</t>
  </si>
  <si>
    <t xml:space="preserve"> D46 51-887 / 68_55_59</t>
  </si>
  <si>
    <t xml:space="preserve"> D46  51-940 / 68_57_62</t>
  </si>
  <si>
    <t xml:space="preserve"> D46  51-997 / 68_60_66</t>
  </si>
  <si>
    <t xml:space="preserve"> D46  51-1054 / 68_62_70</t>
  </si>
  <si>
    <t xml:space="preserve"> D46  55-887 / 73_57_59</t>
  </si>
  <si>
    <t xml:space="preserve"> D46  55-940 / 73_59_62</t>
  </si>
  <si>
    <t xml:space="preserve"> D46  55-997 / 73_62_66</t>
  </si>
  <si>
    <t xml:space="preserve"> D46  55-1054 / 73_64_70</t>
  </si>
  <si>
    <t xml:space="preserve"> D46  59-887 / 78_59_59</t>
  </si>
  <si>
    <t xml:space="preserve"> D29  59-887 / 78_62_59</t>
  </si>
  <si>
    <t xml:space="preserve"> D46  59-940 / 78_61_62</t>
  </si>
  <si>
    <t xml:space="preserve"> D46  59-997 / 78_64_66</t>
  </si>
  <si>
    <t xml:space="preserve"> D46  59-1054 / 78_66_70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</si>
</sst>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0"/>
    <numFmt numFmtId="168" formatCode="0.0%"/>
    <numFmt numFmtId="169" formatCode="0.00000"/>
  </numFmts>
  <fonts count="6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u/>
      <sz val="10"/>
      <color theme="1"/>
      <name val="Arial"/>
      <family val="2"/>
    </font>
    <font>
      <u/>
      <sz val="10"/>
      <color rgb="FF008000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Trebuchet MS"/>
      <family val="2"/>
    </font>
    <font>
      <sz val="10"/>
      <color theme="9" tint="-0.24997711111789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9" tint="-0.249977111117893"/>
      <name val="Trebuchet MS"/>
      <family val="2"/>
    </font>
    <font>
      <u/>
      <sz val="10"/>
      <color theme="9" tint="-0.249977111117893"/>
      <name val="Arial"/>
      <family val="2"/>
    </font>
    <font>
      <sz val="10"/>
      <color theme="5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1"/>
      <color theme="1" tint="0.249977111117893"/>
      <name val="Calibri"/>
      <family val="2"/>
      <scheme val="minor"/>
    </font>
    <font>
      <u/>
      <sz val="10"/>
      <color theme="1" tint="0.249977111117893"/>
      <name val="Arial"/>
      <family val="2"/>
    </font>
    <font>
      <sz val="10"/>
      <color theme="1" tint="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C00000"/>
      <name val="Calibri"/>
      <family val="2"/>
    </font>
    <font>
      <sz val="10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8"/>
      <color indexed="17"/>
      <name val="Arial"/>
      <family val="2"/>
    </font>
    <font>
      <i/>
      <sz val="9"/>
      <color theme="1"/>
      <name val="Arial"/>
      <family val="2"/>
    </font>
    <font>
      <sz val="9"/>
      <color theme="5"/>
      <name val="Arial"/>
      <family val="2"/>
    </font>
    <font>
      <sz val="10"/>
      <color rgb="FFC35D09"/>
      <name val="Arial"/>
      <family val="2"/>
    </font>
    <font>
      <b/>
      <sz val="10"/>
      <color rgb="FFC35D09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8" tint="-0.249977111117893"/>
      <name val="Arial"/>
      <family val="2"/>
    </font>
    <font>
      <sz val="9"/>
      <color theme="5" tint="0.39997558519241921"/>
      <name val="Arial"/>
      <family val="2"/>
    </font>
    <font>
      <b/>
      <sz val="10"/>
      <color rgb="FFC00000"/>
      <name val="Arial"/>
      <family val="2"/>
    </font>
    <font>
      <strike/>
      <sz val="10"/>
      <color theme="1"/>
      <name val="Arial"/>
      <family val="2"/>
    </font>
    <font>
      <sz val="9"/>
      <color rgb="FF000000"/>
      <name val="Trebuchet MS"/>
      <family val="2"/>
    </font>
    <font>
      <sz val="11"/>
      <color rgb="FF008000"/>
      <name val="Calibri"/>
      <family val="2"/>
      <scheme val="minor"/>
    </font>
    <font>
      <sz val="9"/>
      <color indexed="17"/>
      <name val="Arial"/>
      <family val="2"/>
    </font>
    <font>
      <b/>
      <u/>
      <sz val="10"/>
      <color rgb="FF0070C0"/>
      <name val="Arial"/>
      <family val="2"/>
    </font>
    <font>
      <b/>
      <u/>
      <sz val="10"/>
      <color rgb="FFC00000"/>
      <name val="Arial"/>
      <family val="2"/>
    </font>
    <font>
      <sz val="10"/>
      <color indexed="17"/>
      <name val="Arial"/>
      <family val="2"/>
    </font>
    <font>
      <u/>
      <sz val="10"/>
      <color theme="8" tint="0.39997558519241921"/>
      <name val="Arial"/>
      <family val="2"/>
    </font>
    <font>
      <sz val="10"/>
      <color theme="8" tint="0.39997558519241921"/>
      <name val="Arial"/>
      <family val="2"/>
    </font>
    <font>
      <sz val="10"/>
      <color rgb="FF0070C0"/>
      <name val="Trebuchet MS"/>
      <family val="2"/>
    </font>
    <font>
      <sz val="8"/>
      <color rgb="FF000000"/>
      <name val="Trebuchet MS"/>
      <family val="2"/>
    </font>
    <font>
      <sz val="9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sz val="12"/>
      <color rgb="FFC00000"/>
      <name val="Arial"/>
      <family val="2"/>
    </font>
    <font>
      <b/>
      <sz val="14"/>
      <color rgb="FFFF0000"/>
      <name val="Arial"/>
      <family val="2"/>
    </font>
    <font>
      <i/>
      <sz val="10"/>
      <color rgb="FFC00000"/>
      <name val="Arial"/>
      <family val="2"/>
    </font>
    <font>
      <sz val="10"/>
      <color theme="0" tint="-0.499984740745262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0"/>
      <color theme="3" tint="0.39997558519241921"/>
      <name val="Arial"/>
      <family val="2"/>
    </font>
    <font>
      <u/>
      <sz val="9"/>
      <color theme="1"/>
      <name val="Arial"/>
      <family val="2"/>
    </font>
    <font>
      <b/>
      <sz val="12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66B4D9"/>
      </left>
      <right style="thin">
        <color rgb="FF66B4D9"/>
      </right>
      <top style="thin">
        <color rgb="FFE4E4E4"/>
      </top>
      <bottom style="thin">
        <color rgb="FFE4E4E4"/>
      </bottom>
      <diagonal/>
    </border>
    <border>
      <left style="thin">
        <color rgb="FF66B4D9"/>
      </left>
      <right style="thin">
        <color rgb="FF66B4D9"/>
      </right>
      <top style="thin">
        <color rgb="FFE4E4E4"/>
      </top>
      <bottom style="thin">
        <color rgb="FF66B4D9"/>
      </bottom>
      <diagonal/>
    </border>
    <border>
      <left style="thin">
        <color rgb="FF66B4D9"/>
      </left>
      <right style="thin">
        <color rgb="FF66B4D9"/>
      </right>
      <top style="thin">
        <color rgb="FF66B4D9"/>
      </top>
      <bottom style="thin">
        <color rgb="FFE4E4E4"/>
      </bottom>
      <diagonal/>
    </border>
    <border>
      <left/>
      <right/>
      <top style="thin">
        <color rgb="FF66B4D9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0" xfId="0" quotePrefix="1" applyAlignment="1">
      <alignment horizontal="left"/>
    </xf>
    <xf numFmtId="0" fontId="8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8" xfId="0" applyBorder="1"/>
    <xf numFmtId="165" fontId="7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center"/>
    </xf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quotePrefix="1" applyFont="1" applyAlignment="1">
      <alignment horizontal="left"/>
    </xf>
    <xf numFmtId="0" fontId="12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12" fillId="0" borderId="0" xfId="0" quotePrefix="1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9" xfId="0" applyBorder="1"/>
    <xf numFmtId="0" fontId="10" fillId="0" borderId="11" xfId="0" applyFont="1" applyBorder="1" applyAlignment="1">
      <alignment horizontal="center"/>
    </xf>
    <xf numFmtId="0" fontId="0" fillId="0" borderId="10" xfId="0" applyBorder="1"/>
    <xf numFmtId="0" fontId="13" fillId="0" borderId="0" xfId="0" applyFont="1"/>
    <xf numFmtId="2" fontId="10" fillId="0" borderId="0" xfId="0" applyNumberFormat="1" applyFont="1" applyBorder="1" applyAlignment="1">
      <alignment horizontal="center"/>
    </xf>
    <xf numFmtId="2" fontId="10" fillId="2" borderId="0" xfId="0" applyNumberFormat="1" applyFont="1" applyFill="1" applyBorder="1" applyAlignment="1">
      <alignment horizontal="center"/>
    </xf>
    <xf numFmtId="166" fontId="11" fillId="0" borderId="0" xfId="0" applyNumberFormat="1" applyFont="1" applyBorder="1" applyAlignment="1">
      <alignment horizontal="center" vertical="center" wrapText="1"/>
    </xf>
    <xf numFmtId="166" fontId="11" fillId="2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Border="1" applyAlignment="1">
      <alignment horizontal="center" vertical="center" wrapText="1"/>
    </xf>
    <xf numFmtId="166" fontId="15" fillId="2" borderId="0" xfId="0" applyNumberFormat="1" applyFont="1" applyFill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left"/>
    </xf>
    <xf numFmtId="0" fontId="19" fillId="0" borderId="0" xfId="0" applyFont="1"/>
    <xf numFmtId="0" fontId="19" fillId="0" borderId="0" xfId="0" quotePrefix="1" applyFont="1" applyAlignment="1">
      <alignment horizontal="left"/>
    </xf>
    <xf numFmtId="0" fontId="20" fillId="0" borderId="0" xfId="0" quotePrefix="1" applyFont="1" applyAlignment="1">
      <alignment horizontal="left"/>
    </xf>
    <xf numFmtId="0" fontId="21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0" fontId="23" fillId="0" borderId="0" xfId="0" quotePrefix="1" applyFont="1" applyBorder="1" applyAlignment="1">
      <alignment horizontal="left"/>
    </xf>
    <xf numFmtId="0" fontId="23" fillId="0" borderId="0" xfId="0" applyFont="1" applyFill="1" applyBorder="1"/>
    <xf numFmtId="2" fontId="19" fillId="4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23" fillId="3" borderId="0" xfId="0" applyFont="1" applyFill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3" borderId="0" xfId="0" quotePrefix="1" applyFont="1" applyFill="1" applyAlignment="1">
      <alignment horizontal="center"/>
    </xf>
    <xf numFmtId="166" fontId="21" fillId="4" borderId="0" xfId="0" applyNumberFormat="1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24" fillId="3" borderId="0" xfId="0" quotePrefix="1" applyFont="1" applyFill="1" applyAlignment="1">
      <alignment horizontal="center"/>
    </xf>
    <xf numFmtId="166" fontId="20" fillId="2" borderId="0" xfId="0" applyNumberFormat="1" applyFont="1" applyFill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4" fillId="3" borderId="0" xfId="0" quotePrefix="1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25" fillId="0" borderId="0" xfId="0" applyFont="1"/>
    <xf numFmtId="0" fontId="21" fillId="0" borderId="0" xfId="0" applyFont="1"/>
    <xf numFmtId="165" fontId="21" fillId="0" borderId="0" xfId="0" applyNumberFormat="1" applyFont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0" fontId="27" fillId="0" borderId="0" xfId="0" applyFont="1"/>
    <xf numFmtId="164" fontId="19" fillId="4" borderId="0" xfId="0" applyNumberFormat="1" applyFont="1" applyFill="1" applyBorder="1" applyAlignment="1">
      <alignment horizontal="center"/>
    </xf>
    <xf numFmtId="164" fontId="19" fillId="2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64" fontId="19" fillId="0" borderId="12" xfId="0" applyNumberFormat="1" applyFont="1" applyFill="1" applyBorder="1" applyAlignment="1">
      <alignment horizontal="center"/>
    </xf>
    <xf numFmtId="164" fontId="19" fillId="2" borderId="13" xfId="0" applyNumberFormat="1" applyFont="1" applyFill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29" fillId="0" borderId="0" xfId="0" applyFont="1"/>
    <xf numFmtId="0" fontId="5" fillId="0" borderId="0" xfId="0" applyFont="1" applyAlignment="1">
      <alignment horizontal="right"/>
    </xf>
    <xf numFmtId="0" fontId="30" fillId="0" borderId="0" xfId="0" quotePrefix="1" applyFont="1" applyBorder="1" applyAlignment="1">
      <alignment horizontal="left"/>
    </xf>
    <xf numFmtId="0" fontId="23" fillId="0" borderId="0" xfId="0" quotePrefix="1" applyFont="1" applyAlignment="1">
      <alignment horizontal="left"/>
    </xf>
    <xf numFmtId="0" fontId="17" fillId="0" borderId="0" xfId="0" applyFont="1" applyBorder="1"/>
    <xf numFmtId="0" fontId="17" fillId="0" borderId="0" xfId="0" quotePrefix="1" applyFont="1" applyBorder="1" applyAlignment="1">
      <alignment horizontal="left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2" fontId="13" fillId="0" borderId="0" xfId="0" applyNumberFormat="1" applyFont="1"/>
    <xf numFmtId="0" fontId="23" fillId="3" borderId="0" xfId="0" applyFont="1" applyFill="1" applyAlignment="1">
      <alignment horizontal="right"/>
    </xf>
    <xf numFmtId="0" fontId="23" fillId="3" borderId="0" xfId="0" quotePrefix="1" applyFont="1" applyFill="1" applyAlignment="1">
      <alignment horizontal="right"/>
    </xf>
    <xf numFmtId="164" fontId="0" fillId="0" borderId="15" xfId="0" applyNumberFormat="1" applyBorder="1" applyAlignment="1">
      <alignment horizontal="center" vertical="center" wrapText="1"/>
    </xf>
    <xf numFmtId="164" fontId="0" fillId="5" borderId="15" xfId="0" applyNumberForma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17" xfId="0" applyNumberForma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0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32" fillId="0" borderId="0" xfId="0" quotePrefix="1" applyFont="1" applyAlignment="1">
      <alignment horizontal="left"/>
    </xf>
    <xf numFmtId="2" fontId="1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30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164" fontId="30" fillId="0" borderId="0" xfId="0" applyNumberFormat="1" applyFont="1"/>
    <xf numFmtId="164" fontId="33" fillId="0" borderId="0" xfId="0" applyNumberFormat="1" applyFont="1"/>
    <xf numFmtId="0" fontId="33" fillId="0" borderId="0" xfId="0" applyFont="1"/>
    <xf numFmtId="166" fontId="2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0" fillId="0" borderId="0" xfId="0" applyAlignment="1">
      <alignment horizontal="left" indent="1"/>
    </xf>
    <xf numFmtId="166" fontId="34" fillId="0" borderId="0" xfId="0" applyNumberFormat="1" applyFont="1" applyBorder="1" applyAlignment="1">
      <alignment horizontal="center" vertical="center" wrapText="1"/>
    </xf>
    <xf numFmtId="166" fontId="34" fillId="2" borderId="0" xfId="0" applyNumberFormat="1" applyFont="1" applyFill="1" applyBorder="1" applyAlignment="1">
      <alignment horizontal="center" vertical="center" wrapText="1"/>
    </xf>
    <xf numFmtId="164" fontId="36" fillId="0" borderId="17" xfId="0" applyNumberFormat="1" applyFont="1" applyBorder="1" applyAlignment="1">
      <alignment horizontal="center" vertical="center" wrapText="1"/>
    </xf>
    <xf numFmtId="164" fontId="36" fillId="5" borderId="15" xfId="0" applyNumberFormat="1" applyFont="1" applyFill="1" applyBorder="1" applyAlignment="1">
      <alignment horizontal="center" vertical="center" wrapText="1"/>
    </xf>
    <xf numFmtId="164" fontId="36" fillId="0" borderId="15" xfId="0" applyNumberFormat="1" applyFont="1" applyBorder="1" applyAlignment="1">
      <alignment horizontal="center" vertical="center" wrapText="1"/>
    </xf>
    <xf numFmtId="164" fontId="36" fillId="0" borderId="16" xfId="0" applyNumberFormat="1" applyFont="1" applyBorder="1" applyAlignment="1">
      <alignment horizontal="center" vertical="center" wrapText="1"/>
    </xf>
    <xf numFmtId="0" fontId="23" fillId="6" borderId="0" xfId="0" quotePrefix="1" applyFont="1" applyFill="1" applyAlignment="1">
      <alignment horizontal="center"/>
    </xf>
    <xf numFmtId="0" fontId="35" fillId="0" borderId="0" xfId="0" quotePrefix="1" applyFont="1" applyAlignment="1">
      <alignment horizontal="center"/>
    </xf>
    <xf numFmtId="0" fontId="23" fillId="7" borderId="0" xfId="0" quotePrefix="1" applyFont="1" applyFill="1" applyAlignment="1">
      <alignment horizontal="center"/>
    </xf>
    <xf numFmtId="0" fontId="36" fillId="0" borderId="0" xfId="0" applyFont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164" fontId="0" fillId="5" borderId="0" xfId="0" applyNumberFormat="1" applyFill="1" applyBorder="1" applyAlignment="1">
      <alignment horizontal="center" vertical="center" wrapText="1"/>
    </xf>
    <xf numFmtId="2" fontId="28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14" fillId="0" borderId="0" xfId="0" applyFont="1"/>
    <xf numFmtId="0" fontId="2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5" fontId="3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9" fillId="0" borderId="0" xfId="0" applyFont="1" applyBorder="1"/>
    <xf numFmtId="2" fontId="10" fillId="0" borderId="0" xfId="0" applyNumberFormat="1" applyFont="1" applyBorder="1"/>
    <xf numFmtId="2" fontId="0" fillId="0" borderId="0" xfId="0" applyNumberFormat="1" applyBorder="1"/>
    <xf numFmtId="2" fontId="29" fillId="0" borderId="0" xfId="0" applyNumberFormat="1" applyFont="1" applyBorder="1"/>
    <xf numFmtId="2" fontId="20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38" fillId="0" borderId="0" xfId="0" quotePrefix="1" applyFont="1" applyBorder="1" applyAlignment="1">
      <alignment horizontal="left"/>
    </xf>
    <xf numFmtId="0" fontId="38" fillId="0" borderId="0" xfId="0" applyFont="1" applyBorder="1"/>
    <xf numFmtId="0" fontId="0" fillId="6" borderId="0" xfId="0" quotePrefix="1" applyFill="1" applyAlignment="1">
      <alignment horizontal="left"/>
    </xf>
    <xf numFmtId="0" fontId="0" fillId="6" borderId="0" xfId="0" applyFill="1"/>
    <xf numFmtId="9" fontId="39" fillId="0" borderId="0" xfId="0" applyNumberFormat="1" applyFont="1"/>
    <xf numFmtId="0" fontId="41" fillId="0" borderId="0" xfId="0" applyFont="1"/>
    <xf numFmtId="0" fontId="41" fillId="0" borderId="0" xfId="0" quotePrefix="1" applyFont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2" fontId="40" fillId="0" borderId="0" xfId="0" applyNumberFormat="1" applyFont="1" applyAlignment="1">
      <alignment horizontal="center"/>
    </xf>
    <xf numFmtId="0" fontId="26" fillId="0" borderId="0" xfId="0" quotePrefix="1" applyFont="1" applyAlignment="1">
      <alignment horizontal="left"/>
    </xf>
    <xf numFmtId="1" fontId="21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43" fillId="0" borderId="0" xfId="0" applyFont="1"/>
    <xf numFmtId="0" fontId="43" fillId="0" borderId="0" xfId="0" quotePrefix="1" applyFont="1" applyAlignment="1">
      <alignment horizontal="left"/>
    </xf>
    <xf numFmtId="168" fontId="44" fillId="0" borderId="0" xfId="0" applyNumberFormat="1" applyFont="1"/>
    <xf numFmtId="0" fontId="44" fillId="0" borderId="0" xfId="0" applyFont="1"/>
    <xf numFmtId="0" fontId="0" fillId="0" borderId="0" xfId="0" applyNumberFormat="1"/>
    <xf numFmtId="0" fontId="17" fillId="0" borderId="0" xfId="0" applyNumberFormat="1" applyFont="1"/>
    <xf numFmtId="0" fontId="20" fillId="6" borderId="0" xfId="0" applyFont="1" applyFill="1" applyAlignment="1">
      <alignment horizontal="center"/>
    </xf>
    <xf numFmtId="165" fontId="17" fillId="0" borderId="0" xfId="0" applyNumberFormat="1" applyFont="1"/>
    <xf numFmtId="0" fontId="20" fillId="6" borderId="20" xfId="0" applyFont="1" applyFill="1" applyBorder="1" applyAlignment="1">
      <alignment horizontal="center"/>
    </xf>
    <xf numFmtId="2" fontId="40" fillId="0" borderId="21" xfId="0" applyNumberFormat="1" applyFont="1" applyBorder="1" applyAlignment="1">
      <alignment horizontal="center"/>
    </xf>
    <xf numFmtId="0" fontId="40" fillId="0" borderId="19" xfId="0" quotePrefix="1" applyFont="1" applyBorder="1" applyAlignment="1">
      <alignment horizontal="left"/>
    </xf>
    <xf numFmtId="165" fontId="46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47" fillId="0" borderId="23" xfId="0" applyFont="1" applyBorder="1" applyAlignment="1">
      <alignment horizontal="center" vertical="center" wrapText="1"/>
    </xf>
    <xf numFmtId="0" fontId="47" fillId="5" borderId="23" xfId="0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7" fontId="48" fillId="0" borderId="0" xfId="0" applyNumberFormat="1" applyFont="1" applyFill="1" applyBorder="1" applyAlignment="1">
      <alignment horizontal="center"/>
    </xf>
    <xf numFmtId="167" fontId="7" fillId="0" borderId="0" xfId="0" applyNumberFormat="1" applyFont="1"/>
    <xf numFmtId="164" fontId="0" fillId="8" borderId="0" xfId="0" applyNumberFormat="1" applyFill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49" fillId="0" borderId="0" xfId="0" applyNumberFormat="1" applyFont="1" applyAlignment="1">
      <alignment horizontal="center"/>
    </xf>
    <xf numFmtId="0" fontId="0" fillId="8" borderId="0" xfId="0" applyFill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1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9" fontId="0" fillId="0" borderId="0" xfId="0" applyNumberFormat="1"/>
    <xf numFmtId="0" fontId="52" fillId="9" borderId="0" xfId="0" applyFont="1" applyFill="1" applyAlignment="1">
      <alignment horizontal="center"/>
    </xf>
    <xf numFmtId="167" fontId="52" fillId="0" borderId="0" xfId="0" applyNumberFormat="1" applyFont="1" applyAlignment="1">
      <alignment horizontal="center"/>
    </xf>
    <xf numFmtId="164" fontId="52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52" fillId="8" borderId="0" xfId="0" quotePrefix="1" applyNumberFormat="1" applyFont="1" applyFill="1" applyAlignment="1">
      <alignment horizontal="center"/>
    </xf>
    <xf numFmtId="0" fontId="16" fillId="0" borderId="0" xfId="0" applyFont="1" applyAlignment="1">
      <alignment horizontal="left"/>
    </xf>
    <xf numFmtId="0" fontId="8" fillId="0" borderId="0" xfId="0" applyFont="1"/>
    <xf numFmtId="0" fontId="0" fillId="0" borderId="24" xfId="0" applyBorder="1" applyAlignment="1">
      <alignment horizontal="center"/>
    </xf>
    <xf numFmtId="0" fontId="8" fillId="0" borderId="25" xfId="0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53" fillId="0" borderId="0" xfId="0" quotePrefix="1" applyFont="1" applyAlignment="1">
      <alignment horizontal="right"/>
    </xf>
    <xf numFmtId="164" fontId="54" fillId="0" borderId="0" xfId="0" applyNumberFormat="1" applyFont="1" applyAlignment="1">
      <alignment horizontal="center"/>
    </xf>
    <xf numFmtId="164" fontId="54" fillId="8" borderId="0" xfId="0" applyNumberFormat="1" applyFont="1" applyFill="1" applyAlignment="1">
      <alignment horizontal="center"/>
    </xf>
    <xf numFmtId="0" fontId="54" fillId="0" borderId="0" xfId="0" applyFont="1"/>
    <xf numFmtId="0" fontId="8" fillId="0" borderId="0" xfId="0" quotePrefix="1" applyFont="1" applyFill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166" fontId="21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0" fillId="0" borderId="0" xfId="0" applyFill="1"/>
    <xf numFmtId="166" fontId="10" fillId="0" borderId="0" xfId="0" applyNumberFormat="1" applyFont="1" applyFill="1" applyAlignment="1">
      <alignment horizontal="center"/>
    </xf>
    <xf numFmtId="166" fontId="55" fillId="0" borderId="0" xfId="0" applyNumberFormat="1" applyFont="1" applyFill="1" applyBorder="1" applyAlignment="1">
      <alignment horizontal="center" vertical="center" wrapText="1"/>
    </xf>
    <xf numFmtId="0" fontId="47" fillId="10" borderId="22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0" fontId="0" fillId="11" borderId="0" xfId="0" applyFill="1"/>
    <xf numFmtId="0" fontId="0" fillId="0" borderId="0" xfId="0" applyFill="1" applyBorder="1" applyAlignment="1">
      <alignment horizontal="center"/>
    </xf>
    <xf numFmtId="166" fontId="0" fillId="0" borderId="0" xfId="0" applyNumberFormat="1"/>
    <xf numFmtId="0" fontId="0" fillId="0" borderId="27" xfId="0" applyBorder="1"/>
    <xf numFmtId="164" fontId="52" fillId="0" borderId="27" xfId="0" quotePrefix="1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164" fontId="52" fillId="0" borderId="27" xfId="0" quotePrefix="1" applyNumberFormat="1" applyFont="1" applyBorder="1" applyAlignment="1">
      <alignment horizontal="center"/>
    </xf>
    <xf numFmtId="0" fontId="52" fillId="3" borderId="0" xfId="0" quotePrefix="1" applyFont="1" applyFill="1" applyAlignment="1">
      <alignment horizontal="center"/>
    </xf>
    <xf numFmtId="166" fontId="5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57" fillId="0" borderId="0" xfId="0" applyNumberFormat="1" applyFont="1" applyAlignment="1">
      <alignment horizontal="center"/>
    </xf>
    <xf numFmtId="164" fontId="58" fillId="0" borderId="0" xfId="0" applyNumberFormat="1" applyFont="1" applyAlignment="1">
      <alignment horizontal="center"/>
    </xf>
    <xf numFmtId="0" fontId="0" fillId="6" borderId="0" xfId="0" applyFill="1" applyBorder="1" applyAlignment="1">
      <alignment horizontal="center"/>
    </xf>
    <xf numFmtId="164" fontId="58" fillId="6" borderId="0" xfId="0" applyNumberFormat="1" applyFont="1" applyFill="1" applyAlignment="1">
      <alignment horizontal="center"/>
    </xf>
    <xf numFmtId="164" fontId="52" fillId="6" borderId="0" xfId="0" quotePrefix="1" applyNumberFormat="1" applyFont="1" applyFill="1" applyAlignment="1">
      <alignment horizontal="center"/>
    </xf>
    <xf numFmtId="0" fontId="0" fillId="0" borderId="0" xfId="0" applyNumberFormat="1" applyAlignment="1">
      <alignment horizontal="left"/>
    </xf>
    <xf numFmtId="0" fontId="0" fillId="3" borderId="0" xfId="0" applyFill="1"/>
    <xf numFmtId="0" fontId="0" fillId="3" borderId="0" xfId="0" applyFont="1" applyFill="1" applyBorder="1" applyAlignment="1">
      <alignment horizontal="right"/>
    </xf>
    <xf numFmtId="0" fontId="0" fillId="0" borderId="0" xfId="0" quotePrefix="1" applyFill="1" applyAlignment="1">
      <alignment horizontal="right"/>
    </xf>
    <xf numFmtId="164" fontId="0" fillId="6" borderId="0" xfId="0" applyNumberFormat="1" applyFill="1" applyAlignment="1">
      <alignment horizontal="center"/>
    </xf>
    <xf numFmtId="0" fontId="0" fillId="0" borderId="0" xfId="0" applyFont="1"/>
    <xf numFmtId="0" fontId="0" fillId="3" borderId="0" xfId="0" applyFont="1" applyFill="1" applyAlignment="1">
      <alignment horizontal="center"/>
    </xf>
    <xf numFmtId="0" fontId="58" fillId="3" borderId="0" xfId="0" applyFont="1" applyFill="1" applyAlignment="1">
      <alignment horizontal="center"/>
    </xf>
    <xf numFmtId="164" fontId="7" fillId="3" borderId="0" xfId="0" quotePrefix="1" applyNumberFormat="1" applyFont="1" applyFill="1" applyAlignment="1">
      <alignment horizontal="center"/>
    </xf>
    <xf numFmtId="0" fontId="0" fillId="3" borderId="0" xfId="0" quotePrefix="1" applyFont="1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3" borderId="0" xfId="0" quotePrefix="1" applyFill="1" applyAlignment="1">
      <alignment horizontal="left"/>
    </xf>
    <xf numFmtId="0" fontId="14" fillId="3" borderId="0" xfId="0" quotePrefix="1" applyFont="1" applyFill="1" applyAlignment="1">
      <alignment horizontal="center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/>
    <xf numFmtId="164" fontId="0" fillId="0" borderId="0" xfId="0" applyNumberFormat="1" applyFill="1" applyAlignment="1">
      <alignment horizontal="center"/>
    </xf>
    <xf numFmtId="0" fontId="0" fillId="3" borderId="0" xfId="0" quotePrefix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52" fillId="4" borderId="0" xfId="0" quotePrefix="1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14" fillId="12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165" fontId="11" fillId="4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59" fillId="0" borderId="0" xfId="0" applyFont="1"/>
    <xf numFmtId="0" fontId="60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quotePrefix="1" applyFont="1" applyAlignment="1">
      <alignment horizontal="left"/>
    </xf>
    <xf numFmtId="0" fontId="18" fillId="0" borderId="0" xfId="0" applyFont="1" applyAlignment="1">
      <alignment horizontal="right"/>
    </xf>
    <xf numFmtId="0" fontId="21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12" borderId="0" xfId="0" applyFont="1" applyFill="1" applyBorder="1" applyAlignment="1">
      <alignment horizontal="center"/>
    </xf>
    <xf numFmtId="164" fontId="52" fillId="0" borderId="0" xfId="0" applyNumberFormat="1" applyFont="1" applyAlignment="1">
      <alignment horizontal="center"/>
    </xf>
    <xf numFmtId="0" fontId="23" fillId="3" borderId="0" xfId="0" quotePrefix="1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0" fillId="12" borderId="28" xfId="0" applyFill="1" applyBorder="1" applyAlignment="1">
      <alignment horizontal="center"/>
    </xf>
    <xf numFmtId="164" fontId="20" fillId="0" borderId="29" xfId="0" applyNumberFormat="1" applyFont="1" applyBorder="1" applyAlignment="1">
      <alignment horizontal="center"/>
    </xf>
    <xf numFmtId="0" fontId="10" fillId="0" borderId="30" xfId="0" applyFont="1" applyBorder="1"/>
    <xf numFmtId="0" fontId="38" fillId="0" borderId="31" xfId="0" quotePrefix="1" applyFont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10" fillId="0" borderId="33" xfId="0" applyFont="1" applyBorder="1"/>
    <xf numFmtId="0" fontId="0" fillId="0" borderId="34" xfId="0" applyBorder="1"/>
    <xf numFmtId="164" fontId="19" fillId="0" borderId="33" xfId="0" applyNumberFormat="1" applyFont="1" applyBorder="1" applyAlignment="1">
      <alignment horizontal="right"/>
    </xf>
    <xf numFmtId="0" fontId="0" fillId="0" borderId="33" xfId="0" applyBorder="1"/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166" fontId="11" fillId="0" borderId="34" xfId="0" applyNumberFormat="1" applyFont="1" applyBorder="1" applyAlignment="1">
      <alignment horizontal="center" vertical="center" wrapText="1"/>
    </xf>
    <xf numFmtId="2" fontId="10" fillId="2" borderId="33" xfId="0" applyNumberFormat="1" applyFont="1" applyFill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6" fontId="11" fillId="0" borderId="37" xfId="0" applyNumberFormat="1" applyFont="1" applyBorder="1" applyAlignment="1">
      <alignment horizontal="center" vertical="center" wrapText="1"/>
    </xf>
    <xf numFmtId="166" fontId="11" fillId="2" borderId="34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165" fontId="0" fillId="13" borderId="0" xfId="0" applyNumberFormat="1" applyFill="1" applyAlignment="1">
      <alignment horizontal="center"/>
    </xf>
    <xf numFmtId="1" fontId="0" fillId="13" borderId="0" xfId="0" applyNumberFormat="1" applyFill="1" applyAlignment="1">
      <alignment horizontal="center"/>
    </xf>
    <xf numFmtId="2" fontId="62" fillId="0" borderId="0" xfId="0" applyNumberFormat="1" applyFont="1"/>
    <xf numFmtId="0" fontId="62" fillId="0" borderId="0" xfId="0" applyFont="1"/>
    <xf numFmtId="164" fontId="0" fillId="13" borderId="0" xfId="0" applyNumberFormat="1" applyFill="1" applyAlignment="1">
      <alignment horizontal="center"/>
    </xf>
    <xf numFmtId="0" fontId="63" fillId="0" borderId="38" xfId="0" applyFont="1" applyBorder="1"/>
    <xf numFmtId="0" fontId="0" fillId="0" borderId="39" xfId="0" applyBorder="1"/>
    <xf numFmtId="0" fontId="63" fillId="0" borderId="39" xfId="0" quotePrefix="1" applyFont="1" applyBorder="1" applyAlignment="1">
      <alignment horizontal="left"/>
    </xf>
    <xf numFmtId="0" fontId="0" fillId="0" borderId="40" xfId="0" applyBorder="1"/>
    <xf numFmtId="164" fontId="0" fillId="0" borderId="0" xfId="0" quotePrefix="1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10" fillId="0" borderId="4" xfId="0" applyFont="1" applyBorder="1"/>
    <xf numFmtId="2" fontId="0" fillId="0" borderId="5" xfId="0" applyNumberFormat="1" applyBorder="1" applyAlignment="1">
      <alignment horizontal="center"/>
    </xf>
    <xf numFmtId="0" fontId="10" fillId="0" borderId="6" xfId="0" applyFont="1" applyBorder="1"/>
    <xf numFmtId="0" fontId="14" fillId="12" borderId="5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0" fillId="12" borderId="6" xfId="0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13" borderId="5" xfId="0" applyFill="1" applyBorder="1" applyAlignment="1">
      <alignment horizontal="center"/>
    </xf>
    <xf numFmtId="165" fontId="0" fillId="13" borderId="0" xfId="0" applyNumberFormat="1" applyFill="1" applyBorder="1" applyAlignment="1">
      <alignment horizontal="center"/>
    </xf>
    <xf numFmtId="164" fontId="0" fillId="13" borderId="6" xfId="0" applyNumberFormat="1" applyFill="1" applyBorder="1" applyAlignment="1">
      <alignment horizontal="center"/>
    </xf>
    <xf numFmtId="1" fontId="0" fillId="13" borderId="6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quotePrefix="1" applyBorder="1" applyAlignment="1">
      <alignment horizontal="center"/>
    </xf>
    <xf numFmtId="0" fontId="0" fillId="0" borderId="44" xfId="0" applyBorder="1"/>
    <xf numFmtId="0" fontId="0" fillId="0" borderId="47" xfId="0" applyBorder="1" applyAlignment="1">
      <alignment horizontal="center"/>
    </xf>
    <xf numFmtId="0" fontId="0" fillId="0" borderId="41" xfId="0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65" fillId="0" borderId="0" xfId="0" quotePrefix="1" applyFont="1" applyAlignment="1">
      <alignment horizontal="left"/>
    </xf>
    <xf numFmtId="0" fontId="29" fillId="0" borderId="0" xfId="0" quotePrefix="1" applyFont="1" applyAlignment="1">
      <alignment horizontal="center"/>
    </xf>
    <xf numFmtId="0" fontId="0" fillId="0" borderId="0" xfId="0" quotePrefix="1" applyBorder="1" applyAlignment="1">
      <alignment horizontal="center"/>
    </xf>
    <xf numFmtId="164" fontId="29" fillId="0" borderId="0" xfId="0" applyNumberFormat="1" applyFont="1" applyAlignment="1">
      <alignment horizontal="center"/>
    </xf>
    <xf numFmtId="164" fontId="29" fillId="0" borderId="0" xfId="0" quotePrefix="1" applyNumberFormat="1" applyFont="1" applyAlignment="1">
      <alignment horizontal="center"/>
    </xf>
    <xf numFmtId="0" fontId="0" fillId="0" borderId="48" xfId="0" applyBorder="1" applyAlignment="1">
      <alignment horizontal="center"/>
    </xf>
    <xf numFmtId="0" fontId="10" fillId="0" borderId="46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3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8" fillId="0" borderId="52" xfId="0" quotePrefix="1" applyFont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67" fillId="0" borderId="0" xfId="0" applyFont="1" applyAlignment="1">
      <alignment horizontal="left"/>
    </xf>
    <xf numFmtId="0" fontId="10" fillId="0" borderId="47" xfId="0" applyFont="1" applyBorder="1" applyAlignment="1">
      <alignment horizontal="center"/>
    </xf>
    <xf numFmtId="1" fontId="47" fillId="0" borderId="23" xfId="0" applyNumberFormat="1" applyFont="1" applyBorder="1" applyAlignment="1">
      <alignment horizontal="center" vertical="center" wrapText="1"/>
    </xf>
    <xf numFmtId="1" fontId="47" fillId="5" borderId="23" xfId="0" applyNumberFormat="1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" fontId="0" fillId="0" borderId="12" xfId="0" applyNumberFormat="1" applyBorder="1" applyAlignment="1">
      <alignment horizontal="center"/>
    </xf>
    <xf numFmtId="164" fontId="0" fillId="13" borderId="13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13" borderId="13" xfId="0" applyNumberForma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67" fillId="0" borderId="0" xfId="0" applyFont="1"/>
    <xf numFmtId="164" fontId="58" fillId="11" borderId="0" xfId="0" applyNumberFormat="1" applyFont="1" applyFill="1" applyAlignment="1">
      <alignment horizontal="center"/>
    </xf>
    <xf numFmtId="164" fontId="52" fillId="11" borderId="0" xfId="0" quotePrefix="1" applyNumberFormat="1" applyFon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1" fontId="0" fillId="0" borderId="14" xfId="0" applyNumberFormat="1" applyBorder="1" applyAlignment="1">
      <alignment horizontal="center"/>
    </xf>
    <xf numFmtId="166" fontId="0" fillId="13" borderId="0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13" borderId="0" xfId="0" applyNumberFormat="1" applyFill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center"/>
    </xf>
    <xf numFmtId="166" fontId="11" fillId="0" borderId="0" xfId="0" applyNumberFormat="1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166" fontId="11" fillId="13" borderId="0" xfId="0" applyNumberFormat="1" applyFont="1" applyFill="1" applyBorder="1" applyAlignment="1">
      <alignment horizontal="center" vertical="center" wrapText="1"/>
    </xf>
    <xf numFmtId="0" fontId="58" fillId="3" borderId="0" xfId="0" quotePrefix="1" applyFont="1" applyFill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" fontId="58" fillId="0" borderId="0" xfId="0" applyNumberFormat="1" applyFont="1" applyAlignment="1">
      <alignment horizontal="center"/>
    </xf>
    <xf numFmtId="0" fontId="13" fillId="12" borderId="0" xfId="0" quotePrefix="1" applyFont="1" applyFill="1" applyAlignment="1">
      <alignment horizontal="left"/>
    </xf>
    <xf numFmtId="0" fontId="0" fillId="12" borderId="0" xfId="0" applyFill="1"/>
    <xf numFmtId="9" fontId="0" fillId="0" borderId="0" xfId="0" applyNumberFormat="1" applyAlignment="1">
      <alignment horizontal="center"/>
    </xf>
    <xf numFmtId="0" fontId="0" fillId="3" borderId="0" xfId="0" quotePrefix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008000"/>
      <color rgb="FFC35D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 input</a:t>
            </a:r>
          </a:p>
        </c:rich>
      </c:tx>
      <c:layout>
        <c:manualLayout>
          <c:xMode val="edge"/>
          <c:yMode val="edge"/>
          <c:x val="0.695604111986001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476484771303013"/>
                  <c:y val="-0.3537503645377660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linear_rzeta_play!$E$27:$E$29</c:f>
              <c:numCache>
                <c:formatCode>General</c:formatCode>
                <c:ptCount val="3"/>
                <c:pt idx="0">
                  <c:v>2</c:v>
                </c:pt>
                <c:pt idx="1">
                  <c:v>21</c:v>
                </c:pt>
                <c:pt idx="2">
                  <c:v>40</c:v>
                </c:pt>
              </c:numCache>
            </c:numRef>
          </c:xVal>
          <c:yVal>
            <c:numRef>
              <c:f>linear_rzeta_play!$F$27:$F$29</c:f>
              <c:numCache>
                <c:formatCode>0.0</c:formatCode>
                <c:ptCount val="3"/>
                <c:pt idx="0">
                  <c:v>54.4</c:v>
                </c:pt>
                <c:pt idx="1">
                  <c:v>525.5</c:v>
                </c:pt>
                <c:pt idx="2">
                  <c:v>996.6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56-4144-9E45-E8078F300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167599"/>
        <c:axId val="1442176335"/>
      </c:scatterChart>
      <c:valAx>
        <c:axId val="14421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76335"/>
        <c:crosses val="autoZero"/>
        <c:crossBetween val="midCat"/>
      </c:valAx>
      <c:valAx>
        <c:axId val="144217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6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</a:t>
            </a:r>
          </a:p>
        </c:rich>
      </c:tx>
      <c:layout>
        <c:manualLayout>
          <c:xMode val="edge"/>
          <c:yMode val="edge"/>
          <c:x val="0.770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linear_rzeta_play!$E$35:$E$84</c:f>
              <c:strCache>
                <c:ptCount val="50"/>
                <c:pt idx="0">
                  <c:v>1 fixed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xVal>
          <c:yVal>
            <c:numRef>
              <c:f>linear_rzeta_play!$F$35:$F$84</c:f>
              <c:numCache>
                <c:formatCode>0.0</c:formatCode>
                <c:ptCount val="50"/>
                <c:pt idx="0">
                  <c:v>31.007999999999978</c:v>
                </c:pt>
                <c:pt idx="1">
                  <c:v>54.399999999999963</c:v>
                </c:pt>
                <c:pt idx="2">
                  <c:v>79.194736842105215</c:v>
                </c:pt>
                <c:pt idx="3">
                  <c:v>103.98947368421048</c:v>
                </c:pt>
                <c:pt idx="4">
                  <c:v>128.78421052631575</c:v>
                </c:pt>
                <c:pt idx="5">
                  <c:v>153.57894736842101</c:v>
                </c:pt>
                <c:pt idx="6">
                  <c:v>178.37368421052628</c:v>
                </c:pt>
                <c:pt idx="7">
                  <c:v>203.16842105263154</c:v>
                </c:pt>
                <c:pt idx="8">
                  <c:v>227.96315789473681</c:v>
                </c:pt>
                <c:pt idx="9">
                  <c:v>252.75789473684208</c:v>
                </c:pt>
                <c:pt idx="10">
                  <c:v>277.55263157894734</c:v>
                </c:pt>
                <c:pt idx="11">
                  <c:v>302.34736842105258</c:v>
                </c:pt>
                <c:pt idx="12">
                  <c:v>327.14210526315787</c:v>
                </c:pt>
                <c:pt idx="13">
                  <c:v>351.93684210526311</c:v>
                </c:pt>
                <c:pt idx="14">
                  <c:v>376.7315789473684</c:v>
                </c:pt>
                <c:pt idx="15">
                  <c:v>401.52631578947364</c:v>
                </c:pt>
                <c:pt idx="16">
                  <c:v>426.32105263157888</c:v>
                </c:pt>
                <c:pt idx="17">
                  <c:v>451.11578947368423</c:v>
                </c:pt>
                <c:pt idx="18">
                  <c:v>475.91052631578947</c:v>
                </c:pt>
                <c:pt idx="19">
                  <c:v>500.70526315789476</c:v>
                </c:pt>
                <c:pt idx="20">
                  <c:v>525.49999999999989</c:v>
                </c:pt>
                <c:pt idx="21">
                  <c:v>550.29473684210518</c:v>
                </c:pt>
                <c:pt idx="22">
                  <c:v>575.08947368421047</c:v>
                </c:pt>
                <c:pt idx="23">
                  <c:v>599.88421052631566</c:v>
                </c:pt>
                <c:pt idx="24">
                  <c:v>624.67894736842106</c:v>
                </c:pt>
                <c:pt idx="25">
                  <c:v>649.47368421052636</c:v>
                </c:pt>
                <c:pt idx="26">
                  <c:v>674.26842105263154</c:v>
                </c:pt>
                <c:pt idx="27">
                  <c:v>699.06315789473683</c:v>
                </c:pt>
                <c:pt idx="28">
                  <c:v>723.85789473684213</c:v>
                </c:pt>
                <c:pt idx="29">
                  <c:v>748.65263157894742</c:v>
                </c:pt>
                <c:pt idx="30">
                  <c:v>773.4473684210526</c:v>
                </c:pt>
                <c:pt idx="31">
                  <c:v>798.2421052631579</c:v>
                </c:pt>
                <c:pt idx="32">
                  <c:v>823.03684210526319</c:v>
                </c:pt>
                <c:pt idx="33">
                  <c:v>847.83157894736837</c:v>
                </c:pt>
                <c:pt idx="34">
                  <c:v>872.62631578947367</c:v>
                </c:pt>
                <c:pt idx="35">
                  <c:v>897.42105263157896</c:v>
                </c:pt>
                <c:pt idx="36">
                  <c:v>922.21578947368425</c:v>
                </c:pt>
                <c:pt idx="37">
                  <c:v>947.01052631578943</c:v>
                </c:pt>
                <c:pt idx="38">
                  <c:v>971.80526315789473</c:v>
                </c:pt>
                <c:pt idx="39">
                  <c:v>996.6</c:v>
                </c:pt>
                <c:pt idx="40">
                  <c:v>1021.3947368421052</c:v>
                </c:pt>
                <c:pt idx="41">
                  <c:v>1046.1894736842107</c:v>
                </c:pt>
                <c:pt idx="42">
                  <c:v>1070.984210526316</c:v>
                </c:pt>
                <c:pt idx="43">
                  <c:v>1095.7789473684213</c:v>
                </c:pt>
                <c:pt idx="44">
                  <c:v>1120.5736842105266</c:v>
                </c:pt>
                <c:pt idx="45">
                  <c:v>1145.3684210526319</c:v>
                </c:pt>
                <c:pt idx="46">
                  <c:v>1170.163157894737</c:v>
                </c:pt>
                <c:pt idx="47">
                  <c:v>1194.9578947368423</c:v>
                </c:pt>
                <c:pt idx="48">
                  <c:v>1219.7526315789476</c:v>
                </c:pt>
                <c:pt idx="49">
                  <c:v>1244.5473684210529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7-42A0-A2C2-2053C9AA1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56687"/>
        <c:axId val="1296972911"/>
      </c:scatterChart>
      <c:valAx>
        <c:axId val="12969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72911"/>
        <c:crosses val="autoZero"/>
        <c:crossBetween val="midCat"/>
      </c:valAx>
      <c:valAx>
        <c:axId val="1296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Linear input</a:t>
            </a:r>
          </a:p>
        </c:rich>
      </c:tx>
      <c:layout>
        <c:manualLayout>
          <c:xMode val="edge"/>
          <c:yMode val="edge"/>
          <c:x val="0.703937445319335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35660872579607"/>
                  <c:y val="-0.353750364537766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linear_rzeta_play!$B$27:$B$28</c:f>
              <c:numCache>
                <c:formatCode>General</c:formatCode>
                <c:ptCount val="2"/>
                <c:pt idx="0">
                  <c:v>2</c:v>
                </c:pt>
                <c:pt idx="1">
                  <c:v>40</c:v>
                </c:pt>
              </c:numCache>
            </c:numRef>
          </c:xVal>
          <c:yVal>
            <c:numRef>
              <c:f>linear_rzeta_play!$C$27:$C$28</c:f>
              <c:numCache>
                <c:formatCode>General</c:formatCode>
                <c:ptCount val="2"/>
                <c:pt idx="0">
                  <c:v>54.4</c:v>
                </c:pt>
                <c:pt idx="1">
                  <c:v>996.6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0-4719-ADE9-85AC546C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26671"/>
        <c:axId val="1534227087"/>
      </c:scatterChart>
      <c:valAx>
        <c:axId val="153422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7087"/>
        <c:crosses val="autoZero"/>
        <c:crossBetween val="midCat"/>
      </c:valAx>
      <c:valAx>
        <c:axId val="15342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(linear - poly)</a:t>
            </a:r>
          </a:p>
        </c:rich>
      </c:tx>
      <c:layout>
        <c:manualLayout>
          <c:xMode val="edge"/>
          <c:yMode val="edge"/>
          <c:x val="0.564771929824561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linear_rzeta_play!$H$35:$H$85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linear_rzeta_play!$I$35:$I$85</c:f>
              <c:numCache>
                <c:formatCode>0.0</c:formatCode>
                <c:ptCount val="51"/>
                <c:pt idx="0">
                  <c:v>3.5527136788005009E-14</c:v>
                </c:pt>
                <c:pt idx="1">
                  <c:v>6.3948846218409017E-14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E-4CEB-B798-8C8A0875E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84703"/>
        <c:axId val="648781791"/>
      </c:scatterChart>
      <c:valAx>
        <c:axId val="6487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1791"/>
        <c:crosses val="autoZero"/>
        <c:crossBetween val="midCat"/>
      </c:valAx>
      <c:valAx>
        <c:axId val="64878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 input</a:t>
            </a:r>
          </a:p>
        </c:rich>
      </c:tx>
      <c:layout>
        <c:manualLayout>
          <c:xMode val="edge"/>
          <c:yMode val="edge"/>
          <c:x val="0.695604111986001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476484771303013"/>
                  <c:y val="-0.3537503645377660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nonlinear_rzeta_play!$E$27:$E$29</c:f>
              <c:numCache>
                <c:formatCode>General</c:formatCode>
                <c:ptCount val="3"/>
                <c:pt idx="0">
                  <c:v>1</c:v>
                </c:pt>
                <c:pt idx="1">
                  <c:v>26</c:v>
                </c:pt>
                <c:pt idx="2">
                  <c:v>51</c:v>
                </c:pt>
              </c:numCache>
            </c:numRef>
          </c:xVal>
          <c:yVal>
            <c:numRef>
              <c:f>nonlinear_rzeta_play!$F$27:$F$29</c:f>
              <c:numCache>
                <c:formatCode>0.0</c:formatCode>
                <c:ptCount val="3"/>
                <c:pt idx="0">
                  <c:v>53.3</c:v>
                </c:pt>
                <c:pt idx="1">
                  <c:v>581.65</c:v>
                </c:pt>
                <c:pt idx="2">
                  <c:v>1340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4-4ADC-9700-924E3721C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167599"/>
        <c:axId val="1442176335"/>
      </c:scatterChart>
      <c:valAx>
        <c:axId val="14421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76335"/>
        <c:crosses val="autoZero"/>
        <c:crossBetween val="midCat"/>
      </c:valAx>
      <c:valAx>
        <c:axId val="144217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6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</a:t>
            </a:r>
          </a:p>
        </c:rich>
      </c:tx>
      <c:layout>
        <c:manualLayout>
          <c:xMode val="edge"/>
          <c:yMode val="edge"/>
          <c:x val="0.770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nonlinear_rzeta_play!$E$35:$E$84</c:f>
              <c:strCache>
                <c:ptCount val="50"/>
                <c:pt idx="0">
                  <c:v>1 fixed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xVal>
          <c:yVal>
            <c:numRef>
              <c:f>nonlinear_rzeta_play!$F$35:$F$84</c:f>
              <c:numCache>
                <c:formatCode>0.0</c:formatCode>
                <c:ptCount val="50"/>
                <c:pt idx="0">
                  <c:v>39.910259999999816</c:v>
                </c:pt>
                <c:pt idx="1">
                  <c:v>70.017999999999688</c:v>
                </c:pt>
                <c:pt idx="2">
                  <c:v>87.103999999999672</c:v>
                </c:pt>
                <c:pt idx="3">
                  <c:v>104.55799999999968</c:v>
                </c:pt>
                <c:pt idx="4">
                  <c:v>122.37999999999968</c:v>
                </c:pt>
                <c:pt idx="5">
                  <c:v>140.56999999999971</c:v>
                </c:pt>
                <c:pt idx="6">
                  <c:v>159.1279999999997</c:v>
                </c:pt>
                <c:pt idx="7">
                  <c:v>178.05399999999969</c:v>
                </c:pt>
                <c:pt idx="8">
                  <c:v>197.3479999999997</c:v>
                </c:pt>
                <c:pt idx="9">
                  <c:v>217.00999999999968</c:v>
                </c:pt>
                <c:pt idx="10">
                  <c:v>237.03999999999971</c:v>
                </c:pt>
                <c:pt idx="11">
                  <c:v>257.43799999999976</c:v>
                </c:pt>
                <c:pt idx="12">
                  <c:v>278.20399999999972</c:v>
                </c:pt>
                <c:pt idx="13">
                  <c:v>299.33799999999974</c:v>
                </c:pt>
                <c:pt idx="14">
                  <c:v>320.83999999999969</c:v>
                </c:pt>
                <c:pt idx="15">
                  <c:v>342.7099999999997</c:v>
                </c:pt>
                <c:pt idx="16">
                  <c:v>364.94799999999975</c:v>
                </c:pt>
                <c:pt idx="17">
                  <c:v>387.55399999999975</c:v>
                </c:pt>
                <c:pt idx="18">
                  <c:v>410.52799999999979</c:v>
                </c:pt>
                <c:pt idx="19">
                  <c:v>433.86999999999978</c:v>
                </c:pt>
                <c:pt idx="20">
                  <c:v>457.57999999999981</c:v>
                </c:pt>
                <c:pt idx="21">
                  <c:v>481.65799999999979</c:v>
                </c:pt>
                <c:pt idx="22">
                  <c:v>506.10399999999981</c:v>
                </c:pt>
                <c:pt idx="23">
                  <c:v>530.91799999999978</c:v>
                </c:pt>
                <c:pt idx="24">
                  <c:v>556.0999999999998</c:v>
                </c:pt>
                <c:pt idx="25">
                  <c:v>581.64999999999986</c:v>
                </c:pt>
                <c:pt idx="26">
                  <c:v>607.56799999999987</c:v>
                </c:pt>
                <c:pt idx="27">
                  <c:v>633.85399999999993</c:v>
                </c:pt>
                <c:pt idx="28">
                  <c:v>660.50799999999992</c:v>
                </c:pt>
                <c:pt idx="29">
                  <c:v>687.52999999999986</c:v>
                </c:pt>
                <c:pt idx="30">
                  <c:v>714.92</c:v>
                </c:pt>
                <c:pt idx="31">
                  <c:v>742.67799999999988</c:v>
                </c:pt>
                <c:pt idx="32">
                  <c:v>770.80399999999997</c:v>
                </c:pt>
                <c:pt idx="33">
                  <c:v>799.29799999999989</c:v>
                </c:pt>
                <c:pt idx="34">
                  <c:v>828.16</c:v>
                </c:pt>
                <c:pt idx="35">
                  <c:v>857.39</c:v>
                </c:pt>
                <c:pt idx="36">
                  <c:v>886.98800000000006</c:v>
                </c:pt>
                <c:pt idx="37">
                  <c:v>916.95399999999995</c:v>
                </c:pt>
                <c:pt idx="38">
                  <c:v>947.28800000000012</c:v>
                </c:pt>
                <c:pt idx="39">
                  <c:v>977.99</c:v>
                </c:pt>
                <c:pt idx="40">
                  <c:v>1009.0600000000001</c:v>
                </c:pt>
                <c:pt idx="41">
                  <c:v>1040.498</c:v>
                </c:pt>
                <c:pt idx="42">
                  <c:v>1072.3039999999999</c:v>
                </c:pt>
                <c:pt idx="43">
                  <c:v>1104.4779999999998</c:v>
                </c:pt>
                <c:pt idx="44">
                  <c:v>1137.02</c:v>
                </c:pt>
                <c:pt idx="45">
                  <c:v>1169.93</c:v>
                </c:pt>
                <c:pt idx="46">
                  <c:v>1203.2080000000001</c:v>
                </c:pt>
                <c:pt idx="47">
                  <c:v>1236.854</c:v>
                </c:pt>
                <c:pt idx="48">
                  <c:v>1270.8680000000002</c:v>
                </c:pt>
                <c:pt idx="49">
                  <c:v>1305.2500000000002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DC-4B64-9C24-18819EE4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56687"/>
        <c:axId val="1296972911"/>
      </c:scatterChart>
      <c:valAx>
        <c:axId val="12969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72911"/>
        <c:crosses val="autoZero"/>
        <c:crossBetween val="midCat"/>
      </c:valAx>
      <c:valAx>
        <c:axId val="1296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Linear input</a:t>
            </a:r>
          </a:p>
        </c:rich>
      </c:tx>
      <c:layout>
        <c:manualLayout>
          <c:xMode val="edge"/>
          <c:yMode val="edge"/>
          <c:x val="0.703937445319335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35660872579607"/>
                  <c:y val="-0.353750364537766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nonlinear_rzeta_play!$B$27:$B$28</c:f>
              <c:numCache>
                <c:formatCode>General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xVal>
          <c:yVal>
            <c:numRef>
              <c:f>nonlinear_rzeta_play!$C$27:$C$28</c:f>
              <c:numCache>
                <c:formatCode>General</c:formatCode>
                <c:ptCount val="2"/>
                <c:pt idx="0">
                  <c:v>53.3</c:v>
                </c:pt>
                <c:pt idx="1">
                  <c:v>1340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01-4AF7-A781-DF3027F5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26671"/>
        <c:axId val="1534227087"/>
      </c:scatterChart>
      <c:valAx>
        <c:axId val="153422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7087"/>
        <c:crosses val="autoZero"/>
        <c:crossBetween val="midCat"/>
      </c:valAx>
      <c:valAx>
        <c:axId val="15342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(linear - poly)</a:t>
            </a:r>
          </a:p>
        </c:rich>
      </c:tx>
      <c:layout>
        <c:manualLayout>
          <c:xMode val="edge"/>
          <c:yMode val="edge"/>
          <c:x val="0.564771929824561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nonlinear_rzeta_play!$H$35:$H$85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nonlinear_rzeta_play!$I$35:$I$85</c:f>
              <c:numCache>
                <c:formatCode>0.0</c:formatCode>
                <c:ptCount val="51"/>
                <c:pt idx="0">
                  <c:v>5.1391200000001334</c:v>
                </c:pt>
                <c:pt idx="1">
                  <c:v>9.0160000000002327</c:v>
                </c:pt>
                <c:pt idx="2">
                  <c:v>17.664000000000243</c:v>
                </c:pt>
                <c:pt idx="3">
                  <c:v>25.944000000000244</c:v>
                </c:pt>
                <c:pt idx="4">
                  <c:v>33.85600000000025</c:v>
                </c:pt>
                <c:pt idx="5">
                  <c:v>41.400000000000205</c:v>
                </c:pt>
                <c:pt idx="6">
                  <c:v>48.576000000000221</c:v>
                </c:pt>
                <c:pt idx="7">
                  <c:v>55.384000000000242</c:v>
                </c:pt>
                <c:pt idx="8">
                  <c:v>61.824000000000211</c:v>
                </c:pt>
                <c:pt idx="9">
                  <c:v>67.896000000000271</c:v>
                </c:pt>
                <c:pt idx="10">
                  <c:v>73.600000000000222</c:v>
                </c:pt>
                <c:pt idx="11">
                  <c:v>78.936000000000149</c:v>
                </c:pt>
                <c:pt idx="12">
                  <c:v>83.904000000000224</c:v>
                </c:pt>
                <c:pt idx="13">
                  <c:v>88.50400000000019</c:v>
                </c:pt>
                <c:pt idx="14">
                  <c:v>92.736000000000274</c:v>
                </c:pt>
                <c:pt idx="15">
                  <c:v>96.60000000000025</c:v>
                </c:pt>
                <c:pt idx="16">
                  <c:v>100.09600000000017</c:v>
                </c:pt>
                <c:pt idx="17">
                  <c:v>103.22400000000022</c:v>
                </c:pt>
                <c:pt idx="18">
                  <c:v>105.98400000000015</c:v>
                </c:pt>
                <c:pt idx="19">
                  <c:v>108.3760000000002</c:v>
                </c:pt>
                <c:pt idx="20">
                  <c:v>110.40000000000009</c:v>
                </c:pt>
                <c:pt idx="21">
                  <c:v>112.05600000000015</c:v>
                </c:pt>
                <c:pt idx="22">
                  <c:v>113.34400000000016</c:v>
                </c:pt>
                <c:pt idx="23">
                  <c:v>114.26400000000012</c:v>
                </c:pt>
                <c:pt idx="24">
                  <c:v>114.81600000000014</c:v>
                </c:pt>
                <c:pt idx="25">
                  <c:v>115.00000000000011</c:v>
                </c:pt>
                <c:pt idx="26">
                  <c:v>114.81600000000014</c:v>
                </c:pt>
                <c:pt idx="27">
                  <c:v>114.26400000000001</c:v>
                </c:pt>
                <c:pt idx="28">
                  <c:v>113.34400000000005</c:v>
                </c:pt>
                <c:pt idx="29">
                  <c:v>112.05600000000015</c:v>
                </c:pt>
                <c:pt idx="30">
                  <c:v>110.39999999999998</c:v>
                </c:pt>
                <c:pt idx="31">
                  <c:v>108.37600000000009</c:v>
                </c:pt>
                <c:pt idx="32">
                  <c:v>105.98400000000004</c:v>
                </c:pt>
                <c:pt idx="33">
                  <c:v>103.22400000000005</c:v>
                </c:pt>
                <c:pt idx="34">
                  <c:v>100.096</c:v>
                </c:pt>
                <c:pt idx="35">
                  <c:v>96.600000000000023</c:v>
                </c:pt>
                <c:pt idx="36">
                  <c:v>92.735999999999876</c:v>
                </c:pt>
                <c:pt idx="37">
                  <c:v>88.504000000000019</c:v>
                </c:pt>
                <c:pt idx="38">
                  <c:v>83.903999999999883</c:v>
                </c:pt>
                <c:pt idx="39">
                  <c:v>78.935999999999922</c:v>
                </c:pt>
                <c:pt idx="40">
                  <c:v>73.599999999999795</c:v>
                </c:pt>
                <c:pt idx="41">
                  <c:v>67.895999999999731</c:v>
                </c:pt>
                <c:pt idx="42">
                  <c:v>61.824000000000296</c:v>
                </c:pt>
                <c:pt idx="43">
                  <c:v>55.384000000000242</c:v>
                </c:pt>
                <c:pt idx="44">
                  <c:v>48.576000000000022</c:v>
                </c:pt>
                <c:pt idx="45">
                  <c:v>41.399999999999864</c:v>
                </c:pt>
                <c:pt idx="46">
                  <c:v>33.855999999999767</c:v>
                </c:pt>
                <c:pt idx="47">
                  <c:v>25.943999999999733</c:v>
                </c:pt>
                <c:pt idx="48">
                  <c:v>17.663999999999987</c:v>
                </c:pt>
                <c:pt idx="49">
                  <c:v>9.015999999999849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5-49CD-ABC9-C90A2BE8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84703"/>
        <c:axId val="648781791"/>
      </c:scatterChart>
      <c:valAx>
        <c:axId val="6487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1791"/>
        <c:crosses val="autoZero"/>
        <c:crossBetween val="midCat"/>
      </c:valAx>
      <c:valAx>
        <c:axId val="64878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 input</a:t>
            </a:r>
          </a:p>
        </c:rich>
      </c:tx>
      <c:layout>
        <c:manualLayout>
          <c:xMode val="edge"/>
          <c:yMode val="edge"/>
          <c:x val="0.695604111986001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476484771303013"/>
                  <c:y val="-0.3537503645377660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dip46_rzeta_all!$E$27:$E$29</c:f>
              <c:numCache>
                <c:formatCode>General</c:formatCode>
                <c:ptCount val="3"/>
                <c:pt idx="0">
                  <c:v>1</c:v>
                </c:pt>
                <c:pt idx="1">
                  <c:v>26</c:v>
                </c:pt>
                <c:pt idx="2">
                  <c:v>51</c:v>
                </c:pt>
              </c:numCache>
            </c:numRef>
          </c:xVal>
          <c:yVal>
            <c:numRef>
              <c:f>dip46_rzeta_all!$F$27:$F$29</c:f>
              <c:numCache>
                <c:formatCode>0.0</c:formatCode>
                <c:ptCount val="3"/>
                <c:pt idx="0">
                  <c:v>37.799999999999997</c:v>
                </c:pt>
                <c:pt idx="1">
                  <c:v>644.4</c:v>
                </c:pt>
                <c:pt idx="2">
                  <c:v>1411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74-4419-9C55-901399BF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167599"/>
        <c:axId val="1442176335"/>
      </c:scatterChart>
      <c:valAx>
        <c:axId val="14421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76335"/>
        <c:crosses val="autoZero"/>
        <c:crossBetween val="midCat"/>
      </c:valAx>
      <c:valAx>
        <c:axId val="144217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6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</a:t>
            </a:r>
          </a:p>
        </c:rich>
      </c:tx>
      <c:layout>
        <c:manualLayout>
          <c:xMode val="edge"/>
          <c:yMode val="edge"/>
          <c:x val="0.770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dip46_rzeta_all!$E$35:$E$84</c:f>
              <c:strCache>
                <c:ptCount val="50"/>
                <c:pt idx="0">
                  <c:v>1 fixed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xVal>
          <c:yVal>
            <c:numRef>
              <c:f>dip46_rzeta_all!$F$35:$F$84</c:f>
              <c:numCache>
                <c:formatCode>0.0</c:formatCode>
                <c:ptCount val="50"/>
                <c:pt idx="0">
                  <c:v>33.625439999999827</c:v>
                </c:pt>
                <c:pt idx="1">
                  <c:v>58.991999999999699</c:v>
                </c:pt>
                <c:pt idx="2">
                  <c:v>80.439999999999714</c:v>
                </c:pt>
                <c:pt idx="3">
                  <c:v>102.14399999999974</c:v>
                </c:pt>
                <c:pt idx="4">
                  <c:v>124.10399999999974</c:v>
                </c:pt>
                <c:pt idx="5">
                  <c:v>146.31999999999977</c:v>
                </c:pt>
                <c:pt idx="6">
                  <c:v>168.79199999999977</c:v>
                </c:pt>
                <c:pt idx="7">
                  <c:v>191.51999999999978</c:v>
                </c:pt>
                <c:pt idx="8">
                  <c:v>214.50399999999982</c:v>
                </c:pt>
                <c:pt idx="9">
                  <c:v>237.74399999999983</c:v>
                </c:pt>
                <c:pt idx="10">
                  <c:v>261.23999999999984</c:v>
                </c:pt>
                <c:pt idx="11">
                  <c:v>284.99199999999985</c:v>
                </c:pt>
                <c:pt idx="12">
                  <c:v>308.99999999999989</c:v>
                </c:pt>
                <c:pt idx="13">
                  <c:v>333.2639999999999</c:v>
                </c:pt>
                <c:pt idx="14">
                  <c:v>357.78399999999988</c:v>
                </c:pt>
                <c:pt idx="15">
                  <c:v>382.55999999999983</c:v>
                </c:pt>
                <c:pt idx="16">
                  <c:v>407.59199999999987</c:v>
                </c:pt>
                <c:pt idx="17">
                  <c:v>432.87999999999988</c:v>
                </c:pt>
                <c:pt idx="18">
                  <c:v>458.42399999999986</c:v>
                </c:pt>
                <c:pt idx="19">
                  <c:v>484.22399999999993</c:v>
                </c:pt>
                <c:pt idx="20">
                  <c:v>510.28</c:v>
                </c:pt>
                <c:pt idx="21">
                  <c:v>536.59199999999998</c:v>
                </c:pt>
                <c:pt idx="22">
                  <c:v>563.16</c:v>
                </c:pt>
                <c:pt idx="23">
                  <c:v>589.98399999999992</c:v>
                </c:pt>
                <c:pt idx="24">
                  <c:v>617.06399999999996</c:v>
                </c:pt>
                <c:pt idx="25">
                  <c:v>644.4</c:v>
                </c:pt>
                <c:pt idx="26">
                  <c:v>671.99199999999996</c:v>
                </c:pt>
                <c:pt idx="27">
                  <c:v>699.84</c:v>
                </c:pt>
                <c:pt idx="28">
                  <c:v>727.94399999999996</c:v>
                </c:pt>
                <c:pt idx="29">
                  <c:v>756.30400000000009</c:v>
                </c:pt>
                <c:pt idx="30">
                  <c:v>784.92000000000007</c:v>
                </c:pt>
                <c:pt idx="31">
                  <c:v>813.79200000000003</c:v>
                </c:pt>
                <c:pt idx="32">
                  <c:v>842.92</c:v>
                </c:pt>
                <c:pt idx="33">
                  <c:v>872.30399999999997</c:v>
                </c:pt>
                <c:pt idx="34">
                  <c:v>901.94400000000007</c:v>
                </c:pt>
                <c:pt idx="35">
                  <c:v>931.84</c:v>
                </c:pt>
                <c:pt idx="36">
                  <c:v>961.99199999999996</c:v>
                </c:pt>
                <c:pt idx="37">
                  <c:v>992.4</c:v>
                </c:pt>
                <c:pt idx="38">
                  <c:v>1023.0640000000001</c:v>
                </c:pt>
                <c:pt idx="39">
                  <c:v>1053.9839999999999</c:v>
                </c:pt>
                <c:pt idx="40">
                  <c:v>1085.1599999999999</c:v>
                </c:pt>
                <c:pt idx="41">
                  <c:v>1116.5919999999999</c:v>
                </c:pt>
                <c:pt idx="42">
                  <c:v>1148.2799999999997</c:v>
                </c:pt>
                <c:pt idx="43">
                  <c:v>1180.2239999999999</c:v>
                </c:pt>
                <c:pt idx="44">
                  <c:v>1212.424</c:v>
                </c:pt>
                <c:pt idx="45">
                  <c:v>1244.8799999999999</c:v>
                </c:pt>
                <c:pt idx="46">
                  <c:v>1277.5919999999999</c:v>
                </c:pt>
                <c:pt idx="47">
                  <c:v>1310.5599999999997</c:v>
                </c:pt>
                <c:pt idx="48">
                  <c:v>1343.7839999999999</c:v>
                </c:pt>
                <c:pt idx="49">
                  <c:v>1377.2639999999997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D-419F-AF42-31A73CEDC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56687"/>
        <c:axId val="1296972911"/>
      </c:scatterChart>
      <c:valAx>
        <c:axId val="12969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72911"/>
        <c:crosses val="autoZero"/>
        <c:crossBetween val="midCat"/>
      </c:valAx>
      <c:valAx>
        <c:axId val="1296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Linear input</a:t>
            </a:r>
          </a:p>
        </c:rich>
      </c:tx>
      <c:layout>
        <c:manualLayout>
          <c:xMode val="edge"/>
          <c:yMode val="edge"/>
          <c:x val="0.703937445319335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35660872579607"/>
                  <c:y val="-0.353750364537766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dip46_rzeta_all!$B$27:$B$28</c:f>
              <c:numCache>
                <c:formatCode>General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xVal>
          <c:yVal>
            <c:numRef>
              <c:f>dip46_rzeta_all!$C$27:$C$28</c:f>
              <c:numCache>
                <c:formatCode>General</c:formatCode>
                <c:ptCount val="2"/>
                <c:pt idx="0">
                  <c:v>37.799999999999997</c:v>
                </c:pt>
                <c:pt idx="1">
                  <c:v>1411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02-4618-98D8-1D977DE3A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26671"/>
        <c:axId val="1534227087"/>
      </c:scatterChart>
      <c:valAx>
        <c:axId val="153422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7087"/>
        <c:crosses val="autoZero"/>
        <c:crossBetween val="midCat"/>
      </c:valAx>
      <c:valAx>
        <c:axId val="15342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(linear - poly)</a:t>
            </a:r>
          </a:p>
        </c:rich>
      </c:tx>
      <c:layout>
        <c:manualLayout>
          <c:xMode val="edge"/>
          <c:yMode val="edge"/>
          <c:x val="0.564771929824561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dip46_rzeta_all!$H$35:$H$85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dip46_rzeta_all!$I$35:$I$85</c:f>
              <c:numCache>
                <c:formatCode>0.0</c:formatCode>
                <c:ptCount val="51"/>
                <c:pt idx="0">
                  <c:v>3.575040000000179</c:v>
                </c:pt>
                <c:pt idx="1">
                  <c:v>6.2720000000003111</c:v>
                </c:pt>
                <c:pt idx="2">
                  <c:v>12.288000000000295</c:v>
                </c:pt>
                <c:pt idx="3">
                  <c:v>18.048000000000272</c:v>
                </c:pt>
                <c:pt idx="4">
                  <c:v>23.552000000000263</c:v>
                </c:pt>
                <c:pt idx="5">
                  <c:v>28.800000000000239</c:v>
                </c:pt>
                <c:pt idx="6">
                  <c:v>33.792000000000229</c:v>
                </c:pt>
                <c:pt idx="7">
                  <c:v>38.528000000000219</c:v>
                </c:pt>
                <c:pt idx="8">
                  <c:v>43.00800000000018</c:v>
                </c:pt>
                <c:pt idx="9">
                  <c:v>47.23200000000017</c:v>
                </c:pt>
                <c:pt idx="10">
                  <c:v>51.200000000000159</c:v>
                </c:pt>
                <c:pt idx="11">
                  <c:v>54.912000000000148</c:v>
                </c:pt>
                <c:pt idx="12">
                  <c:v>58.368000000000109</c:v>
                </c:pt>
                <c:pt idx="13">
                  <c:v>61.568000000000097</c:v>
                </c:pt>
                <c:pt idx="14">
                  <c:v>64.512000000000114</c:v>
                </c:pt>
                <c:pt idx="15">
                  <c:v>67.200000000000159</c:v>
                </c:pt>
                <c:pt idx="16">
                  <c:v>69.632000000000119</c:v>
                </c:pt>
                <c:pt idx="17">
                  <c:v>71.808000000000106</c:v>
                </c:pt>
                <c:pt idx="18">
                  <c:v>73.728000000000179</c:v>
                </c:pt>
                <c:pt idx="19">
                  <c:v>75.392000000000053</c:v>
                </c:pt>
                <c:pt idx="20">
                  <c:v>76.799999999999955</c:v>
                </c:pt>
                <c:pt idx="21">
                  <c:v>77.951999999999998</c:v>
                </c:pt>
                <c:pt idx="22">
                  <c:v>78.84800000000007</c:v>
                </c:pt>
                <c:pt idx="23">
                  <c:v>79.488000000000056</c:v>
                </c:pt>
                <c:pt idx="24">
                  <c:v>79.871999999999957</c:v>
                </c:pt>
                <c:pt idx="25">
                  <c:v>80</c:v>
                </c:pt>
                <c:pt idx="26">
                  <c:v>79.872000000000071</c:v>
                </c:pt>
                <c:pt idx="27">
                  <c:v>79.487999999999943</c:v>
                </c:pt>
                <c:pt idx="28">
                  <c:v>78.847999999999956</c:v>
                </c:pt>
                <c:pt idx="29">
                  <c:v>77.951999999999884</c:v>
                </c:pt>
                <c:pt idx="30">
                  <c:v>76.799999999999955</c:v>
                </c:pt>
                <c:pt idx="31">
                  <c:v>75.391999999999939</c:v>
                </c:pt>
                <c:pt idx="32">
                  <c:v>73.727999999999952</c:v>
                </c:pt>
                <c:pt idx="33">
                  <c:v>71.807999999999993</c:v>
                </c:pt>
                <c:pt idx="34">
                  <c:v>69.631999999999948</c:v>
                </c:pt>
                <c:pt idx="35">
                  <c:v>67.199999999999932</c:v>
                </c:pt>
                <c:pt idx="36">
                  <c:v>64.511999999999944</c:v>
                </c:pt>
                <c:pt idx="37">
                  <c:v>61.568000000000097</c:v>
                </c:pt>
                <c:pt idx="38">
                  <c:v>58.367999999999938</c:v>
                </c:pt>
                <c:pt idx="39">
                  <c:v>54.912000000000035</c:v>
                </c:pt>
                <c:pt idx="40">
                  <c:v>51.200000000000045</c:v>
                </c:pt>
                <c:pt idx="41">
                  <c:v>47.231999999999971</c:v>
                </c:pt>
                <c:pt idx="42">
                  <c:v>43.008000000000266</c:v>
                </c:pt>
                <c:pt idx="43">
                  <c:v>38.52800000000002</c:v>
                </c:pt>
                <c:pt idx="44">
                  <c:v>33.791999999999916</c:v>
                </c:pt>
                <c:pt idx="45">
                  <c:v>28.800000000000182</c:v>
                </c:pt>
                <c:pt idx="46">
                  <c:v>23.552000000000135</c:v>
                </c:pt>
                <c:pt idx="47">
                  <c:v>18.048000000000229</c:v>
                </c:pt>
                <c:pt idx="48">
                  <c:v>12.288000000000011</c:v>
                </c:pt>
                <c:pt idx="49">
                  <c:v>6.2720000000001619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DF-4EEE-97D9-530AD87D5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84703"/>
        <c:axId val="648781791"/>
      </c:scatterChart>
      <c:valAx>
        <c:axId val="6487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1791"/>
        <c:crosses val="autoZero"/>
        <c:crossBetween val="midCat"/>
      </c:valAx>
      <c:valAx>
        <c:axId val="64878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 input</a:t>
            </a:r>
          </a:p>
        </c:rich>
      </c:tx>
      <c:layout>
        <c:manualLayout>
          <c:xMode val="edge"/>
          <c:yMode val="edge"/>
          <c:x val="0.695604111986001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476484771303013"/>
                  <c:y val="-0.3537503645377660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dip29_rzeta_all!$E$27:$E$29</c:f>
              <c:numCache>
                <c:formatCode>General</c:formatCode>
                <c:ptCount val="3"/>
                <c:pt idx="0">
                  <c:v>1</c:v>
                </c:pt>
                <c:pt idx="1">
                  <c:v>26</c:v>
                </c:pt>
                <c:pt idx="2">
                  <c:v>51</c:v>
                </c:pt>
              </c:numCache>
            </c:numRef>
          </c:xVal>
          <c:yVal>
            <c:numRef>
              <c:f>dip29_rzeta_all!$F$27:$F$29</c:f>
              <c:numCache>
                <c:formatCode>0.0</c:formatCode>
                <c:ptCount val="3"/>
                <c:pt idx="0">
                  <c:v>32.1</c:v>
                </c:pt>
                <c:pt idx="1">
                  <c:v>552.15</c:v>
                </c:pt>
                <c:pt idx="2">
                  <c:v>1172.2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3F-4408-A395-8DD7EE18D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167599"/>
        <c:axId val="1442176335"/>
      </c:scatterChart>
      <c:valAx>
        <c:axId val="14421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76335"/>
        <c:crosses val="autoZero"/>
        <c:crossBetween val="midCat"/>
      </c:valAx>
      <c:valAx>
        <c:axId val="144217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6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</a:t>
            </a:r>
          </a:p>
        </c:rich>
      </c:tx>
      <c:layout>
        <c:manualLayout>
          <c:xMode val="edge"/>
          <c:yMode val="edge"/>
          <c:x val="0.770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dip29_rzeta_all!$E$35:$E$84</c:f>
              <c:strCache>
                <c:ptCount val="50"/>
                <c:pt idx="0">
                  <c:v>1 fixed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xVal>
          <c:yVal>
            <c:numRef>
              <c:f>dip29_rzeta_all!$F$35:$F$84</c:f>
              <c:numCache>
                <c:formatCode>0.0</c:formatCode>
                <c:ptCount val="50"/>
                <c:pt idx="0">
                  <c:v>29.059739999999927</c:v>
                </c:pt>
                <c:pt idx="1">
                  <c:v>50.981999999999879</c:v>
                </c:pt>
                <c:pt idx="2">
                  <c:v>70.023999999999887</c:v>
                </c:pt>
                <c:pt idx="3">
                  <c:v>89.225999999999914</c:v>
                </c:pt>
                <c:pt idx="4">
                  <c:v>108.58799999999994</c:v>
                </c:pt>
                <c:pt idx="5">
                  <c:v>128.10999999999996</c:v>
                </c:pt>
                <c:pt idx="6">
                  <c:v>147.79199999999994</c:v>
                </c:pt>
                <c:pt idx="7">
                  <c:v>167.63399999999996</c:v>
                </c:pt>
                <c:pt idx="8">
                  <c:v>187.636</c:v>
                </c:pt>
                <c:pt idx="9">
                  <c:v>207.798</c:v>
                </c:pt>
                <c:pt idx="10">
                  <c:v>228.12</c:v>
                </c:pt>
                <c:pt idx="11">
                  <c:v>248.602</c:v>
                </c:pt>
                <c:pt idx="12">
                  <c:v>269.24400000000003</c:v>
                </c:pt>
                <c:pt idx="13">
                  <c:v>290.04600000000005</c:v>
                </c:pt>
                <c:pt idx="14">
                  <c:v>311.00800000000004</c:v>
                </c:pt>
                <c:pt idx="15">
                  <c:v>332.13</c:v>
                </c:pt>
                <c:pt idx="16">
                  <c:v>353.41200000000003</c:v>
                </c:pt>
                <c:pt idx="17">
                  <c:v>374.85400000000004</c:v>
                </c:pt>
                <c:pt idx="18">
                  <c:v>396.45600000000002</c:v>
                </c:pt>
                <c:pt idx="19">
                  <c:v>418.21800000000007</c:v>
                </c:pt>
                <c:pt idx="20">
                  <c:v>440.1400000000001</c:v>
                </c:pt>
                <c:pt idx="21">
                  <c:v>462.22200000000009</c:v>
                </c:pt>
                <c:pt idx="22">
                  <c:v>484.46400000000006</c:v>
                </c:pt>
                <c:pt idx="23">
                  <c:v>506.8660000000001</c:v>
                </c:pt>
                <c:pt idx="24">
                  <c:v>529.428</c:v>
                </c:pt>
                <c:pt idx="25">
                  <c:v>552.15000000000009</c:v>
                </c:pt>
                <c:pt idx="26">
                  <c:v>575.03200000000004</c:v>
                </c:pt>
                <c:pt idx="27">
                  <c:v>598.07400000000007</c:v>
                </c:pt>
                <c:pt idx="28">
                  <c:v>621.27600000000007</c:v>
                </c:pt>
                <c:pt idx="29">
                  <c:v>644.63800000000015</c:v>
                </c:pt>
                <c:pt idx="30">
                  <c:v>668.16000000000008</c:v>
                </c:pt>
                <c:pt idx="31">
                  <c:v>691.8420000000001</c:v>
                </c:pt>
                <c:pt idx="32">
                  <c:v>715.68400000000008</c:v>
                </c:pt>
                <c:pt idx="33">
                  <c:v>739.68600000000004</c:v>
                </c:pt>
                <c:pt idx="34">
                  <c:v>763.84800000000007</c:v>
                </c:pt>
                <c:pt idx="35">
                  <c:v>788.17000000000007</c:v>
                </c:pt>
                <c:pt idx="36">
                  <c:v>812.65200000000004</c:v>
                </c:pt>
                <c:pt idx="37">
                  <c:v>837.2940000000001</c:v>
                </c:pt>
                <c:pt idx="38">
                  <c:v>862.09600000000012</c:v>
                </c:pt>
                <c:pt idx="39">
                  <c:v>887.05800000000011</c:v>
                </c:pt>
                <c:pt idx="40">
                  <c:v>912.18000000000006</c:v>
                </c:pt>
                <c:pt idx="41">
                  <c:v>937.4620000000001</c:v>
                </c:pt>
                <c:pt idx="42">
                  <c:v>962.90400000000011</c:v>
                </c:pt>
                <c:pt idx="43">
                  <c:v>988.50599999999997</c:v>
                </c:pt>
                <c:pt idx="44">
                  <c:v>1014.268</c:v>
                </c:pt>
                <c:pt idx="45">
                  <c:v>1040.1900000000003</c:v>
                </c:pt>
                <c:pt idx="46">
                  <c:v>1066.2720000000002</c:v>
                </c:pt>
                <c:pt idx="47">
                  <c:v>1092.5140000000001</c:v>
                </c:pt>
                <c:pt idx="48">
                  <c:v>1118.9160000000002</c:v>
                </c:pt>
                <c:pt idx="49">
                  <c:v>1145.4780000000001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65-4921-9317-06EB1F363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56687"/>
        <c:axId val="1296972911"/>
      </c:scatterChart>
      <c:valAx>
        <c:axId val="12969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72911"/>
        <c:crosses val="autoZero"/>
        <c:crossBetween val="midCat"/>
      </c:valAx>
      <c:valAx>
        <c:axId val="1296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Linear input</a:t>
            </a:r>
          </a:p>
        </c:rich>
      </c:tx>
      <c:layout>
        <c:manualLayout>
          <c:xMode val="edge"/>
          <c:yMode val="edge"/>
          <c:x val="0.703937445319335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35660872579607"/>
                  <c:y val="-0.353750364537766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dip29_rzeta_all!$B$27:$B$28</c:f>
              <c:numCache>
                <c:formatCode>General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xVal>
          <c:yVal>
            <c:numRef>
              <c:f>dip29_rzeta_all!$C$27:$C$28</c:f>
              <c:numCache>
                <c:formatCode>General</c:formatCode>
                <c:ptCount val="2"/>
                <c:pt idx="0">
                  <c:v>32.1</c:v>
                </c:pt>
                <c:pt idx="1">
                  <c:v>1172.2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C0-4716-A118-076E4DC5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26671"/>
        <c:axId val="1534227087"/>
      </c:scatterChart>
      <c:valAx>
        <c:axId val="153422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7087"/>
        <c:crosses val="autoZero"/>
        <c:crossBetween val="midCat"/>
      </c:valAx>
      <c:valAx>
        <c:axId val="15342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(linear - poly)</a:t>
            </a:r>
          </a:p>
        </c:rich>
      </c:tx>
      <c:layout>
        <c:manualLayout>
          <c:xMode val="edge"/>
          <c:yMode val="edge"/>
          <c:x val="0.564771929824561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dip29_rzeta_all!$H$35:$H$85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dip29_rzeta_all!$I$35:$I$85</c:f>
              <c:numCache>
                <c:formatCode>0.0</c:formatCode>
                <c:ptCount val="51"/>
                <c:pt idx="0">
                  <c:v>2.2344000000000719</c:v>
                </c:pt>
                <c:pt idx="1">
                  <c:v>3.9200000000001225</c:v>
                </c:pt>
                <c:pt idx="2">
                  <c:v>7.6800000000001205</c:v>
                </c:pt>
                <c:pt idx="3">
                  <c:v>11.280000000000086</c:v>
                </c:pt>
                <c:pt idx="4">
                  <c:v>14.720000000000056</c:v>
                </c:pt>
                <c:pt idx="5">
                  <c:v>18.000000000000057</c:v>
                </c:pt>
                <c:pt idx="6">
                  <c:v>21.120000000000061</c:v>
                </c:pt>
                <c:pt idx="7">
                  <c:v>24.080000000000041</c:v>
                </c:pt>
                <c:pt idx="8">
                  <c:v>26.879999999999995</c:v>
                </c:pt>
                <c:pt idx="9">
                  <c:v>29.519999999999982</c:v>
                </c:pt>
                <c:pt idx="10">
                  <c:v>32</c:v>
                </c:pt>
                <c:pt idx="11">
                  <c:v>34.320000000000022</c:v>
                </c:pt>
                <c:pt idx="12">
                  <c:v>36.479999999999961</c:v>
                </c:pt>
                <c:pt idx="13">
                  <c:v>38.479999999999961</c:v>
                </c:pt>
                <c:pt idx="14">
                  <c:v>40.319999999999936</c:v>
                </c:pt>
                <c:pt idx="15">
                  <c:v>42</c:v>
                </c:pt>
                <c:pt idx="16">
                  <c:v>43.519999999999982</c:v>
                </c:pt>
                <c:pt idx="17">
                  <c:v>44.879999999999939</c:v>
                </c:pt>
                <c:pt idx="18">
                  <c:v>46.079999999999984</c:v>
                </c:pt>
                <c:pt idx="19">
                  <c:v>47.119999999999891</c:v>
                </c:pt>
                <c:pt idx="20">
                  <c:v>47.999999999999886</c:v>
                </c:pt>
                <c:pt idx="21">
                  <c:v>48.719999999999914</c:v>
                </c:pt>
                <c:pt idx="22">
                  <c:v>49.279999999999973</c:v>
                </c:pt>
                <c:pt idx="23">
                  <c:v>49.67999999999995</c:v>
                </c:pt>
                <c:pt idx="24">
                  <c:v>49.919999999999959</c:v>
                </c:pt>
                <c:pt idx="25">
                  <c:v>49.999999999999886</c:v>
                </c:pt>
                <c:pt idx="26">
                  <c:v>49.919999999999959</c:v>
                </c:pt>
                <c:pt idx="27">
                  <c:v>49.67999999999995</c:v>
                </c:pt>
                <c:pt idx="28">
                  <c:v>49.279999999999973</c:v>
                </c:pt>
                <c:pt idx="29">
                  <c:v>48.7199999999998</c:v>
                </c:pt>
                <c:pt idx="30">
                  <c:v>47.999999999999886</c:v>
                </c:pt>
                <c:pt idx="31">
                  <c:v>47.119999999999891</c:v>
                </c:pt>
                <c:pt idx="32">
                  <c:v>46.079999999999927</c:v>
                </c:pt>
                <c:pt idx="33">
                  <c:v>44.879999999999995</c:v>
                </c:pt>
                <c:pt idx="34">
                  <c:v>43.519999999999868</c:v>
                </c:pt>
                <c:pt idx="35">
                  <c:v>41.999999999999886</c:v>
                </c:pt>
                <c:pt idx="36">
                  <c:v>40.319999999999936</c:v>
                </c:pt>
                <c:pt idx="37">
                  <c:v>38.479999999999905</c:v>
                </c:pt>
                <c:pt idx="38">
                  <c:v>36.479999999999905</c:v>
                </c:pt>
                <c:pt idx="39">
                  <c:v>34.319999999999823</c:v>
                </c:pt>
                <c:pt idx="40">
                  <c:v>31.999999999999886</c:v>
                </c:pt>
                <c:pt idx="41">
                  <c:v>29.519999999999868</c:v>
                </c:pt>
                <c:pt idx="42">
                  <c:v>26.879999999999882</c:v>
                </c:pt>
                <c:pt idx="43">
                  <c:v>24.080000000000041</c:v>
                </c:pt>
                <c:pt idx="44">
                  <c:v>21.119999999999891</c:v>
                </c:pt>
                <c:pt idx="45">
                  <c:v>17.999999999999773</c:v>
                </c:pt>
                <c:pt idx="46">
                  <c:v>14.7199999999998</c:v>
                </c:pt>
                <c:pt idx="47">
                  <c:v>11.279999999999973</c:v>
                </c:pt>
                <c:pt idx="48">
                  <c:v>7.6799999999998363</c:v>
                </c:pt>
                <c:pt idx="49">
                  <c:v>3.9199999999998454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4F-4000-9D24-5DE0041EF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84703"/>
        <c:axId val="648781791"/>
      </c:scatterChart>
      <c:valAx>
        <c:axId val="6487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1791"/>
        <c:crosses val="autoZero"/>
        <c:crossBetween val="midCat"/>
      </c:valAx>
      <c:valAx>
        <c:axId val="64878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 input</a:t>
            </a:r>
          </a:p>
        </c:rich>
      </c:tx>
      <c:layout>
        <c:manualLayout>
          <c:xMode val="edge"/>
          <c:yMode val="edge"/>
          <c:x val="0.695604111986001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476484771303013"/>
                  <c:y val="-0.3537503645377660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linear_rzeta_all!$E$27:$E$29</c:f>
              <c:numCache>
                <c:formatCode>General</c:formatCode>
                <c:ptCount val="3"/>
                <c:pt idx="0">
                  <c:v>1</c:v>
                </c:pt>
                <c:pt idx="1">
                  <c:v>26</c:v>
                </c:pt>
                <c:pt idx="2">
                  <c:v>51</c:v>
                </c:pt>
              </c:numCache>
            </c:numRef>
          </c:xVal>
          <c:yVal>
            <c:numRef>
              <c:f>linear_rzeta_all!$F$27:$F$29</c:f>
              <c:numCache>
                <c:formatCode>0.0</c:formatCode>
                <c:ptCount val="3"/>
                <c:pt idx="0">
                  <c:v>34.299999999999997</c:v>
                </c:pt>
                <c:pt idx="1">
                  <c:v>651.4</c:v>
                </c:pt>
                <c:pt idx="2">
                  <c:v>1268.5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7A-4D61-AAC7-B3C2522D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167599"/>
        <c:axId val="1442176335"/>
      </c:scatterChart>
      <c:valAx>
        <c:axId val="14421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76335"/>
        <c:crosses val="autoZero"/>
        <c:crossBetween val="midCat"/>
      </c:valAx>
      <c:valAx>
        <c:axId val="144217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6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</a:t>
            </a:r>
          </a:p>
        </c:rich>
      </c:tx>
      <c:layout>
        <c:manualLayout>
          <c:xMode val="edge"/>
          <c:yMode val="edge"/>
          <c:x val="0.770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linear_rzeta_all!$E$35:$E$84</c:f>
              <c:strCache>
                <c:ptCount val="50"/>
                <c:pt idx="0">
                  <c:v>1 fixed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strCache>
            </c:strRef>
          </c:xVal>
          <c:yVal>
            <c:numRef>
              <c:f>linear_rzeta_all!$F$35:$F$84</c:f>
              <c:numCache>
                <c:formatCode>0.0</c:formatCode>
                <c:ptCount val="50"/>
                <c:pt idx="0">
                  <c:v>33.620879999999858</c:v>
                </c:pt>
                <c:pt idx="1">
                  <c:v>58.983999999999753</c:v>
                </c:pt>
                <c:pt idx="2">
                  <c:v>83.667999999999779</c:v>
                </c:pt>
                <c:pt idx="3">
                  <c:v>108.35199999999979</c:v>
                </c:pt>
                <c:pt idx="4">
                  <c:v>133.0359999999998</c:v>
                </c:pt>
                <c:pt idx="5">
                  <c:v>157.71999999999983</c:v>
                </c:pt>
                <c:pt idx="6">
                  <c:v>182.40399999999983</c:v>
                </c:pt>
                <c:pt idx="7">
                  <c:v>207.08799999999985</c:v>
                </c:pt>
                <c:pt idx="8">
                  <c:v>231.77199999999985</c:v>
                </c:pt>
                <c:pt idx="9">
                  <c:v>256.45599999999985</c:v>
                </c:pt>
                <c:pt idx="10">
                  <c:v>281.13999999999987</c:v>
                </c:pt>
                <c:pt idx="11">
                  <c:v>305.8239999999999</c:v>
                </c:pt>
                <c:pt idx="12">
                  <c:v>330.50799999999987</c:v>
                </c:pt>
                <c:pt idx="13">
                  <c:v>355.19199999999984</c:v>
                </c:pt>
                <c:pt idx="14">
                  <c:v>379.87599999999986</c:v>
                </c:pt>
                <c:pt idx="15">
                  <c:v>404.55999999999989</c:v>
                </c:pt>
                <c:pt idx="16">
                  <c:v>429.24399999999991</c:v>
                </c:pt>
                <c:pt idx="17">
                  <c:v>453.92799999999994</c:v>
                </c:pt>
                <c:pt idx="18">
                  <c:v>478.61199999999991</c:v>
                </c:pt>
                <c:pt idx="19">
                  <c:v>503.29599999999994</c:v>
                </c:pt>
                <c:pt idx="20">
                  <c:v>527.98</c:v>
                </c:pt>
                <c:pt idx="21">
                  <c:v>552.66399999999999</c:v>
                </c:pt>
                <c:pt idx="22">
                  <c:v>577.34799999999996</c:v>
                </c:pt>
                <c:pt idx="23">
                  <c:v>602.03200000000004</c:v>
                </c:pt>
                <c:pt idx="24">
                  <c:v>626.71600000000001</c:v>
                </c:pt>
                <c:pt idx="25">
                  <c:v>651.40000000000009</c:v>
                </c:pt>
                <c:pt idx="26">
                  <c:v>676.08400000000006</c:v>
                </c:pt>
                <c:pt idx="27">
                  <c:v>700.76800000000003</c:v>
                </c:pt>
                <c:pt idx="28">
                  <c:v>725.45200000000011</c:v>
                </c:pt>
                <c:pt idx="29">
                  <c:v>750.13600000000008</c:v>
                </c:pt>
                <c:pt idx="30">
                  <c:v>774.82</c:v>
                </c:pt>
                <c:pt idx="31">
                  <c:v>799.50400000000002</c:v>
                </c:pt>
                <c:pt idx="32">
                  <c:v>824.18799999999999</c:v>
                </c:pt>
                <c:pt idx="33">
                  <c:v>848.87200000000007</c:v>
                </c:pt>
                <c:pt idx="34">
                  <c:v>873.55600000000004</c:v>
                </c:pt>
                <c:pt idx="35">
                  <c:v>898.24000000000012</c:v>
                </c:pt>
                <c:pt idx="36">
                  <c:v>922.92400000000009</c:v>
                </c:pt>
                <c:pt idx="37">
                  <c:v>947.60800000000006</c:v>
                </c:pt>
                <c:pt idx="38">
                  <c:v>972.29200000000014</c:v>
                </c:pt>
                <c:pt idx="39">
                  <c:v>996.976</c:v>
                </c:pt>
                <c:pt idx="40">
                  <c:v>1021.6600000000001</c:v>
                </c:pt>
                <c:pt idx="41">
                  <c:v>1046.3440000000003</c:v>
                </c:pt>
                <c:pt idx="42">
                  <c:v>1071.0280000000002</c:v>
                </c:pt>
                <c:pt idx="43">
                  <c:v>1095.712</c:v>
                </c:pt>
                <c:pt idx="44">
                  <c:v>1120.396</c:v>
                </c:pt>
                <c:pt idx="45">
                  <c:v>1145.08</c:v>
                </c:pt>
                <c:pt idx="46">
                  <c:v>1169.7640000000001</c:v>
                </c:pt>
                <c:pt idx="47">
                  <c:v>1194.4480000000001</c:v>
                </c:pt>
                <c:pt idx="48">
                  <c:v>1219.1320000000001</c:v>
                </c:pt>
                <c:pt idx="49">
                  <c:v>1243.816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45-40DB-B6F0-B460B9BA0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56687"/>
        <c:axId val="1296972911"/>
      </c:scatterChart>
      <c:valAx>
        <c:axId val="12969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72911"/>
        <c:crosses val="autoZero"/>
        <c:crossBetween val="midCat"/>
      </c:valAx>
      <c:valAx>
        <c:axId val="1296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Linear input</a:t>
            </a:r>
          </a:p>
        </c:rich>
      </c:tx>
      <c:layout>
        <c:manualLayout>
          <c:xMode val="edge"/>
          <c:yMode val="edge"/>
          <c:x val="0.703937445319335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35660872579607"/>
                  <c:y val="-0.353750364537766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linear_rzeta_all!$B$27:$B$28</c:f>
              <c:numCache>
                <c:formatCode>General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xVal>
          <c:yVal>
            <c:numRef>
              <c:f>linear_rzeta_all!$C$27:$C$28</c:f>
              <c:numCache>
                <c:formatCode>General</c:formatCode>
                <c:ptCount val="2"/>
                <c:pt idx="0">
                  <c:v>34.299999999999997</c:v>
                </c:pt>
                <c:pt idx="1">
                  <c:v>1268.5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6-476B-B75F-5BD1F290D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26671"/>
        <c:axId val="1534227087"/>
      </c:scatterChart>
      <c:valAx>
        <c:axId val="153422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7087"/>
        <c:crosses val="autoZero"/>
        <c:crossBetween val="midCat"/>
      </c:valAx>
      <c:valAx>
        <c:axId val="15342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(linear - poly)</a:t>
            </a:r>
          </a:p>
        </c:rich>
      </c:tx>
      <c:layout>
        <c:manualLayout>
          <c:xMode val="edge"/>
          <c:yMode val="edge"/>
          <c:x val="0.564771929824561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linear_rzeta_all!$H$35:$H$85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linear_rzeta_all!$I$35:$I$85</c:f>
              <c:numCache>
                <c:formatCode>0.0</c:formatCode>
                <c:ptCount val="51"/>
                <c:pt idx="0">
                  <c:v>7.1054273576010019E-14</c:v>
                </c:pt>
                <c:pt idx="1">
                  <c:v>1.2789769243681803E-13</c:v>
                </c:pt>
                <c:pt idx="2">
                  <c:v>1.1368683772161603E-13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A-44F1-9569-C9F728F2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84703"/>
        <c:axId val="648781791"/>
      </c:scatterChart>
      <c:valAx>
        <c:axId val="6487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1791"/>
        <c:crosses val="autoZero"/>
        <c:crossBetween val="midCat"/>
      </c:valAx>
      <c:valAx>
        <c:axId val="64878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 input</a:t>
            </a:r>
          </a:p>
        </c:rich>
      </c:tx>
      <c:layout>
        <c:manualLayout>
          <c:xMode val="edge"/>
          <c:yMode val="edge"/>
          <c:x val="0.695604111986001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476484771303013"/>
                  <c:y val="-0.3537503645377660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nonlin_rzeta_66_58_62B!$E$27:$E$29</c:f>
              <c:numCache>
                <c:formatCode>General</c:formatCode>
                <c:ptCount val="3"/>
                <c:pt idx="0">
                  <c:v>1</c:v>
                </c:pt>
                <c:pt idx="1">
                  <c:v>26</c:v>
                </c:pt>
                <c:pt idx="2">
                  <c:v>51</c:v>
                </c:pt>
              </c:numCache>
            </c:numRef>
          </c:xVal>
          <c:yVal>
            <c:numRef>
              <c:f>nonlin_rzeta_66_58_62B!$F$27:$F$29</c:f>
              <c:numCache>
                <c:formatCode>0.0</c:formatCode>
                <c:ptCount val="3"/>
                <c:pt idx="0">
                  <c:v>31.3</c:v>
                </c:pt>
                <c:pt idx="1">
                  <c:v>580.19999999999993</c:v>
                </c:pt>
                <c:pt idx="2">
                  <c:v>1249.0999999999999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79-4153-843C-DFC5C3F0B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167599"/>
        <c:axId val="1442176335"/>
      </c:scatterChart>
      <c:valAx>
        <c:axId val="14421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76335"/>
        <c:crosses val="autoZero"/>
        <c:crossBetween val="midCat"/>
      </c:valAx>
      <c:valAx>
        <c:axId val="144217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6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</a:t>
            </a:r>
          </a:p>
        </c:rich>
      </c:tx>
      <c:layout>
        <c:manualLayout>
          <c:xMode val="edge"/>
          <c:yMode val="edge"/>
          <c:x val="0.770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nonlin_rzeta_66_58_62B!$E$34:$E$83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nonlin_rzeta_66_58_62B!$F$34:$F$83</c:f>
              <c:numCache>
                <c:formatCode>0.0</c:formatCode>
                <c:ptCount val="50"/>
                <c:pt idx="0">
                  <c:v>31.299999999999827</c:v>
                </c:pt>
                <c:pt idx="1">
                  <c:v>50.951999999999835</c:v>
                </c:pt>
                <c:pt idx="2">
                  <c:v>70.79599999999985</c:v>
                </c:pt>
                <c:pt idx="3">
                  <c:v>90.831999999999852</c:v>
                </c:pt>
                <c:pt idx="4">
                  <c:v>111.05999999999985</c:v>
                </c:pt>
                <c:pt idx="5">
                  <c:v>131.47999999999985</c:v>
                </c:pt>
                <c:pt idx="6">
                  <c:v>152.09199999999987</c:v>
                </c:pt>
                <c:pt idx="7">
                  <c:v>172.8959999999999</c:v>
                </c:pt>
                <c:pt idx="8">
                  <c:v>193.89199999999988</c:v>
                </c:pt>
                <c:pt idx="9">
                  <c:v>215.07999999999987</c:v>
                </c:pt>
                <c:pt idx="10">
                  <c:v>236.45999999999987</c:v>
                </c:pt>
                <c:pt idx="11">
                  <c:v>258.03199999999993</c:v>
                </c:pt>
                <c:pt idx="12">
                  <c:v>279.79599999999988</c:v>
                </c:pt>
                <c:pt idx="13">
                  <c:v>301.7519999999999</c:v>
                </c:pt>
                <c:pt idx="14">
                  <c:v>323.89999999999986</c:v>
                </c:pt>
                <c:pt idx="15">
                  <c:v>346.2399999999999</c:v>
                </c:pt>
                <c:pt idx="16">
                  <c:v>368.77199999999993</c:v>
                </c:pt>
                <c:pt idx="17">
                  <c:v>391.49599999999992</c:v>
                </c:pt>
                <c:pt idx="18">
                  <c:v>414.41199999999992</c:v>
                </c:pt>
                <c:pt idx="19">
                  <c:v>437.51999999999992</c:v>
                </c:pt>
                <c:pt idx="20">
                  <c:v>460.81999999999994</c:v>
                </c:pt>
                <c:pt idx="21">
                  <c:v>484.3119999999999</c:v>
                </c:pt>
                <c:pt idx="22">
                  <c:v>507.99599999999992</c:v>
                </c:pt>
                <c:pt idx="23">
                  <c:v>531.87199999999996</c:v>
                </c:pt>
                <c:pt idx="24">
                  <c:v>555.93999999999994</c:v>
                </c:pt>
                <c:pt idx="25">
                  <c:v>580.19999999999993</c:v>
                </c:pt>
                <c:pt idx="26">
                  <c:v>604.65199999999993</c:v>
                </c:pt>
                <c:pt idx="27">
                  <c:v>629.29599999999994</c:v>
                </c:pt>
                <c:pt idx="28">
                  <c:v>654.13199999999995</c:v>
                </c:pt>
                <c:pt idx="29">
                  <c:v>679.15999999999985</c:v>
                </c:pt>
                <c:pt idx="30">
                  <c:v>704.37999999999988</c:v>
                </c:pt>
                <c:pt idx="31">
                  <c:v>729.79199999999992</c:v>
                </c:pt>
                <c:pt idx="32">
                  <c:v>755.39599999999996</c:v>
                </c:pt>
                <c:pt idx="33">
                  <c:v>781.19200000000001</c:v>
                </c:pt>
                <c:pt idx="34">
                  <c:v>807.18</c:v>
                </c:pt>
                <c:pt idx="35">
                  <c:v>833.3599999999999</c:v>
                </c:pt>
                <c:pt idx="36">
                  <c:v>859.73199999999997</c:v>
                </c:pt>
                <c:pt idx="37">
                  <c:v>886.29599999999994</c:v>
                </c:pt>
                <c:pt idx="38">
                  <c:v>913.05199999999991</c:v>
                </c:pt>
                <c:pt idx="39">
                  <c:v>939.99999999999989</c:v>
                </c:pt>
                <c:pt idx="40">
                  <c:v>967.14</c:v>
                </c:pt>
                <c:pt idx="41">
                  <c:v>994.47199999999998</c:v>
                </c:pt>
                <c:pt idx="42">
                  <c:v>1021.996</c:v>
                </c:pt>
                <c:pt idx="43">
                  <c:v>1049.712</c:v>
                </c:pt>
                <c:pt idx="44">
                  <c:v>1077.6200000000001</c:v>
                </c:pt>
                <c:pt idx="45">
                  <c:v>1105.72</c:v>
                </c:pt>
                <c:pt idx="46">
                  <c:v>1134.0120000000002</c:v>
                </c:pt>
                <c:pt idx="47">
                  <c:v>1162.4960000000001</c:v>
                </c:pt>
                <c:pt idx="48">
                  <c:v>1191.172</c:v>
                </c:pt>
                <c:pt idx="49">
                  <c:v>1220.04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D1-4217-A44A-CD6F2591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56687"/>
        <c:axId val="1296972911"/>
      </c:scatterChart>
      <c:valAx>
        <c:axId val="12969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72911"/>
        <c:crosses val="autoZero"/>
        <c:crossBetween val="midCat"/>
      </c:valAx>
      <c:valAx>
        <c:axId val="1296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Linear input</a:t>
            </a:r>
          </a:p>
        </c:rich>
      </c:tx>
      <c:layout>
        <c:manualLayout>
          <c:xMode val="edge"/>
          <c:yMode val="edge"/>
          <c:x val="0.703937445319335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35660872579607"/>
                  <c:y val="-0.353750364537766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nonlin_rzeta_66_58_62B!$B$27:$B$28</c:f>
              <c:numCache>
                <c:formatCode>General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xVal>
          <c:yVal>
            <c:numRef>
              <c:f>nonlin_rzeta_66_58_62B!$C$27:$C$28</c:f>
              <c:numCache>
                <c:formatCode>General</c:formatCode>
                <c:ptCount val="2"/>
                <c:pt idx="0">
                  <c:v>31.3</c:v>
                </c:pt>
                <c:pt idx="1">
                  <c:v>1249.0999999999999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6-4AAB-908A-EB49749B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26671"/>
        <c:axId val="1534227087"/>
      </c:scatterChart>
      <c:valAx>
        <c:axId val="153422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7087"/>
        <c:crosses val="autoZero"/>
        <c:crossBetween val="midCat"/>
      </c:valAx>
      <c:valAx>
        <c:axId val="15342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(linear - poly)</a:t>
            </a:r>
          </a:p>
        </c:rich>
      </c:tx>
      <c:layout>
        <c:manualLayout>
          <c:xMode val="edge"/>
          <c:yMode val="edge"/>
          <c:x val="0.564771929824561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nonlin_rzeta_66_58_62B!$H$34:$H$84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nonlin_rzeta_66_58_62B!$I$34:$I$84</c:f>
              <c:numCache>
                <c:formatCode>0.0</c:formatCode>
                <c:ptCount val="51"/>
                <c:pt idx="0">
                  <c:v>0</c:v>
                </c:pt>
                <c:pt idx="1">
                  <c:v>4.7040000000000219</c:v>
                </c:pt>
                <c:pt idx="2">
                  <c:v>9.2160000000000082</c:v>
                </c:pt>
                <c:pt idx="3">
                  <c:v>13.536000000000016</c:v>
                </c:pt>
                <c:pt idx="4">
                  <c:v>17.66400000000003</c:v>
                </c:pt>
                <c:pt idx="5">
                  <c:v>21.600000000000023</c:v>
                </c:pt>
                <c:pt idx="6">
                  <c:v>25.344000000000023</c:v>
                </c:pt>
                <c:pt idx="7">
                  <c:v>28.895999999999987</c:v>
                </c:pt>
                <c:pt idx="8">
                  <c:v>32.256</c:v>
                </c:pt>
                <c:pt idx="9">
                  <c:v>35.424000000000035</c:v>
                </c:pt>
                <c:pt idx="10">
                  <c:v>38.400000000000034</c:v>
                </c:pt>
                <c:pt idx="11">
                  <c:v>41.183999999999969</c:v>
                </c:pt>
                <c:pt idx="12">
                  <c:v>43.77600000000001</c:v>
                </c:pt>
                <c:pt idx="13">
                  <c:v>46.176000000000045</c:v>
                </c:pt>
                <c:pt idx="14">
                  <c:v>48.384000000000071</c:v>
                </c:pt>
                <c:pt idx="15">
                  <c:v>50.400000000000034</c:v>
                </c:pt>
                <c:pt idx="16">
                  <c:v>52.22399999999999</c:v>
                </c:pt>
                <c:pt idx="17">
                  <c:v>53.855999999999995</c:v>
                </c:pt>
                <c:pt idx="18">
                  <c:v>55.296000000000049</c:v>
                </c:pt>
                <c:pt idx="19">
                  <c:v>56.54400000000004</c:v>
                </c:pt>
                <c:pt idx="20">
                  <c:v>57.600000000000023</c:v>
                </c:pt>
                <c:pt idx="21">
                  <c:v>58.464000000000055</c:v>
                </c:pt>
                <c:pt idx="22">
                  <c:v>59.136000000000024</c:v>
                </c:pt>
                <c:pt idx="23">
                  <c:v>59.615999999999985</c:v>
                </c:pt>
                <c:pt idx="24">
                  <c:v>59.903999999999996</c:v>
                </c:pt>
                <c:pt idx="25">
                  <c:v>60</c:v>
                </c:pt>
                <c:pt idx="26">
                  <c:v>59.90400000000011</c:v>
                </c:pt>
                <c:pt idx="27">
                  <c:v>59.616000000000099</c:v>
                </c:pt>
                <c:pt idx="28">
                  <c:v>59.136000000000081</c:v>
                </c:pt>
                <c:pt idx="29">
                  <c:v>58.464000000000169</c:v>
                </c:pt>
                <c:pt idx="30">
                  <c:v>57.600000000000136</c:v>
                </c:pt>
                <c:pt idx="31">
                  <c:v>56.544000000000096</c:v>
                </c:pt>
                <c:pt idx="32">
                  <c:v>55.296000000000049</c:v>
                </c:pt>
                <c:pt idx="33">
                  <c:v>53.855999999999995</c:v>
                </c:pt>
                <c:pt idx="34">
                  <c:v>52.224000000000046</c:v>
                </c:pt>
                <c:pt idx="35">
                  <c:v>50.400000000000091</c:v>
                </c:pt>
                <c:pt idx="36">
                  <c:v>48.384000000000015</c:v>
                </c:pt>
                <c:pt idx="37">
                  <c:v>46.176000000000158</c:v>
                </c:pt>
                <c:pt idx="38">
                  <c:v>43.776000000000181</c:v>
                </c:pt>
                <c:pt idx="39">
                  <c:v>41.184000000000196</c:v>
                </c:pt>
                <c:pt idx="40">
                  <c:v>38.400000000000091</c:v>
                </c:pt>
                <c:pt idx="41">
                  <c:v>35.424000000000206</c:v>
                </c:pt>
                <c:pt idx="42">
                  <c:v>32.255999999999972</c:v>
                </c:pt>
                <c:pt idx="43">
                  <c:v>28.896000000000186</c:v>
                </c:pt>
                <c:pt idx="44">
                  <c:v>25.343999999999824</c:v>
                </c:pt>
                <c:pt idx="45">
                  <c:v>21.600000000000136</c:v>
                </c:pt>
                <c:pt idx="46">
                  <c:v>17.66399999999976</c:v>
                </c:pt>
                <c:pt idx="47">
                  <c:v>13.536000000000058</c:v>
                </c:pt>
                <c:pt idx="48">
                  <c:v>9.2159999999998945</c:v>
                </c:pt>
                <c:pt idx="49">
                  <c:v>4.7040000000001783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2-422A-A016-2D1654F2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84703"/>
        <c:axId val="648781791"/>
      </c:scatterChart>
      <c:valAx>
        <c:axId val="6487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1791"/>
        <c:crosses val="autoZero"/>
        <c:crossBetween val="midCat"/>
      </c:valAx>
      <c:valAx>
        <c:axId val="64878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rzeta_rstkr03!$J$32:$J$41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rzeta_rstkr03!$K$32:$K$41</c:f>
              <c:numCache>
                <c:formatCode>0.0</c:formatCode>
                <c:ptCount val="10"/>
                <c:pt idx="0">
                  <c:v>28.781578947368466</c:v>
                </c:pt>
                <c:pt idx="1">
                  <c:v>48.000000000000043</c:v>
                </c:pt>
                <c:pt idx="2">
                  <c:v>67.218421052631612</c:v>
                </c:pt>
                <c:pt idx="3">
                  <c:v>86.436842105263196</c:v>
                </c:pt>
                <c:pt idx="4">
                  <c:v>105.65526315789478</c:v>
                </c:pt>
                <c:pt idx="5">
                  <c:v>201.74736842105267</c:v>
                </c:pt>
                <c:pt idx="6">
                  <c:v>393.93157894736845</c:v>
                </c:pt>
                <c:pt idx="7">
                  <c:v>586.11578947368412</c:v>
                </c:pt>
                <c:pt idx="8">
                  <c:v>778.3</c:v>
                </c:pt>
                <c:pt idx="9">
                  <c:v>970.48421052631579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D-405A-9AE1-F1462B0E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003343"/>
        <c:axId val="1315002511"/>
      </c:scatterChart>
      <c:valAx>
        <c:axId val="1315003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002511"/>
        <c:crosses val="autoZero"/>
        <c:crossBetween val="midCat"/>
      </c:valAx>
      <c:valAx>
        <c:axId val="131500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003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289374453193351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1730990435041462"/>
                  <c:y val="-0.2159583697871099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rzeta_rstkr03!$Q$132:$Q$137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rzeta_rstkr03!$T$132:$T$137</c:f>
              <c:numCache>
                <c:formatCode>0.0</c:formatCode>
                <c:ptCount val="6"/>
                <c:pt idx="0">
                  <c:v>34.838084318002032</c:v>
                </c:pt>
                <c:pt idx="1">
                  <c:v>59.2</c:v>
                </c:pt>
                <c:pt idx="2">
                  <c:v>83.602364269770291</c:v>
                </c:pt>
                <c:pt idx="3">
                  <c:v>106.19759785619469</c:v>
                </c:pt>
                <c:pt idx="4">
                  <c:v>129</c:v>
                </c:pt>
                <c:pt idx="5">
                  <c:v>241.01582492186029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9-45F5-B17A-811862EB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040607"/>
        <c:axId val="1240042271"/>
      </c:scatterChart>
      <c:valAx>
        <c:axId val="124004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042271"/>
        <c:crosses val="autoZero"/>
        <c:crossBetween val="midCat"/>
      </c:valAx>
      <c:valAx>
        <c:axId val="124004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040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rzeta_rstkr03!$Q$154:$Q$203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rzeta_rstkr03!$R$154:$R$203</c:f>
              <c:numCache>
                <c:formatCode>0.0</c:formatCode>
                <c:ptCount val="50"/>
                <c:pt idx="0">
                  <c:v>35.144841</c:v>
                </c:pt>
                <c:pt idx="1">
                  <c:v>59.145835000000005</c:v>
                </c:pt>
                <c:pt idx="2">
                  <c:v>82.863478999999998</c:v>
                </c:pt>
                <c:pt idx="3">
                  <c:v>106.29777299999999</c:v>
                </c:pt>
                <c:pt idx="4">
                  <c:v>129.44871699999999</c:v>
                </c:pt>
                <c:pt idx="5">
                  <c:v>152.31631100000001</c:v>
                </c:pt>
                <c:pt idx="6">
                  <c:v>174.90055500000003</c:v>
                </c:pt>
                <c:pt idx="7">
                  <c:v>197.20144900000003</c:v>
                </c:pt>
                <c:pt idx="8">
                  <c:v>219.21899300000001</c:v>
                </c:pt>
                <c:pt idx="9">
                  <c:v>240.95318700000001</c:v>
                </c:pt>
                <c:pt idx="10">
                  <c:v>265.66351700000001</c:v>
                </c:pt>
                <c:pt idx="11">
                  <c:v>289.86463700000002</c:v>
                </c:pt>
                <c:pt idx="12">
                  <c:v>314.21101299999998</c:v>
                </c:pt>
                <c:pt idx="13">
                  <c:v>338.70264500000002</c:v>
                </c:pt>
                <c:pt idx="14">
                  <c:v>363.33953300000002</c:v>
                </c:pt>
                <c:pt idx="15">
                  <c:v>388.12167699999998</c:v>
                </c:pt>
                <c:pt idx="16">
                  <c:v>413.04907699999995</c:v>
                </c:pt>
                <c:pt idx="17">
                  <c:v>438.12173300000001</c:v>
                </c:pt>
                <c:pt idx="18">
                  <c:v>463.33964500000002</c:v>
                </c:pt>
                <c:pt idx="19">
                  <c:v>488.70281299999999</c:v>
                </c:pt>
                <c:pt idx="20">
                  <c:v>514.21123699999998</c:v>
                </c:pt>
                <c:pt idx="21">
                  <c:v>539.86491699999999</c:v>
                </c:pt>
                <c:pt idx="22">
                  <c:v>565.66385300000002</c:v>
                </c:pt>
                <c:pt idx="23">
                  <c:v>591.60804499999995</c:v>
                </c:pt>
                <c:pt idx="24">
                  <c:v>617.69749300000001</c:v>
                </c:pt>
                <c:pt idx="25">
                  <c:v>643.93219699999997</c:v>
                </c:pt>
                <c:pt idx="26">
                  <c:v>670.31215700000007</c:v>
                </c:pt>
                <c:pt idx="27">
                  <c:v>696.83737299999996</c:v>
                </c:pt>
                <c:pt idx="28">
                  <c:v>723.50784499999997</c:v>
                </c:pt>
                <c:pt idx="29">
                  <c:v>750.32357300000001</c:v>
                </c:pt>
                <c:pt idx="30">
                  <c:v>777.28455700000006</c:v>
                </c:pt>
                <c:pt idx="31">
                  <c:v>804.39079700000002</c:v>
                </c:pt>
                <c:pt idx="32">
                  <c:v>831.642293</c:v>
                </c:pt>
                <c:pt idx="33">
                  <c:v>859.03904499999987</c:v>
                </c:pt>
                <c:pt idx="34">
                  <c:v>886.581053</c:v>
                </c:pt>
                <c:pt idx="35">
                  <c:v>914.26831700000002</c:v>
                </c:pt>
                <c:pt idx="36">
                  <c:v>942.10083699999996</c:v>
                </c:pt>
                <c:pt idx="37">
                  <c:v>970.07861300000002</c:v>
                </c:pt>
                <c:pt idx="38">
                  <c:v>998.20164499999998</c:v>
                </c:pt>
                <c:pt idx="39">
                  <c:v>1026.4699329999999</c:v>
                </c:pt>
                <c:pt idx="40">
                  <c:v>1054.8834769999999</c:v>
                </c:pt>
                <c:pt idx="41">
                  <c:v>1083.4422769999999</c:v>
                </c:pt>
                <c:pt idx="42">
                  <c:v>1112.1463329999999</c:v>
                </c:pt>
                <c:pt idx="43">
                  <c:v>1140.995645</c:v>
                </c:pt>
                <c:pt idx="44">
                  <c:v>1169.9902129999998</c:v>
                </c:pt>
                <c:pt idx="45">
                  <c:v>1199.1300369999999</c:v>
                </c:pt>
                <c:pt idx="46">
                  <c:v>1228.4151169999998</c:v>
                </c:pt>
                <c:pt idx="47">
                  <c:v>1257.8454529999999</c:v>
                </c:pt>
                <c:pt idx="48">
                  <c:v>1287.421045</c:v>
                </c:pt>
                <c:pt idx="49">
                  <c:v>1317.1418929999998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BE-45C6-A304-94968F2614FF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rzeta_rstkr03!$AD$154:$AD$203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rzeta_rstkr03!$AE$154:$AE$203</c:f>
              <c:numCache>
                <c:formatCode>0.0</c:formatCode>
                <c:ptCount val="50"/>
                <c:pt idx="0">
                  <c:v>35.100000000000165</c:v>
                </c:pt>
                <c:pt idx="1">
                  <c:v>61.263265306122605</c:v>
                </c:pt>
                <c:pt idx="2">
                  <c:v>87.426530612245045</c:v>
                </c:pt>
                <c:pt idx="3">
                  <c:v>113.58979591836749</c:v>
                </c:pt>
                <c:pt idx="4">
                  <c:v>139.75306122448993</c:v>
                </c:pt>
                <c:pt idx="5">
                  <c:v>165.91632653061237</c:v>
                </c:pt>
                <c:pt idx="6">
                  <c:v>192.07959183673481</c:v>
                </c:pt>
                <c:pt idx="7">
                  <c:v>218.24285714285725</c:v>
                </c:pt>
                <c:pt idx="8">
                  <c:v>244.40612244897969</c:v>
                </c:pt>
                <c:pt idx="9">
                  <c:v>270.56938775510213</c:v>
                </c:pt>
                <c:pt idx="10">
                  <c:v>296.7326530612246</c:v>
                </c:pt>
                <c:pt idx="11">
                  <c:v>322.89591836734701</c:v>
                </c:pt>
                <c:pt idx="12">
                  <c:v>349.05918367346942</c:v>
                </c:pt>
                <c:pt idx="13">
                  <c:v>375.22244897959189</c:v>
                </c:pt>
                <c:pt idx="14">
                  <c:v>401.38571428571436</c:v>
                </c:pt>
                <c:pt idx="15">
                  <c:v>427.54897959183677</c:v>
                </c:pt>
                <c:pt idx="16">
                  <c:v>453.71224489795918</c:v>
                </c:pt>
                <c:pt idx="17">
                  <c:v>479.87551020408165</c:v>
                </c:pt>
                <c:pt idx="18">
                  <c:v>506.03877551020412</c:v>
                </c:pt>
                <c:pt idx="19">
                  <c:v>532.20204081632653</c:v>
                </c:pt>
                <c:pt idx="20">
                  <c:v>558.36530612244894</c:v>
                </c:pt>
                <c:pt idx="21">
                  <c:v>584.52857142857147</c:v>
                </c:pt>
                <c:pt idx="22">
                  <c:v>610.69183673469388</c:v>
                </c:pt>
                <c:pt idx="23">
                  <c:v>636.85510204081629</c:v>
                </c:pt>
                <c:pt idx="24">
                  <c:v>663.0183673469387</c:v>
                </c:pt>
                <c:pt idx="25">
                  <c:v>689.18163265306111</c:v>
                </c:pt>
                <c:pt idx="26">
                  <c:v>715.34489795918364</c:v>
                </c:pt>
                <c:pt idx="27">
                  <c:v>741.50816326530605</c:v>
                </c:pt>
                <c:pt idx="28">
                  <c:v>767.67142857142846</c:v>
                </c:pt>
                <c:pt idx="29">
                  <c:v>793.83469387755099</c:v>
                </c:pt>
                <c:pt idx="30">
                  <c:v>819.9979591836734</c:v>
                </c:pt>
                <c:pt idx="31">
                  <c:v>846.16122448979581</c:v>
                </c:pt>
                <c:pt idx="32">
                  <c:v>872.32448979591823</c:v>
                </c:pt>
                <c:pt idx="33">
                  <c:v>898.48775510204064</c:v>
                </c:pt>
                <c:pt idx="34">
                  <c:v>924.65102040816316</c:v>
                </c:pt>
                <c:pt idx="35">
                  <c:v>950.81428571428557</c:v>
                </c:pt>
                <c:pt idx="36">
                  <c:v>976.97755102040799</c:v>
                </c:pt>
                <c:pt idx="37">
                  <c:v>1003.1408163265305</c:v>
                </c:pt>
                <c:pt idx="38">
                  <c:v>1029.3040816326529</c:v>
                </c:pt>
                <c:pt idx="39">
                  <c:v>1055.4673469387753</c:v>
                </c:pt>
                <c:pt idx="40">
                  <c:v>1081.6306122448977</c:v>
                </c:pt>
                <c:pt idx="41">
                  <c:v>1107.7938775510202</c:v>
                </c:pt>
                <c:pt idx="42">
                  <c:v>1133.9571428571426</c:v>
                </c:pt>
                <c:pt idx="43">
                  <c:v>1160.1204081632652</c:v>
                </c:pt>
                <c:pt idx="44">
                  <c:v>1186.2836734693876</c:v>
                </c:pt>
                <c:pt idx="45">
                  <c:v>1212.44693877551</c:v>
                </c:pt>
                <c:pt idx="46">
                  <c:v>1238.6102040816324</c:v>
                </c:pt>
                <c:pt idx="47">
                  <c:v>1264.7734693877549</c:v>
                </c:pt>
                <c:pt idx="48">
                  <c:v>1290.9367346938773</c:v>
                </c:pt>
                <c:pt idx="49">
                  <c:v>1317.0999999999997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BE-45C6-A304-94968F261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993359"/>
        <c:axId val="1315002927"/>
      </c:scatterChart>
      <c:valAx>
        <c:axId val="131499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002927"/>
        <c:crosses val="autoZero"/>
        <c:crossBetween val="midCat"/>
      </c:valAx>
      <c:valAx>
        <c:axId val="131500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993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2744228400021427"/>
          <c:y val="3.0380301046324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17937607799025121"/>
                  <c:y val="-0.76373330123436545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rzeta_rstkr03!$AD$154:$AD$203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rzeta_rstkr03!$AF$154:$AF$203</c:f>
              <c:numCache>
                <c:formatCode>0.0</c:formatCode>
                <c:ptCount val="50"/>
                <c:pt idx="0">
                  <c:v>-4.4840999999834708E-2</c:v>
                </c:pt>
                <c:pt idx="1">
                  <c:v>3.1</c:v>
                </c:pt>
                <c:pt idx="2">
                  <c:v>6.2</c:v>
                </c:pt>
                <c:pt idx="3">
                  <c:v>9.6999999999999993</c:v>
                </c:pt>
                <c:pt idx="4">
                  <c:v>13.2</c:v>
                </c:pt>
                <c:pt idx="5">
                  <c:v>16.2</c:v>
                </c:pt>
                <c:pt idx="6">
                  <c:v>19.5</c:v>
                </c:pt>
                <c:pt idx="7">
                  <c:v>22.3</c:v>
                </c:pt>
                <c:pt idx="8">
                  <c:v>25</c:v>
                </c:pt>
                <c:pt idx="9">
                  <c:v>27.6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37.5</c:v>
                </c:pt>
                <c:pt idx="15">
                  <c:v>39</c:v>
                </c:pt>
                <c:pt idx="16">
                  <c:v>40.4</c:v>
                </c:pt>
                <c:pt idx="17">
                  <c:v>41.6</c:v>
                </c:pt>
                <c:pt idx="18">
                  <c:v>42.6</c:v>
                </c:pt>
                <c:pt idx="19">
                  <c:v>43.5</c:v>
                </c:pt>
                <c:pt idx="20">
                  <c:v>44.3</c:v>
                </c:pt>
                <c:pt idx="21">
                  <c:v>44.8</c:v>
                </c:pt>
                <c:pt idx="22">
                  <c:v>45.1</c:v>
                </c:pt>
                <c:pt idx="23">
                  <c:v>45.247057040816344</c:v>
                </c:pt>
                <c:pt idx="24">
                  <c:v>45.320874346938695</c:v>
                </c:pt>
                <c:pt idx="25">
                  <c:v>45.249435653061141</c:v>
                </c:pt>
                <c:pt idx="26">
                  <c:v>45.03274095918357</c:v>
                </c:pt>
                <c:pt idx="27">
                  <c:v>44.670790265306096</c:v>
                </c:pt>
                <c:pt idx="28">
                  <c:v>44.163583571428489</c:v>
                </c:pt>
                <c:pt idx="29">
                  <c:v>43.511120877550979</c:v>
                </c:pt>
                <c:pt idx="30">
                  <c:v>42.713402183673338</c:v>
                </c:pt>
                <c:pt idx="31">
                  <c:v>41.770427489795793</c:v>
                </c:pt>
                <c:pt idx="32">
                  <c:v>40.68219679591823</c:v>
                </c:pt>
                <c:pt idx="33">
                  <c:v>39.448710102040764</c:v>
                </c:pt>
                <c:pt idx="34">
                  <c:v>38.069967408163166</c:v>
                </c:pt>
                <c:pt idx="35">
                  <c:v>36.54596871428555</c:v>
                </c:pt>
                <c:pt idx="36">
                  <c:v>34.876714020408031</c:v>
                </c:pt>
                <c:pt idx="37">
                  <c:v>33.062203326530494</c:v>
                </c:pt>
                <c:pt idx="38">
                  <c:v>31.102436632652939</c:v>
                </c:pt>
                <c:pt idx="39">
                  <c:v>28.99741393877548</c:v>
                </c:pt>
                <c:pt idx="40">
                  <c:v>26.747135244897891</c:v>
                </c:pt>
                <c:pt idx="41">
                  <c:v>24.351600551020283</c:v>
                </c:pt>
                <c:pt idx="42">
                  <c:v>21.810809857142658</c:v>
                </c:pt>
                <c:pt idx="43">
                  <c:v>19.124763163265243</c:v>
                </c:pt>
                <c:pt idx="44">
                  <c:v>16.29346046938781</c:v>
                </c:pt>
                <c:pt idx="45">
                  <c:v>13.316901775510132</c:v>
                </c:pt>
                <c:pt idx="46">
                  <c:v>10.195087081632664</c:v>
                </c:pt>
                <c:pt idx="47">
                  <c:v>6.9280163877549512</c:v>
                </c:pt>
                <c:pt idx="48">
                  <c:v>3.5156896938772206</c:v>
                </c:pt>
                <c:pt idx="49">
                  <c:v>-4.1893000000072789E-2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A-4FFF-BA48-5AE63FC6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008335"/>
        <c:axId val="1314997519"/>
      </c:scatterChart>
      <c:valAx>
        <c:axId val="13150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997519"/>
        <c:crosses val="autoZero"/>
        <c:crossBetween val="midCat"/>
      </c:valAx>
      <c:valAx>
        <c:axId val="131499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008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rzeta_rstkr03!$AI$154:$AI$203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rzeta_rstkr03!$AJ$154:$AJ$203</c:f>
              <c:numCache>
                <c:formatCode>0.0</c:formatCode>
                <c:ptCount val="50"/>
                <c:pt idx="0">
                  <c:v>35.932316440498916</c:v>
                </c:pt>
                <c:pt idx="1">
                  <c:v>58.274336805270195</c:v>
                </c:pt>
                <c:pt idx="2">
                  <c:v>80.786566533154883</c:v>
                </c:pt>
                <c:pt idx="3">
                  <c:v>103.46825462085536</c:v>
                </c:pt>
                <c:pt idx="4">
                  <c:v>126.31865006507398</c:v>
                </c:pt>
                <c:pt idx="5">
                  <c:v>149.33700186251315</c:v>
                </c:pt>
                <c:pt idx="6">
                  <c:v>172.52255900987521</c:v>
                </c:pt>
                <c:pt idx="7">
                  <c:v>195.87457050386254</c:v>
                </c:pt>
                <c:pt idx="8">
                  <c:v>219.39228534117751</c:v>
                </c:pt>
                <c:pt idx="9">
                  <c:v>243.07495251852251</c:v>
                </c:pt>
                <c:pt idx="10">
                  <c:v>266.92182103259995</c:v>
                </c:pt>
                <c:pt idx="11">
                  <c:v>290.93213988011206</c:v>
                </c:pt>
                <c:pt idx="12">
                  <c:v>315.10515805776129</c:v>
                </c:pt>
                <c:pt idx="13">
                  <c:v>339.44012456225016</c:v>
                </c:pt>
                <c:pt idx="14">
                  <c:v>363.93628839028082</c:v>
                </c:pt>
                <c:pt idx="15">
                  <c:v>388.59289853855574</c:v>
                </c:pt>
                <c:pt idx="16">
                  <c:v>413.40920400377729</c:v>
                </c:pt>
                <c:pt idx="17">
                  <c:v>438.38445378264782</c:v>
                </c:pt>
                <c:pt idx="18">
                  <c:v>463.51789687186977</c:v>
                </c:pt>
                <c:pt idx="19">
                  <c:v>488.80878226814542</c:v>
                </c:pt>
                <c:pt idx="20">
                  <c:v>514.25635896817721</c:v>
                </c:pt>
                <c:pt idx="21">
                  <c:v>539.85987596866755</c:v>
                </c:pt>
                <c:pt idx="22">
                  <c:v>565.61858226631864</c:v>
                </c:pt>
                <c:pt idx="23">
                  <c:v>591.53172685783295</c:v>
                </c:pt>
                <c:pt idx="24">
                  <c:v>617.59855873991285</c:v>
                </c:pt>
                <c:pt idx="25">
                  <c:v>643.81832690926069</c:v>
                </c:pt>
                <c:pt idx="26">
                  <c:v>670.19028036257907</c:v>
                </c:pt>
                <c:pt idx="27">
                  <c:v>696.71366809657002</c:v>
                </c:pt>
                <c:pt idx="28">
                  <c:v>723.38773910793611</c:v>
                </c:pt>
                <c:pt idx="29">
                  <c:v>750.21174239337972</c:v>
                </c:pt>
                <c:pt idx="30">
                  <c:v>777.1849269496031</c:v>
                </c:pt>
                <c:pt idx="31">
                  <c:v>804.30654177330871</c:v>
                </c:pt>
                <c:pt idx="32">
                  <c:v>831.57583586119881</c:v>
                </c:pt>
                <c:pt idx="33">
                  <c:v>858.99205820997588</c:v>
                </c:pt>
                <c:pt idx="34">
                  <c:v>886.55445781634239</c:v>
                </c:pt>
                <c:pt idx="35">
                  <c:v>914.2622836770006</c:v>
                </c:pt>
                <c:pt idx="36">
                  <c:v>942.11478478865274</c:v>
                </c:pt>
                <c:pt idx="37">
                  <c:v>970.11121014800153</c:v>
                </c:pt>
                <c:pt idx="38">
                  <c:v>998.25080875174899</c:v>
                </c:pt>
                <c:pt idx="39">
                  <c:v>1026.5328295965976</c:v>
                </c:pt>
                <c:pt idx="40">
                  <c:v>1054.9565216792498</c:v>
                </c:pt>
                <c:pt idx="41">
                  <c:v>1083.521133996408</c:v>
                </c:pt>
                <c:pt idx="42">
                  <c:v>1112.2259155447744</c:v>
                </c:pt>
                <c:pt idx="43">
                  <c:v>1141.0701153210516</c:v>
                </c:pt>
                <c:pt idx="44">
                  <c:v>1170.052982321942</c:v>
                </c:pt>
                <c:pt idx="45">
                  <c:v>1199.1737655441475</c:v>
                </c:pt>
                <c:pt idx="46">
                  <c:v>1228.4317139843708</c:v>
                </c:pt>
                <c:pt idx="47">
                  <c:v>1257.8260766393144</c:v>
                </c:pt>
                <c:pt idx="48">
                  <c:v>1287.3561025056804</c:v>
                </c:pt>
                <c:pt idx="49">
                  <c:v>1317.0210405801715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D-4F6B-B152-638243A8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015183"/>
        <c:axId val="1203012271"/>
      </c:scatterChart>
      <c:valAx>
        <c:axId val="120301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12271"/>
        <c:crosses val="autoZero"/>
        <c:crossBetween val="midCat"/>
      </c:valAx>
      <c:valAx>
        <c:axId val="120301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1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stock_3771s!$R$24:$R$33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stock_3771s!$S$24:$S$33</c:f>
              <c:numCache>
                <c:formatCode>General</c:formatCode>
                <c:ptCount val="10"/>
                <c:pt idx="0">
                  <c:v>46.4</c:v>
                </c:pt>
                <c:pt idx="1">
                  <c:v>69.8</c:v>
                </c:pt>
                <c:pt idx="2">
                  <c:v>89.1</c:v>
                </c:pt>
                <c:pt idx="3">
                  <c:v>106.6</c:v>
                </c:pt>
                <c:pt idx="4">
                  <c:v>122.7</c:v>
                </c:pt>
                <c:pt idx="5">
                  <c:v>209.8</c:v>
                </c:pt>
                <c:pt idx="6">
                  <c:v>436.6</c:v>
                </c:pt>
                <c:pt idx="7">
                  <c:v>685.6</c:v>
                </c:pt>
                <c:pt idx="8">
                  <c:v>978.4</c:v>
                </c:pt>
                <c:pt idx="9">
                  <c:v>1282.8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4D-4EE8-88E8-CE5EA2A26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122911"/>
        <c:axId val="1438123327"/>
      </c:scatterChart>
      <c:valAx>
        <c:axId val="143812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23327"/>
        <c:crosses val="autoZero"/>
        <c:crossBetween val="midCat"/>
      </c:valAx>
      <c:valAx>
        <c:axId val="143812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22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stock_3771s!$B$24:$B$33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stock_3771s!$E$24:$E$33</c:f>
              <c:numCache>
                <c:formatCode>General</c:formatCode>
                <c:ptCount val="10"/>
                <c:pt idx="0">
                  <c:v>46.4</c:v>
                </c:pt>
                <c:pt idx="1">
                  <c:v>69.8</c:v>
                </c:pt>
                <c:pt idx="2">
                  <c:v>89.1</c:v>
                </c:pt>
                <c:pt idx="3">
                  <c:v>106.6</c:v>
                </c:pt>
                <c:pt idx="4">
                  <c:v>122.7</c:v>
                </c:pt>
                <c:pt idx="5">
                  <c:v>209.8</c:v>
                </c:pt>
                <c:pt idx="6">
                  <c:v>436.6</c:v>
                </c:pt>
                <c:pt idx="7">
                  <c:v>685.6</c:v>
                </c:pt>
                <c:pt idx="8">
                  <c:v>978.4</c:v>
                </c:pt>
                <c:pt idx="9">
                  <c:v>1282.8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47-4A9C-BA3F-AE1EE773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13023"/>
        <c:axId val="1326709695"/>
      </c:scatterChart>
      <c:valAx>
        <c:axId val="1326713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709695"/>
        <c:crosses val="autoZero"/>
        <c:crossBetween val="midCat"/>
      </c:valAx>
      <c:valAx>
        <c:axId val="132670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71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stock_3771s!$B$24:$B$33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stock_3771s!$E$24:$E$33</c:f>
              <c:numCache>
                <c:formatCode>General</c:formatCode>
                <c:ptCount val="10"/>
                <c:pt idx="0">
                  <c:v>46.4</c:v>
                </c:pt>
                <c:pt idx="1">
                  <c:v>69.8</c:v>
                </c:pt>
                <c:pt idx="2">
                  <c:v>89.1</c:v>
                </c:pt>
                <c:pt idx="3">
                  <c:v>106.6</c:v>
                </c:pt>
                <c:pt idx="4">
                  <c:v>122.7</c:v>
                </c:pt>
                <c:pt idx="5">
                  <c:v>209.8</c:v>
                </c:pt>
                <c:pt idx="6">
                  <c:v>436.6</c:v>
                </c:pt>
                <c:pt idx="7">
                  <c:v>685.6</c:v>
                </c:pt>
                <c:pt idx="8">
                  <c:v>978.4</c:v>
                </c:pt>
                <c:pt idx="9">
                  <c:v>1282.8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0-41CB-BD44-76DB2B0DD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538415"/>
        <c:axId val="1208516783"/>
      </c:scatterChart>
      <c:valAx>
        <c:axId val="1208538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16783"/>
        <c:crosses val="autoZero"/>
        <c:crossBetween val="midCat"/>
      </c:valAx>
      <c:valAx>
        <c:axId val="120851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38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stock_3771s!$U$24:$U$33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stock_3771s!$W$24:$W$33</c:f>
              <c:numCache>
                <c:formatCode>0.0</c:formatCode>
                <c:ptCount val="10"/>
                <c:pt idx="0">
                  <c:v>-20.899999999999913</c:v>
                </c:pt>
                <c:pt idx="1">
                  <c:v>-17.902040816326448</c:v>
                </c:pt>
                <c:pt idx="2">
                  <c:v>-10.804081632652981</c:v>
                </c:pt>
                <c:pt idx="3">
                  <c:v>-1.9061224489795165</c:v>
                </c:pt>
                <c:pt idx="4">
                  <c:v>8.3918367346939391</c:v>
                </c:pt>
                <c:pt idx="5">
                  <c:v>53.281632653061251</c:v>
                </c:pt>
                <c:pt idx="6">
                  <c:v>90.461224489795882</c:v>
                </c:pt>
                <c:pt idx="7">
                  <c:v>105.44081632653047</c:v>
                </c:pt>
                <c:pt idx="8">
                  <c:v>76.620408163265097</c:v>
                </c:pt>
                <c:pt idx="9">
                  <c:v>36.200000000000045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DB-4BFB-AEEE-A953FA12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164047"/>
        <c:axId val="1398164879"/>
      </c:scatterChart>
      <c:valAx>
        <c:axId val="139816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64879"/>
        <c:crosses val="autoZero"/>
        <c:crossBetween val="midCat"/>
      </c:valAx>
      <c:valAx>
        <c:axId val="139816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6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corey_4096s!$R$24:$R$33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corey_4096s!$S$24:$S$33</c:f>
              <c:numCache>
                <c:formatCode>General</c:formatCode>
                <c:ptCount val="10"/>
                <c:pt idx="0">
                  <c:v>29.1</c:v>
                </c:pt>
                <c:pt idx="1">
                  <c:v>52.5</c:v>
                </c:pt>
                <c:pt idx="2">
                  <c:v>75.3</c:v>
                </c:pt>
                <c:pt idx="3">
                  <c:v>94.2</c:v>
                </c:pt>
                <c:pt idx="4">
                  <c:v>114.3</c:v>
                </c:pt>
                <c:pt idx="5">
                  <c:v>233.6</c:v>
                </c:pt>
                <c:pt idx="6">
                  <c:v>480</c:v>
                </c:pt>
                <c:pt idx="7">
                  <c:v>746.6</c:v>
                </c:pt>
                <c:pt idx="8">
                  <c:v>1055</c:v>
                </c:pt>
                <c:pt idx="9">
                  <c:v>1348.2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ED-451B-98C7-A1A41E900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122911"/>
        <c:axId val="1438123327"/>
      </c:scatterChart>
      <c:valAx>
        <c:axId val="143812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23327"/>
        <c:crosses val="autoZero"/>
        <c:crossBetween val="midCat"/>
      </c:valAx>
      <c:valAx>
        <c:axId val="143812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22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corey_4096s!$B$24:$B$33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corey_4096s!$E$24:$E$33</c:f>
              <c:numCache>
                <c:formatCode>0.0</c:formatCode>
                <c:ptCount val="10"/>
                <c:pt idx="0">
                  <c:v>34.838084318002032</c:v>
                </c:pt>
                <c:pt idx="1">
                  <c:v>59.2</c:v>
                </c:pt>
                <c:pt idx="2">
                  <c:v>83.602364269770291</c:v>
                </c:pt>
                <c:pt idx="3">
                  <c:v>106.19759785619469</c:v>
                </c:pt>
                <c:pt idx="4">
                  <c:v>129</c:v>
                </c:pt>
                <c:pt idx="5">
                  <c:v>241.01582492186029</c:v>
                </c:pt>
                <c:pt idx="6">
                  <c:v>489.56339437252871</c:v>
                </c:pt>
                <c:pt idx="7">
                  <c:v>751.29151674861146</c:v>
                </c:pt>
                <c:pt idx="8">
                  <c:v>1024.3172559179066</c:v>
                </c:pt>
                <c:pt idx="9">
                  <c:v>1318.0552925414236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0F-4AD7-B19A-D0284A1C4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13023"/>
        <c:axId val="1326709695"/>
      </c:scatterChart>
      <c:valAx>
        <c:axId val="1326713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709695"/>
        <c:crosses val="autoZero"/>
        <c:crossBetween val="midCat"/>
      </c:valAx>
      <c:valAx>
        <c:axId val="132670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71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corey_4096s!$B$24:$B$33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corey_4096s!$E$24:$E$33</c:f>
              <c:numCache>
                <c:formatCode>0.0</c:formatCode>
                <c:ptCount val="10"/>
                <c:pt idx="0">
                  <c:v>34.838084318002032</c:v>
                </c:pt>
                <c:pt idx="1">
                  <c:v>59.2</c:v>
                </c:pt>
                <c:pt idx="2">
                  <c:v>83.602364269770291</c:v>
                </c:pt>
                <c:pt idx="3">
                  <c:v>106.19759785619469</c:v>
                </c:pt>
                <c:pt idx="4">
                  <c:v>129</c:v>
                </c:pt>
                <c:pt idx="5">
                  <c:v>241.01582492186029</c:v>
                </c:pt>
                <c:pt idx="6">
                  <c:v>489.56339437252871</c:v>
                </c:pt>
                <c:pt idx="7">
                  <c:v>751.29151674861146</c:v>
                </c:pt>
                <c:pt idx="8">
                  <c:v>1024.3172559179066</c:v>
                </c:pt>
                <c:pt idx="9">
                  <c:v>1318.0552925414236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43-483D-864E-7E1F14DA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538415"/>
        <c:axId val="1208516783"/>
      </c:scatterChart>
      <c:valAx>
        <c:axId val="1208538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16783"/>
        <c:crosses val="autoZero"/>
        <c:crossBetween val="midCat"/>
      </c:valAx>
      <c:valAx>
        <c:axId val="120851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38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corey_4096s!$U$24:$U$33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corey_4096s!$W$24:$W$33</c:f>
              <c:numCache>
                <c:formatCode>0.0</c:formatCode>
                <c:ptCount val="10"/>
                <c:pt idx="0">
                  <c:v>-3.5999999999999162</c:v>
                </c:pt>
                <c:pt idx="1">
                  <c:v>-0.60204081632645057</c:v>
                </c:pt>
                <c:pt idx="2">
                  <c:v>2.9959183673470164</c:v>
                </c:pt>
                <c:pt idx="3">
                  <c:v>10.493877551020475</c:v>
                </c:pt>
                <c:pt idx="4">
                  <c:v>16.791836734693945</c:v>
                </c:pt>
                <c:pt idx="5">
                  <c:v>29.481632653061268</c:v>
                </c:pt>
                <c:pt idx="6">
                  <c:v>47.061224489795904</c:v>
                </c:pt>
                <c:pt idx="7">
                  <c:v>44.440816326530467</c:v>
                </c:pt>
                <c:pt idx="8">
                  <c:v>2.0408163265074108E-2</c:v>
                </c:pt>
                <c:pt idx="9">
                  <c:v>-29.200000000000045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A-459E-8E12-7FCFBAC3F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164047"/>
        <c:axId val="1398164879"/>
      </c:scatterChart>
      <c:valAx>
        <c:axId val="139816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64879"/>
        <c:crosses val="autoZero"/>
        <c:crossBetween val="midCat"/>
      </c:valAx>
      <c:valAx>
        <c:axId val="139816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6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rzeta_rstkr02!$C$8:$C$17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rzeta_rstkr02!$D$8:$D$17</c:f>
              <c:numCache>
                <c:formatCode>0.0</c:formatCode>
                <c:ptCount val="10"/>
                <c:pt idx="0">
                  <c:v>33.561842105263182</c:v>
                </c:pt>
                <c:pt idx="1">
                  <c:v>55.500000000000021</c:v>
                </c:pt>
                <c:pt idx="2">
                  <c:v>77.438157894736861</c:v>
                </c:pt>
                <c:pt idx="3">
                  <c:v>99.376315789473708</c:v>
                </c:pt>
                <c:pt idx="4">
                  <c:v>121.31447368421055</c:v>
                </c:pt>
                <c:pt idx="5">
                  <c:v>231.00526315789477</c:v>
                </c:pt>
                <c:pt idx="6">
                  <c:v>450.38684210526321</c:v>
                </c:pt>
                <c:pt idx="7">
                  <c:v>669.76842105263165</c:v>
                </c:pt>
                <c:pt idx="8">
                  <c:v>889.15000000000009</c:v>
                </c:pt>
                <c:pt idx="9">
                  <c:v>1108.5315789473684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D-46C2-9DF7-B19ADEAC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001279"/>
        <c:axId val="1948998367"/>
      </c:scatterChart>
      <c:valAx>
        <c:axId val="194900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998367"/>
        <c:crosses val="autoZero"/>
        <c:crossBetween val="midCat"/>
      </c:valAx>
      <c:valAx>
        <c:axId val="194899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00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rzeta_rstkr02!$C$97:$C$101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rzeta_rstkr02!$F$97:$F$101</c:f>
              <c:numCache>
                <c:formatCode>0</c:formatCode>
                <c:ptCount val="5"/>
                <c:pt idx="0">
                  <c:v>30.669736842105323</c:v>
                </c:pt>
                <c:pt idx="1">
                  <c:v>55.500000000000057</c:v>
                </c:pt>
                <c:pt idx="2">
                  <c:v>80.330263157894791</c:v>
                </c:pt>
                <c:pt idx="3">
                  <c:v>105.16052631578953</c:v>
                </c:pt>
                <c:pt idx="4">
                  <c:v>129.99078947368426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4-4526-9145-A378C514D437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rzeta_rstkr02!$H$97:$H$101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rzeta_rstkr02!$K$97:$K$101</c:f>
              <c:numCache>
                <c:formatCode>0</c:formatCode>
                <c:ptCount val="5"/>
                <c:pt idx="0">
                  <c:v>29.189275921395929</c:v>
                </c:pt>
                <c:pt idx="1">
                  <c:v>55.923203126400409</c:v>
                </c:pt>
                <c:pt idx="2">
                  <c:v>81.885126517202039</c:v>
                </c:pt>
                <c:pt idx="3">
                  <c:v>107.70394676195632</c:v>
                </c:pt>
                <c:pt idx="4">
                  <c:v>133.59431857973431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E4-4526-9145-A378C514D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446271"/>
        <c:axId val="488440447"/>
      </c:scatterChart>
      <c:valAx>
        <c:axId val="488446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40447"/>
        <c:crosses val="autoZero"/>
        <c:crossBetween val="midCat"/>
      </c:valAx>
      <c:valAx>
        <c:axId val="48844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462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rstkr_rzeta01!$D$130:$D$139</c:f>
              <c:numCache>
                <c:formatCode>General</c:formatCode>
                <c:ptCount val="10"/>
              </c:numCache>
            </c:numRef>
          </c:xVal>
          <c:yVal>
            <c:numRef>
              <c:f>rstkr_rzeta01!$E$130:$E$139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7-4306-B3F9-B8775701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30016"/>
        <c:axId val="119831552"/>
      </c:scatterChart>
      <c:valAx>
        <c:axId val="1198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831552"/>
        <c:crosses val="autoZero"/>
        <c:crossBetween val="midCat"/>
      </c:valAx>
      <c:valAx>
        <c:axId val="11983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30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3.png"/><Relationship Id="rId4" Type="http://schemas.openxmlformats.org/officeDocument/2006/relationships/chart" Target="../charts/chart3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3.png"/><Relationship Id="rId4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2</xdr:row>
      <xdr:rowOff>51859</xdr:rowOff>
    </xdr:from>
    <xdr:to>
      <xdr:col>11</xdr:col>
      <xdr:colOff>560492</xdr:colOff>
      <xdr:row>10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CD6DAA-9D43-43B0-AFCC-1159EED24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42337</xdr:colOff>
      <xdr:row>2</xdr:row>
      <xdr:rowOff>41276</xdr:rowOff>
    </xdr:from>
    <xdr:to>
      <xdr:col>3</xdr:col>
      <xdr:colOff>592247</xdr:colOff>
      <xdr:row>10</xdr:row>
      <xdr:rowOff>58209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A7BDAE-A598-445F-BC7B-5F56CB1EA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21167</xdr:colOff>
      <xdr:row>2</xdr:row>
      <xdr:rowOff>41274</xdr:rowOff>
    </xdr:from>
    <xdr:to>
      <xdr:col>7</xdr:col>
      <xdr:colOff>571077</xdr:colOff>
      <xdr:row>10</xdr:row>
      <xdr:rowOff>58207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AA18C8-BD59-4EA9-B590-77B9BFC1C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10584</xdr:colOff>
      <xdr:row>2</xdr:row>
      <xdr:rowOff>41273</xdr:rowOff>
    </xdr:from>
    <xdr:to>
      <xdr:col>15</xdr:col>
      <xdr:colOff>560494</xdr:colOff>
      <xdr:row>10</xdr:row>
      <xdr:rowOff>58206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D35DCF-82EE-4081-973C-EA8027190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243417</xdr:colOff>
      <xdr:row>28</xdr:row>
      <xdr:rowOff>95247</xdr:rowOff>
    </xdr:from>
    <xdr:to>
      <xdr:col>7</xdr:col>
      <xdr:colOff>275168</xdr:colOff>
      <xdr:row>29</xdr:row>
      <xdr:rowOff>95249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6F0A7BDD-39AD-4A30-914C-95B69423991E}"/>
            </a:ext>
          </a:extLst>
        </xdr:cNvPr>
        <xdr:cNvCxnSpPr/>
      </xdr:nvCxnSpPr>
      <xdr:spPr>
        <a:xfrm rot="10800000" flipV="1">
          <a:off x="4015317" y="4886322"/>
          <a:ext cx="660401" cy="171452"/>
        </a:xfrm>
        <a:prstGeom prst="bentConnector3">
          <a:avLst>
            <a:gd name="adj1" fmla="val 4354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497417</xdr:colOff>
      <xdr:row>27</xdr:row>
      <xdr:rowOff>84666</xdr:rowOff>
    </xdr:from>
    <xdr:to>
      <xdr:col>6</xdr:col>
      <xdr:colOff>285750</xdr:colOff>
      <xdr:row>29</xdr:row>
      <xdr:rowOff>95250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FD66C64F-3E43-4F81-8B2B-55A63296B0E8}"/>
            </a:ext>
          </a:extLst>
        </xdr:cNvPr>
        <xdr:cNvCxnSpPr/>
      </xdr:nvCxnSpPr>
      <xdr:spPr>
        <a:xfrm rot="10800000">
          <a:off x="3640667" y="4704291"/>
          <a:ext cx="416983" cy="35348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2</xdr:row>
      <xdr:rowOff>51859</xdr:rowOff>
    </xdr:from>
    <xdr:to>
      <xdr:col>11</xdr:col>
      <xdr:colOff>560492</xdr:colOff>
      <xdr:row>10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877FA0-21E1-4529-A964-BDB13C798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42337</xdr:colOff>
      <xdr:row>2</xdr:row>
      <xdr:rowOff>41276</xdr:rowOff>
    </xdr:from>
    <xdr:to>
      <xdr:col>3</xdr:col>
      <xdr:colOff>592247</xdr:colOff>
      <xdr:row>10</xdr:row>
      <xdr:rowOff>58209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78C37F-508F-44E5-A810-82DD97779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21167</xdr:colOff>
      <xdr:row>2</xdr:row>
      <xdr:rowOff>41274</xdr:rowOff>
    </xdr:from>
    <xdr:to>
      <xdr:col>7</xdr:col>
      <xdr:colOff>571077</xdr:colOff>
      <xdr:row>10</xdr:row>
      <xdr:rowOff>58207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CA0C01-B9CD-4CE0-A723-4AEAD1FB6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10584</xdr:colOff>
      <xdr:row>2</xdr:row>
      <xdr:rowOff>41273</xdr:rowOff>
    </xdr:from>
    <xdr:to>
      <xdr:col>15</xdr:col>
      <xdr:colOff>560494</xdr:colOff>
      <xdr:row>10</xdr:row>
      <xdr:rowOff>58206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15B311-CE5D-4148-969D-6AEBE310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243417</xdr:colOff>
      <xdr:row>28</xdr:row>
      <xdr:rowOff>95247</xdr:rowOff>
    </xdr:from>
    <xdr:to>
      <xdr:col>7</xdr:col>
      <xdr:colOff>275168</xdr:colOff>
      <xdr:row>29</xdr:row>
      <xdr:rowOff>95249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C31E11E6-C222-4111-86E7-E6D1E2B0BE6D}"/>
            </a:ext>
          </a:extLst>
        </xdr:cNvPr>
        <xdr:cNvCxnSpPr/>
      </xdr:nvCxnSpPr>
      <xdr:spPr>
        <a:xfrm rot="10800000" flipV="1">
          <a:off x="4015317" y="4886322"/>
          <a:ext cx="660401" cy="171452"/>
        </a:xfrm>
        <a:prstGeom prst="bentConnector3">
          <a:avLst>
            <a:gd name="adj1" fmla="val 4354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497417</xdr:colOff>
      <xdr:row>27</xdr:row>
      <xdr:rowOff>84666</xdr:rowOff>
    </xdr:from>
    <xdr:to>
      <xdr:col>6</xdr:col>
      <xdr:colOff>285750</xdr:colOff>
      <xdr:row>29</xdr:row>
      <xdr:rowOff>95250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A768BE26-9A04-4B04-BD66-4B3A62C4490C}"/>
            </a:ext>
          </a:extLst>
        </xdr:cNvPr>
        <xdr:cNvCxnSpPr/>
      </xdr:nvCxnSpPr>
      <xdr:spPr>
        <a:xfrm rot="10800000">
          <a:off x="3640667" y="4704291"/>
          <a:ext cx="416983" cy="35348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31751</xdr:colOff>
      <xdr:row>49</xdr:row>
      <xdr:rowOff>158750</xdr:rowOff>
    </xdr:from>
    <xdr:to>
      <xdr:col>32</xdr:col>
      <xdr:colOff>58210</xdr:colOff>
      <xdr:row>75</xdr:row>
      <xdr:rowOff>137583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C49172E-6167-A1CD-0185-C5BD71C7D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0084" y="8445500"/>
          <a:ext cx="2524125" cy="4381500"/>
        </a:xfrm>
        <a:prstGeom prst="rect">
          <a:avLst/>
        </a:prstGeom>
      </xdr:spPr>
    </xdr:pic>
    <xdr:clientData/>
  </xdr:twoCellAnchor>
  <xdr:twoCellAnchor editAs="oneCell">
    <xdr:from>
      <xdr:col>20</xdr:col>
      <xdr:colOff>21166</xdr:colOff>
      <xdr:row>49</xdr:row>
      <xdr:rowOff>158751</xdr:rowOff>
    </xdr:from>
    <xdr:to>
      <xdr:col>24</xdr:col>
      <xdr:colOff>47624</xdr:colOff>
      <xdr:row>75</xdr:row>
      <xdr:rowOff>137584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363E3C7-FA59-A0B7-809B-A119B95B9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04833" y="8445501"/>
          <a:ext cx="2524125" cy="438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2</xdr:row>
      <xdr:rowOff>51859</xdr:rowOff>
    </xdr:from>
    <xdr:to>
      <xdr:col>11</xdr:col>
      <xdr:colOff>560492</xdr:colOff>
      <xdr:row>10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233FF9-813B-4FC7-8E63-F0D17EA63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42337</xdr:colOff>
      <xdr:row>2</xdr:row>
      <xdr:rowOff>41276</xdr:rowOff>
    </xdr:from>
    <xdr:to>
      <xdr:col>3</xdr:col>
      <xdr:colOff>592247</xdr:colOff>
      <xdr:row>10</xdr:row>
      <xdr:rowOff>58209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38AF6D-6439-41B1-9F64-CAAEBC61D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21167</xdr:colOff>
      <xdr:row>2</xdr:row>
      <xdr:rowOff>41274</xdr:rowOff>
    </xdr:from>
    <xdr:to>
      <xdr:col>7</xdr:col>
      <xdr:colOff>571077</xdr:colOff>
      <xdr:row>10</xdr:row>
      <xdr:rowOff>58207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C2080A-CB41-42F9-BF8B-302F58555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10584</xdr:colOff>
      <xdr:row>2</xdr:row>
      <xdr:rowOff>41273</xdr:rowOff>
    </xdr:from>
    <xdr:to>
      <xdr:col>15</xdr:col>
      <xdr:colOff>560494</xdr:colOff>
      <xdr:row>10</xdr:row>
      <xdr:rowOff>58206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4E071F-448B-4007-9B07-B79FCE7CF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243417</xdr:colOff>
      <xdr:row>28</xdr:row>
      <xdr:rowOff>95247</xdr:rowOff>
    </xdr:from>
    <xdr:to>
      <xdr:col>7</xdr:col>
      <xdr:colOff>275168</xdr:colOff>
      <xdr:row>29</xdr:row>
      <xdr:rowOff>95249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E7F595D2-F6CA-47C1-B153-C78D991A9352}"/>
            </a:ext>
          </a:extLst>
        </xdr:cNvPr>
        <xdr:cNvCxnSpPr/>
      </xdr:nvCxnSpPr>
      <xdr:spPr>
        <a:xfrm rot="10800000" flipV="1">
          <a:off x="4015317" y="4886322"/>
          <a:ext cx="660401" cy="171452"/>
        </a:xfrm>
        <a:prstGeom prst="bentConnector3">
          <a:avLst>
            <a:gd name="adj1" fmla="val 4354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497417</xdr:colOff>
      <xdr:row>27</xdr:row>
      <xdr:rowOff>84666</xdr:rowOff>
    </xdr:from>
    <xdr:to>
      <xdr:col>6</xdr:col>
      <xdr:colOff>285750</xdr:colOff>
      <xdr:row>29</xdr:row>
      <xdr:rowOff>95250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FD9EBC7E-7FF2-489B-AF1B-3C793A8874D5}"/>
            </a:ext>
          </a:extLst>
        </xdr:cNvPr>
        <xdr:cNvCxnSpPr/>
      </xdr:nvCxnSpPr>
      <xdr:spPr>
        <a:xfrm rot="10800000">
          <a:off x="3640667" y="4704291"/>
          <a:ext cx="416983" cy="35348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2</xdr:row>
      <xdr:rowOff>51859</xdr:rowOff>
    </xdr:from>
    <xdr:to>
      <xdr:col>11</xdr:col>
      <xdr:colOff>560492</xdr:colOff>
      <xdr:row>10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A2B0E3-C48B-4B90-8340-6636E98BD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42337</xdr:colOff>
      <xdr:row>2</xdr:row>
      <xdr:rowOff>41276</xdr:rowOff>
    </xdr:from>
    <xdr:to>
      <xdr:col>3</xdr:col>
      <xdr:colOff>592247</xdr:colOff>
      <xdr:row>10</xdr:row>
      <xdr:rowOff>58209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F5C2AB-0248-4CC0-ACA0-E8C501283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21167</xdr:colOff>
      <xdr:row>2</xdr:row>
      <xdr:rowOff>41274</xdr:rowOff>
    </xdr:from>
    <xdr:to>
      <xdr:col>7</xdr:col>
      <xdr:colOff>571077</xdr:colOff>
      <xdr:row>10</xdr:row>
      <xdr:rowOff>58207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0E108A-AECB-45FC-80C3-EA1C227FD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10584</xdr:colOff>
      <xdr:row>2</xdr:row>
      <xdr:rowOff>41273</xdr:rowOff>
    </xdr:from>
    <xdr:to>
      <xdr:col>15</xdr:col>
      <xdr:colOff>560494</xdr:colOff>
      <xdr:row>10</xdr:row>
      <xdr:rowOff>58206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B7690E-57B5-43D5-806F-7C2E5CBB5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243417</xdr:colOff>
      <xdr:row>28</xdr:row>
      <xdr:rowOff>95247</xdr:rowOff>
    </xdr:from>
    <xdr:to>
      <xdr:col>7</xdr:col>
      <xdr:colOff>275168</xdr:colOff>
      <xdr:row>29</xdr:row>
      <xdr:rowOff>95249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648B23EA-3B1B-4428-91ED-20879FCF66B0}"/>
            </a:ext>
          </a:extLst>
        </xdr:cNvPr>
        <xdr:cNvCxnSpPr/>
      </xdr:nvCxnSpPr>
      <xdr:spPr>
        <a:xfrm rot="10800000" flipV="1">
          <a:off x="4015317" y="4886322"/>
          <a:ext cx="660401" cy="171452"/>
        </a:xfrm>
        <a:prstGeom prst="bentConnector3">
          <a:avLst>
            <a:gd name="adj1" fmla="val 4354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497417</xdr:colOff>
      <xdr:row>27</xdr:row>
      <xdr:rowOff>84666</xdr:rowOff>
    </xdr:from>
    <xdr:to>
      <xdr:col>6</xdr:col>
      <xdr:colOff>285750</xdr:colOff>
      <xdr:row>29</xdr:row>
      <xdr:rowOff>95250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D885E422-1F41-4A61-94B6-12D024F52972}"/>
            </a:ext>
          </a:extLst>
        </xdr:cNvPr>
        <xdr:cNvCxnSpPr/>
      </xdr:nvCxnSpPr>
      <xdr:spPr>
        <a:xfrm rot="10800000">
          <a:off x="3640667" y="4704291"/>
          <a:ext cx="416983" cy="35348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2</xdr:row>
      <xdr:rowOff>51859</xdr:rowOff>
    </xdr:from>
    <xdr:to>
      <xdr:col>11</xdr:col>
      <xdr:colOff>560492</xdr:colOff>
      <xdr:row>10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91293C-224C-46D6-978E-8443A12EB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42337</xdr:colOff>
      <xdr:row>2</xdr:row>
      <xdr:rowOff>41276</xdr:rowOff>
    </xdr:from>
    <xdr:to>
      <xdr:col>3</xdr:col>
      <xdr:colOff>592247</xdr:colOff>
      <xdr:row>10</xdr:row>
      <xdr:rowOff>58209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058740-52B7-4A3C-A897-267213233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21167</xdr:colOff>
      <xdr:row>2</xdr:row>
      <xdr:rowOff>41274</xdr:rowOff>
    </xdr:from>
    <xdr:to>
      <xdr:col>7</xdr:col>
      <xdr:colOff>571077</xdr:colOff>
      <xdr:row>10</xdr:row>
      <xdr:rowOff>58207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AB3760-7EEC-4451-821C-1D582BC9E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10584</xdr:colOff>
      <xdr:row>2</xdr:row>
      <xdr:rowOff>41273</xdr:rowOff>
    </xdr:from>
    <xdr:to>
      <xdr:col>15</xdr:col>
      <xdr:colOff>560494</xdr:colOff>
      <xdr:row>10</xdr:row>
      <xdr:rowOff>58206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B3F025-AD9B-4978-95F4-FA115DAAF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243417</xdr:colOff>
      <xdr:row>28</xdr:row>
      <xdr:rowOff>95247</xdr:rowOff>
    </xdr:from>
    <xdr:to>
      <xdr:col>7</xdr:col>
      <xdr:colOff>275168</xdr:colOff>
      <xdr:row>29</xdr:row>
      <xdr:rowOff>95249</xdr:rowOff>
    </xdr:to>
    <xdr:cxnSp macro="">
      <xdr:nvCxnSpPr>
        <xdr:cNvPr id="11" name="Connector: Elbow 10">
          <a:extLst>
            <a:ext uri="{FF2B5EF4-FFF2-40B4-BE49-F238E27FC236}">
              <a16:creationId xmlns:a16="http://schemas.microsoft.com/office/drawing/2014/main" id="{AF4F6A06-26E8-BB57-E01F-BFA5966ED164}"/>
            </a:ext>
          </a:extLst>
        </xdr:cNvPr>
        <xdr:cNvCxnSpPr/>
      </xdr:nvCxnSpPr>
      <xdr:spPr>
        <a:xfrm rot="10800000" flipV="1">
          <a:off x="3989917" y="4825997"/>
          <a:ext cx="656168" cy="169335"/>
        </a:xfrm>
        <a:prstGeom prst="bentConnector3">
          <a:avLst>
            <a:gd name="adj1" fmla="val 4354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497417</xdr:colOff>
      <xdr:row>27</xdr:row>
      <xdr:rowOff>84666</xdr:rowOff>
    </xdr:from>
    <xdr:to>
      <xdr:col>6</xdr:col>
      <xdr:colOff>285750</xdr:colOff>
      <xdr:row>29</xdr:row>
      <xdr:rowOff>95250</xdr:rowOff>
    </xdr:to>
    <xdr:cxnSp macro="">
      <xdr:nvCxnSpPr>
        <xdr:cNvPr id="13" name="Connector: Elbow 12">
          <a:extLst>
            <a:ext uri="{FF2B5EF4-FFF2-40B4-BE49-F238E27FC236}">
              <a16:creationId xmlns:a16="http://schemas.microsoft.com/office/drawing/2014/main" id="{6B25071A-9789-E393-9D38-6BD41EA76F59}"/>
            </a:ext>
          </a:extLst>
        </xdr:cNvPr>
        <xdr:cNvCxnSpPr/>
      </xdr:nvCxnSpPr>
      <xdr:spPr>
        <a:xfrm rot="10800000">
          <a:off x="3619500" y="4646083"/>
          <a:ext cx="412750" cy="34925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2</xdr:row>
      <xdr:rowOff>51859</xdr:rowOff>
    </xdr:from>
    <xdr:to>
      <xdr:col>11</xdr:col>
      <xdr:colOff>560492</xdr:colOff>
      <xdr:row>10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4A59E-3BC6-4896-BFC3-BE4DDA61B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42337</xdr:colOff>
      <xdr:row>2</xdr:row>
      <xdr:rowOff>41276</xdr:rowOff>
    </xdr:from>
    <xdr:to>
      <xdr:col>3</xdr:col>
      <xdr:colOff>592247</xdr:colOff>
      <xdr:row>10</xdr:row>
      <xdr:rowOff>58209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C807C3-DA23-4831-913E-5048A77B9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21167</xdr:colOff>
      <xdr:row>2</xdr:row>
      <xdr:rowOff>41274</xdr:rowOff>
    </xdr:from>
    <xdr:to>
      <xdr:col>7</xdr:col>
      <xdr:colOff>571077</xdr:colOff>
      <xdr:row>10</xdr:row>
      <xdr:rowOff>58207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5C177F-EB7D-4030-9001-DC63FE86F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10584</xdr:colOff>
      <xdr:row>2</xdr:row>
      <xdr:rowOff>41273</xdr:rowOff>
    </xdr:from>
    <xdr:to>
      <xdr:col>15</xdr:col>
      <xdr:colOff>560494</xdr:colOff>
      <xdr:row>10</xdr:row>
      <xdr:rowOff>58206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1D5D90-B560-4165-A686-5C8DD8D0F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243417</xdr:colOff>
      <xdr:row>28</xdr:row>
      <xdr:rowOff>95247</xdr:rowOff>
    </xdr:from>
    <xdr:to>
      <xdr:col>7</xdr:col>
      <xdr:colOff>275168</xdr:colOff>
      <xdr:row>29</xdr:row>
      <xdr:rowOff>95249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95A51704-5508-4CB5-B9F3-1F69DB66CA49}"/>
            </a:ext>
          </a:extLst>
        </xdr:cNvPr>
        <xdr:cNvCxnSpPr/>
      </xdr:nvCxnSpPr>
      <xdr:spPr>
        <a:xfrm rot="10800000" flipV="1">
          <a:off x="3989917" y="4825997"/>
          <a:ext cx="656168" cy="169335"/>
        </a:xfrm>
        <a:prstGeom prst="bentConnector3">
          <a:avLst>
            <a:gd name="adj1" fmla="val 4354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497417</xdr:colOff>
      <xdr:row>27</xdr:row>
      <xdr:rowOff>84666</xdr:rowOff>
    </xdr:from>
    <xdr:to>
      <xdr:col>6</xdr:col>
      <xdr:colOff>285750</xdr:colOff>
      <xdr:row>29</xdr:row>
      <xdr:rowOff>95250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AEFDAF6B-48F3-4CD5-A60E-1E7C2F0276CD}"/>
            </a:ext>
          </a:extLst>
        </xdr:cNvPr>
        <xdr:cNvCxnSpPr/>
      </xdr:nvCxnSpPr>
      <xdr:spPr>
        <a:xfrm rot="10800000">
          <a:off x="3619500" y="4646083"/>
          <a:ext cx="412750" cy="34925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232833</xdr:colOff>
      <xdr:row>21</xdr:row>
      <xdr:rowOff>125941</xdr:rowOff>
    </xdr:from>
    <xdr:to>
      <xdr:col>38</xdr:col>
      <xdr:colOff>148167</xdr:colOff>
      <xdr:row>38</xdr:row>
      <xdr:rowOff>75141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968893-6CC5-58BD-524F-AF43D56E8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211667</xdr:colOff>
      <xdr:row>123</xdr:row>
      <xdr:rowOff>12550</xdr:rowOff>
    </xdr:from>
    <xdr:to>
      <xdr:col>25</xdr:col>
      <xdr:colOff>567267</xdr:colOff>
      <xdr:row>133</xdr:row>
      <xdr:rowOff>190350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6BD3C0-4B47-8E3D-C203-2B5ED0131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243418</xdr:colOff>
      <xdr:row>126</xdr:row>
      <xdr:rowOff>116419</xdr:rowOff>
    </xdr:from>
    <xdr:to>
      <xdr:col>14</xdr:col>
      <xdr:colOff>116418</xdr:colOff>
      <xdr:row>139</xdr:row>
      <xdr:rowOff>179918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FF3F16F-BD3B-80F2-689F-688838B51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201084</xdr:colOff>
      <xdr:row>124</xdr:row>
      <xdr:rowOff>84666</xdr:rowOff>
    </xdr:from>
    <xdr:to>
      <xdr:col>39</xdr:col>
      <xdr:colOff>455084</xdr:colOff>
      <xdr:row>142</xdr:row>
      <xdr:rowOff>116415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68FBE0D-67E9-562D-D2D0-7C748F0D4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359833</xdr:colOff>
      <xdr:row>148</xdr:row>
      <xdr:rowOff>74084</xdr:rowOff>
    </xdr:from>
    <xdr:to>
      <xdr:col>21</xdr:col>
      <xdr:colOff>359833</xdr:colOff>
      <xdr:row>150</xdr:row>
      <xdr:rowOff>10584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50CE1FC1-2F78-74DF-E806-6803EF6932D8}"/>
            </a:ext>
          </a:extLst>
        </xdr:cNvPr>
        <xdr:cNvSpPr/>
      </xdr:nvSpPr>
      <xdr:spPr>
        <a:xfrm rot="16200000">
          <a:off x="12943417" y="23272750"/>
          <a:ext cx="254000" cy="2878667"/>
        </a:xfrm>
        <a:prstGeom prst="rightBrace">
          <a:avLst>
            <a:gd name="adj1" fmla="val 8333"/>
            <a:gd name="adj2" fmla="val 503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116418</xdr:colOff>
      <xdr:row>175</xdr:row>
      <xdr:rowOff>41274</xdr:rowOff>
    </xdr:from>
    <xdr:to>
      <xdr:col>53</xdr:col>
      <xdr:colOff>158750</xdr:colOff>
      <xdr:row>195</xdr:row>
      <xdr:rowOff>31750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738D34B-332E-16F3-E95E-EA9D04267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169333</xdr:colOff>
      <xdr:row>0</xdr:row>
      <xdr:rowOff>63498</xdr:rowOff>
    </xdr:from>
    <xdr:to>
      <xdr:col>21</xdr:col>
      <xdr:colOff>457200</xdr:colOff>
      <xdr:row>9</xdr:row>
      <xdr:rowOff>6348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B7AAA2-DC40-4313-9B4F-A7C89D251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338665</xdr:colOff>
      <xdr:row>0</xdr:row>
      <xdr:rowOff>94190</xdr:rowOff>
    </xdr:from>
    <xdr:to>
      <xdr:col>5</xdr:col>
      <xdr:colOff>12698</xdr:colOff>
      <xdr:row>9</xdr:row>
      <xdr:rowOff>37040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1039C3-F61A-4550-BB1C-9C03915B3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571499</xdr:colOff>
      <xdr:row>0</xdr:row>
      <xdr:rowOff>95250</xdr:rowOff>
    </xdr:from>
    <xdr:to>
      <xdr:col>10</xdr:col>
      <xdr:colOff>245533</xdr:colOff>
      <xdr:row>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0D252D-E2B0-4208-9A2E-B732A4ABA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52917</xdr:colOff>
      <xdr:row>0</xdr:row>
      <xdr:rowOff>51857</xdr:rowOff>
    </xdr:from>
    <xdr:to>
      <xdr:col>26</xdr:col>
      <xdr:colOff>340783</xdr:colOff>
      <xdr:row>8</xdr:row>
      <xdr:rowOff>153457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43A2DF-0726-449B-BC64-C82E7EE4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507999</xdr:colOff>
      <xdr:row>1</xdr:row>
      <xdr:rowOff>105833</xdr:rowOff>
    </xdr:from>
    <xdr:to>
      <xdr:col>15</xdr:col>
      <xdr:colOff>576791</xdr:colOff>
      <xdr:row>27</xdr:row>
      <xdr:rowOff>105833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CCBE9B-0D51-455B-B067-FA78BD4A9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599" y="267758"/>
          <a:ext cx="2507192" cy="4438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169333</xdr:colOff>
      <xdr:row>0</xdr:row>
      <xdr:rowOff>63498</xdr:rowOff>
    </xdr:from>
    <xdr:to>
      <xdr:col>21</xdr:col>
      <xdr:colOff>457200</xdr:colOff>
      <xdr:row>9</xdr:row>
      <xdr:rowOff>6348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F429E9-8265-47BA-9510-A3215ADCF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338665</xdr:colOff>
      <xdr:row>0</xdr:row>
      <xdr:rowOff>94190</xdr:rowOff>
    </xdr:from>
    <xdr:to>
      <xdr:col>5</xdr:col>
      <xdr:colOff>12698</xdr:colOff>
      <xdr:row>9</xdr:row>
      <xdr:rowOff>37040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7C2CD2-AC80-4AF5-9ACA-E7992F81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571499</xdr:colOff>
      <xdr:row>0</xdr:row>
      <xdr:rowOff>95250</xdr:rowOff>
    </xdr:from>
    <xdr:to>
      <xdr:col>10</xdr:col>
      <xdr:colOff>245533</xdr:colOff>
      <xdr:row>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22E611-2796-407C-8129-3948764F0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52917</xdr:colOff>
      <xdr:row>0</xdr:row>
      <xdr:rowOff>51857</xdr:rowOff>
    </xdr:from>
    <xdr:to>
      <xdr:col>26</xdr:col>
      <xdr:colOff>340783</xdr:colOff>
      <xdr:row>8</xdr:row>
      <xdr:rowOff>153457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43750D-FFAE-426C-923E-E03B99ACF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507999</xdr:colOff>
      <xdr:row>1</xdr:row>
      <xdr:rowOff>105833</xdr:rowOff>
    </xdr:from>
    <xdr:to>
      <xdr:col>15</xdr:col>
      <xdr:colOff>576791</xdr:colOff>
      <xdr:row>27</xdr:row>
      <xdr:rowOff>105833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A9208D7-A626-6591-3C73-1865D2C5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0166" y="264583"/>
          <a:ext cx="2524125" cy="4381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444500</xdr:colOff>
      <xdr:row>0</xdr:row>
      <xdr:rowOff>125940</xdr:rowOff>
    </xdr:from>
    <xdr:to>
      <xdr:col>38</xdr:col>
      <xdr:colOff>465666</xdr:colOff>
      <xdr:row>11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0903FA-9C17-13D2-B1A0-9DDB5CD51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328082</xdr:colOff>
      <xdr:row>93</xdr:row>
      <xdr:rowOff>115356</xdr:rowOff>
    </xdr:from>
    <xdr:to>
      <xdr:col>25</xdr:col>
      <xdr:colOff>264582</xdr:colOff>
      <xdr:row>112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11C0E6-9450-6DE0-9D5A-1A4007F34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509866</xdr:colOff>
      <xdr:row>142</xdr:row>
      <xdr:rowOff>40340</xdr:rowOff>
    </xdr:from>
    <xdr:to>
      <xdr:col>10</xdr:col>
      <xdr:colOff>61631</xdr:colOff>
      <xdr:row>156</xdr:row>
      <xdr:rowOff>116540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CC1B9-186E-4E0F-8182-9AADC953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423334</xdr:colOff>
      <xdr:row>12</xdr:row>
      <xdr:rowOff>95250</xdr:rowOff>
    </xdr:from>
    <xdr:to>
      <xdr:col>1</xdr:col>
      <xdr:colOff>687917</xdr:colOff>
      <xdr:row>12</xdr:row>
      <xdr:rowOff>102212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BB34B90-73C2-4AAC-87AB-87A6F2F3CCF2}"/>
            </a:ext>
          </a:extLst>
        </xdr:cNvPr>
        <xdr:cNvCxnSpPr/>
      </xdr:nvCxnSpPr>
      <xdr:spPr>
        <a:xfrm>
          <a:off x="423334" y="2381250"/>
          <a:ext cx="264583" cy="6962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321469</xdr:colOff>
      <xdr:row>23</xdr:row>
      <xdr:rowOff>51594</xdr:rowOff>
    </xdr:from>
    <xdr:to>
      <xdr:col>6</xdr:col>
      <xdr:colOff>300301</xdr:colOff>
      <xdr:row>31</xdr:row>
      <xdr:rowOff>107156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724F2B99-EE95-DEF0-DCAD-FA282B06F835}"/>
            </a:ext>
          </a:extLst>
        </xdr:cNvPr>
        <xdr:cNvCxnSpPr/>
      </xdr:nvCxnSpPr>
      <xdr:spPr>
        <a:xfrm flipH="1">
          <a:off x="2464594" y="4433094"/>
          <a:ext cx="2121957" cy="1579562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399521</xdr:colOff>
      <xdr:row>10</xdr:row>
      <xdr:rowOff>71437</xdr:rowOff>
    </xdr:from>
    <xdr:to>
      <xdr:col>6</xdr:col>
      <xdr:colOff>399521</xdr:colOff>
      <xdr:row>12</xdr:row>
      <xdr:rowOff>2646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CA9CF74-0139-128F-FA8B-A8F6EAF16549}"/>
            </a:ext>
          </a:extLst>
        </xdr:cNvPr>
        <xdr:cNvCxnSpPr/>
      </xdr:nvCxnSpPr>
      <xdr:spPr>
        <a:xfrm>
          <a:off x="4685771" y="1976437"/>
          <a:ext cx="0" cy="3122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D3F8-A499-4918-A6BC-14CE7D836C0B}">
  <sheetPr transitionEvaluation="1" transitionEntry="1">
    <pageSetUpPr fitToPage="1"/>
  </sheetPr>
  <dimension ref="A1:AU160"/>
  <sheetViews>
    <sheetView showGridLines="0" zoomScale="90" zoomScaleNormal="90" zoomScaleSheetLayoutView="80" workbookViewId="0"/>
  </sheetViews>
  <sheetFormatPr defaultRowHeight="12.75" x14ac:dyDescent="0.2"/>
  <cols>
    <col min="1" max="33" width="9.42578125" customWidth="1"/>
    <col min="34" max="38" width="10.7109375" customWidth="1"/>
    <col min="39" max="44" width="9.7109375" customWidth="1"/>
    <col min="45" max="48" width="10.7109375" customWidth="1"/>
    <col min="49" max="49" width="13" customWidth="1"/>
    <col min="50" max="50" width="13.5703125" customWidth="1"/>
    <col min="51" max="51" width="12.5703125" customWidth="1"/>
    <col min="52" max="52" width="10.7109375" customWidth="1"/>
    <col min="53" max="54" width="12.140625" customWidth="1"/>
    <col min="55" max="55" width="14.140625" customWidth="1"/>
    <col min="56" max="59" width="10.7109375" customWidth="1"/>
    <col min="60" max="63" width="12.7109375" customWidth="1"/>
    <col min="64" max="73" width="10.7109375" customWidth="1"/>
  </cols>
  <sheetData>
    <row r="1" spans="1:47" x14ac:dyDescent="0.2">
      <c r="Q1" s="312" t="s">
        <v>27</v>
      </c>
      <c r="R1" s="313"/>
      <c r="S1" s="313"/>
      <c r="T1" s="314" t="s">
        <v>195</v>
      </c>
      <c r="U1" s="313"/>
      <c r="V1" s="313"/>
      <c r="W1" s="313"/>
      <c r="X1" s="313"/>
      <c r="Y1" s="315"/>
      <c r="AU1" t="s">
        <v>7</v>
      </c>
    </row>
    <row r="2" spans="1:47" ht="14.1" customHeight="1" x14ac:dyDescent="0.2">
      <c r="A2" t="s">
        <v>198</v>
      </c>
    </row>
    <row r="3" spans="1:47" ht="14.1" customHeight="1" x14ac:dyDescent="0.2"/>
    <row r="4" spans="1:47" ht="14.1" customHeight="1" x14ac:dyDescent="0.2">
      <c r="Q4" s="284">
        <v>2.5150000000000001</v>
      </c>
      <c r="R4" s="285" t="s">
        <v>10</v>
      </c>
      <c r="S4" s="286"/>
      <c r="T4" s="286"/>
      <c r="U4" s="287"/>
      <c r="V4" s="208" t="s">
        <v>186</v>
      </c>
    </row>
    <row r="5" spans="1:47" ht="14.1" customHeight="1" x14ac:dyDescent="0.2">
      <c r="Q5" s="288">
        <v>4.55</v>
      </c>
      <c r="R5" s="157" t="s">
        <v>0</v>
      </c>
      <c r="S5" s="9"/>
      <c r="T5" s="9"/>
      <c r="U5" s="289"/>
      <c r="V5" t="s">
        <v>177</v>
      </c>
    </row>
    <row r="6" spans="1:47" ht="14.1" customHeight="1" x14ac:dyDescent="0.2">
      <c r="Q6" s="288">
        <v>85</v>
      </c>
      <c r="R6" s="156" t="s">
        <v>1</v>
      </c>
      <c r="S6" s="9"/>
      <c r="T6" s="9"/>
      <c r="U6" s="289"/>
      <c r="V6" s="271" t="s">
        <v>178</v>
      </c>
    </row>
    <row r="7" spans="1:47" ht="14.1" customHeight="1" x14ac:dyDescent="0.25">
      <c r="Q7" s="290">
        <f>(Q5*2.20462*25.4*12)</f>
        <v>3057.4552007999996</v>
      </c>
      <c r="R7" s="58" t="s">
        <v>14</v>
      </c>
      <c r="S7" s="9"/>
      <c r="T7" s="9"/>
      <c r="U7" s="289"/>
      <c r="V7" s="88" t="s">
        <v>179</v>
      </c>
      <c r="W7" s="88"/>
    </row>
    <row r="8" spans="1:47" ht="14.1" customHeight="1" x14ac:dyDescent="0.2">
      <c r="Q8" s="291"/>
      <c r="R8" s="9"/>
      <c r="S8" s="9"/>
      <c r="T8" s="9"/>
      <c r="U8" s="289"/>
    </row>
    <row r="9" spans="1:47" ht="14.1" customHeight="1" x14ac:dyDescent="0.2">
      <c r="Q9" s="292" t="s">
        <v>3</v>
      </c>
      <c r="R9" s="18" t="s">
        <v>2</v>
      </c>
      <c r="S9" s="18" t="s">
        <v>3</v>
      </c>
      <c r="T9" s="21" t="s">
        <v>5</v>
      </c>
      <c r="U9" s="293" t="s">
        <v>4</v>
      </c>
      <c r="V9" s="88" t="s">
        <v>171</v>
      </c>
      <c r="W9" s="88"/>
    </row>
    <row r="10" spans="1:47" ht="14.1" customHeight="1" x14ac:dyDescent="0.2">
      <c r="Q10" s="294"/>
      <c r="R10" s="16">
        <v>1</v>
      </c>
      <c r="S10" s="140">
        <v>33.561842105263182</v>
      </c>
      <c r="T10" s="27">
        <f>S10/R10</f>
        <v>33.561842105263182</v>
      </c>
      <c r="U10" s="295">
        <f t="shared" ref="U10:U19" si="0">SQRT(12*32.2*T10^2/(4*$Q$6*($Q$5*56)*$Q$4^2))</f>
        <v>0.89122464805571744</v>
      </c>
      <c r="V10" s="271" t="s">
        <v>172</v>
      </c>
      <c r="W10" s="88"/>
    </row>
    <row r="11" spans="1:47" ht="14.1" customHeight="1" x14ac:dyDescent="0.2">
      <c r="Q11" s="296"/>
      <c r="R11" s="26">
        <v>2</v>
      </c>
      <c r="S11" s="141">
        <v>55.500000000000021</v>
      </c>
      <c r="T11" s="28">
        <f t="shared" ref="T11:T19" si="1">S11/R11</f>
        <v>27.750000000000011</v>
      </c>
      <c r="U11" s="302">
        <f t="shared" si="0"/>
        <v>0.73689292458913536</v>
      </c>
      <c r="V11" s="88"/>
      <c r="W11" s="271" t="s">
        <v>176</v>
      </c>
    </row>
    <row r="12" spans="1:47" ht="14.1" customHeight="1" x14ac:dyDescent="0.2">
      <c r="A12" t="s">
        <v>198</v>
      </c>
      <c r="Q12" s="294"/>
      <c r="R12" s="16">
        <v>3</v>
      </c>
      <c r="S12" s="140">
        <v>77.438157894736861</v>
      </c>
      <c r="T12" s="27">
        <f t="shared" si="1"/>
        <v>25.812719298245622</v>
      </c>
      <c r="U12" s="295">
        <f t="shared" si="0"/>
        <v>0.68544901676694137</v>
      </c>
      <c r="V12" s="88"/>
      <c r="W12" s="271" t="s">
        <v>175</v>
      </c>
    </row>
    <row r="13" spans="1:47" ht="14.1" customHeight="1" x14ac:dyDescent="0.2">
      <c r="B13" s="1" t="s">
        <v>213</v>
      </c>
      <c r="K13" s="347" t="s">
        <v>225</v>
      </c>
      <c r="L13" s="348"/>
      <c r="M13" s="349"/>
      <c r="Q13" s="294"/>
      <c r="R13" s="16">
        <v>4</v>
      </c>
      <c r="S13" s="140">
        <v>99.376315789473708</v>
      </c>
      <c r="T13" s="27">
        <f t="shared" si="1"/>
        <v>24.844078947368427</v>
      </c>
      <c r="U13" s="295">
        <f t="shared" si="0"/>
        <v>0.65972706285584437</v>
      </c>
      <c r="V13" s="88"/>
      <c r="W13" s="88" t="s">
        <v>173</v>
      </c>
    </row>
    <row r="14" spans="1:47" ht="14.1" customHeight="1" x14ac:dyDescent="0.2">
      <c r="B14" s="339" t="s">
        <v>223</v>
      </c>
      <c r="K14" s="356" t="s">
        <v>229</v>
      </c>
      <c r="L14" s="6">
        <v>0.56999999999999995</v>
      </c>
      <c r="M14" s="355" t="s">
        <v>228</v>
      </c>
      <c r="Q14" s="296"/>
      <c r="R14" s="26">
        <v>5</v>
      </c>
      <c r="S14" s="141">
        <v>121.31447368421055</v>
      </c>
      <c r="T14" s="28">
        <f t="shared" si="1"/>
        <v>24.26289473684211</v>
      </c>
      <c r="U14" s="302">
        <f t="shared" si="0"/>
        <v>0.64429389050918606</v>
      </c>
      <c r="V14" s="88"/>
      <c r="W14" s="88" t="s">
        <v>174</v>
      </c>
    </row>
    <row r="15" spans="1:47" ht="14.1" customHeight="1" x14ac:dyDescent="0.2">
      <c r="B15" s="339" t="s">
        <v>224</v>
      </c>
      <c r="K15" s="350">
        <v>47</v>
      </c>
      <c r="L15" s="346">
        <f>K15*L$14</f>
        <v>26.79</v>
      </c>
      <c r="M15" s="351">
        <v>27</v>
      </c>
      <c r="Q15" s="294"/>
      <c r="R15" s="16">
        <v>10</v>
      </c>
      <c r="S15" s="140">
        <v>231.00526315789477</v>
      </c>
      <c r="T15" s="27">
        <f t="shared" si="1"/>
        <v>23.100526315789477</v>
      </c>
      <c r="U15" s="295">
        <f t="shared" si="0"/>
        <v>0.61342754581586967</v>
      </c>
    </row>
    <row r="16" spans="1:47" ht="14.1" customHeight="1" x14ac:dyDescent="0.2">
      <c r="B16" s="339" t="s">
        <v>227</v>
      </c>
      <c r="K16" s="350">
        <v>51</v>
      </c>
      <c r="L16" s="346">
        <f>K16*L$14</f>
        <v>29.069999999999997</v>
      </c>
      <c r="M16" s="351">
        <v>29</v>
      </c>
      <c r="Q16" s="294"/>
      <c r="R16" s="16">
        <v>20</v>
      </c>
      <c r="S16" s="140">
        <v>450.38684210526321</v>
      </c>
      <c r="T16" s="27">
        <f t="shared" si="1"/>
        <v>22.51934210526316</v>
      </c>
      <c r="U16" s="295">
        <f t="shared" si="0"/>
        <v>0.59799437346921147</v>
      </c>
      <c r="V16" s="1" t="s">
        <v>169</v>
      </c>
      <c r="W16" s="1"/>
    </row>
    <row r="17" spans="1:43" ht="14.1" customHeight="1" x14ac:dyDescent="0.2">
      <c r="B17" s="339" t="s">
        <v>226</v>
      </c>
      <c r="K17" s="350">
        <v>55</v>
      </c>
      <c r="L17" s="346">
        <f>K17*L$14</f>
        <v>31.349999999999998</v>
      </c>
      <c r="M17" s="351">
        <v>31</v>
      </c>
      <c r="Q17" s="294"/>
      <c r="R17" s="16">
        <v>30</v>
      </c>
      <c r="S17" s="140">
        <v>669.76842105263165</v>
      </c>
      <c r="T17" s="27">
        <f t="shared" si="1"/>
        <v>22.325614035087721</v>
      </c>
      <c r="U17" s="295">
        <f t="shared" si="0"/>
        <v>0.59284998268699207</v>
      </c>
      <c r="V17" s="1" t="s">
        <v>165</v>
      </c>
    </row>
    <row r="18" spans="1:43" ht="14.1" customHeight="1" x14ac:dyDescent="0.2">
      <c r="B18" s="1"/>
      <c r="K18" s="350">
        <v>59</v>
      </c>
      <c r="L18" s="346">
        <f>K18*L$14</f>
        <v>33.629999999999995</v>
      </c>
      <c r="M18" s="351">
        <v>33</v>
      </c>
      <c r="Q18" s="296"/>
      <c r="R18" s="26">
        <v>40</v>
      </c>
      <c r="S18" s="141">
        <v>889.15000000000009</v>
      </c>
      <c r="T18" s="28">
        <f t="shared" si="1"/>
        <v>22.228750000000002</v>
      </c>
      <c r="U18" s="302">
        <f t="shared" si="0"/>
        <v>0.59027778729588243</v>
      </c>
      <c r="V18" s="1" t="s">
        <v>166</v>
      </c>
    </row>
    <row r="19" spans="1:43" ht="14.1" customHeight="1" x14ac:dyDescent="0.2">
      <c r="K19" s="352">
        <v>63</v>
      </c>
      <c r="L19" s="353">
        <f>K19*L$14</f>
        <v>35.909999999999997</v>
      </c>
      <c r="M19" s="354">
        <v>35</v>
      </c>
      <c r="Q19" s="297"/>
      <c r="R19" s="298">
        <v>50</v>
      </c>
      <c r="S19" s="299">
        <v>1108.5315789473684</v>
      </c>
      <c r="T19" s="300">
        <f t="shared" si="1"/>
        <v>22.170631578947368</v>
      </c>
      <c r="U19" s="301">
        <f t="shared" si="0"/>
        <v>0.58873447006121649</v>
      </c>
      <c r="V19" s="1" t="s">
        <v>167</v>
      </c>
    </row>
    <row r="20" spans="1:43" ht="14.1" customHeight="1" x14ac:dyDescent="0.25">
      <c r="A20" s="372" t="s">
        <v>249</v>
      </c>
      <c r="L20" s="42"/>
      <c r="M20" s="16"/>
      <c r="N20" s="140"/>
      <c r="O20" s="27"/>
      <c r="P20" s="44"/>
      <c r="Q20" s="46"/>
      <c r="R20" s="163"/>
      <c r="V20" s="270" t="s">
        <v>168</v>
      </c>
    </row>
    <row r="21" spans="1:43" ht="14.1" customHeight="1" x14ac:dyDescent="0.25">
      <c r="A21" s="372" t="s">
        <v>250</v>
      </c>
      <c r="N21" s="140"/>
      <c r="O21" s="27"/>
      <c r="P21" s="44"/>
      <c r="Q21" t="s">
        <v>187</v>
      </c>
      <c r="V21" s="1" t="s">
        <v>170</v>
      </c>
    </row>
    <row r="22" spans="1:43" ht="14.1" customHeight="1" x14ac:dyDescent="0.2">
      <c r="N22" s="140"/>
      <c r="O22" s="27"/>
      <c r="P22" s="44"/>
      <c r="Q22" s="1" t="s">
        <v>219</v>
      </c>
      <c r="T22" s="139" t="s">
        <v>217</v>
      </c>
    </row>
    <row r="23" spans="1:43" ht="14.1" customHeight="1" x14ac:dyDescent="0.2">
      <c r="A23" s="1" t="s">
        <v>190</v>
      </c>
      <c r="N23" s="140"/>
      <c r="O23" s="27"/>
      <c r="P23" s="44"/>
      <c r="Q23" s="1" t="s">
        <v>218</v>
      </c>
      <c r="T23" s="139" t="s">
        <v>215</v>
      </c>
    </row>
    <row r="24" spans="1:43" ht="14.1" customHeight="1" x14ac:dyDescent="0.2">
      <c r="A24" s="1" t="s">
        <v>192</v>
      </c>
      <c r="F24" s="242"/>
      <c r="L24" s="42"/>
      <c r="M24" s="16"/>
      <c r="N24" s="140"/>
      <c r="O24" s="27"/>
      <c r="P24" s="44"/>
      <c r="Q24" s="1" t="s">
        <v>216</v>
      </c>
      <c r="T24" s="340" t="s">
        <v>214</v>
      </c>
    </row>
    <row r="25" spans="1:43" ht="14.1" customHeight="1" x14ac:dyDescent="0.2">
      <c r="A25" s="1" t="s">
        <v>191</v>
      </c>
      <c r="E25" s="252"/>
      <c r="F25" s="252" t="s">
        <v>146</v>
      </c>
      <c r="K25" s="9"/>
    </row>
    <row r="26" spans="1:43" ht="14.1" customHeight="1" x14ac:dyDescent="0.25">
      <c r="B26" s="146" t="s">
        <v>65</v>
      </c>
      <c r="C26" s="146" t="s">
        <v>66</v>
      </c>
      <c r="E26" s="23" t="s">
        <v>65</v>
      </c>
      <c r="F26" s="23" t="s">
        <v>145</v>
      </c>
      <c r="G26" s="234" t="s">
        <v>126</v>
      </c>
      <c r="H26" s="244"/>
      <c r="I26" s="243"/>
      <c r="J26" s="243"/>
      <c r="K26" s="333" t="s">
        <v>199</v>
      </c>
      <c r="L26" s="334" t="s">
        <v>202</v>
      </c>
      <c r="M26" s="334" t="s">
        <v>203</v>
      </c>
      <c r="N26" s="335" t="s">
        <v>204</v>
      </c>
      <c r="O26" s="333" t="s">
        <v>205</v>
      </c>
      <c r="P26" s="334" t="s">
        <v>206</v>
      </c>
      <c r="Q26" s="334" t="s">
        <v>207</v>
      </c>
      <c r="R26" s="335" t="s">
        <v>208</v>
      </c>
      <c r="S26" s="333" t="s">
        <v>209</v>
      </c>
      <c r="T26" s="334" t="s">
        <v>210</v>
      </c>
      <c r="U26" s="334" t="s">
        <v>211</v>
      </c>
      <c r="V26" s="335" t="s">
        <v>212</v>
      </c>
    </row>
    <row r="27" spans="1:43" ht="14.1" customHeight="1" x14ac:dyDescent="0.2">
      <c r="B27" s="365">
        <v>2</v>
      </c>
      <c r="C27" s="6">
        <v>54.4</v>
      </c>
      <c r="E27" s="24">
        <v>2</v>
      </c>
      <c r="F27" s="149">
        <f>C27</f>
        <v>54.4</v>
      </c>
      <c r="G27" s="196" cm="1">
        <f t="array" ref="G27">_xlfn.SINGLE(INDEX(LINEST(F$27:F$29,(E$27:E$29)^{1,2}),1))</f>
        <v>9.7468149843584447E-17</v>
      </c>
      <c r="H27" s="274">
        <f>C55</f>
        <v>525.5</v>
      </c>
      <c r="I27" s="253" t="s">
        <v>148</v>
      </c>
      <c r="J27" s="243"/>
      <c r="K27" s="338"/>
      <c r="L27" s="6"/>
      <c r="M27" s="6"/>
      <c r="N27" s="345"/>
      <c r="O27" s="338"/>
      <c r="P27" s="6"/>
      <c r="Q27" s="6"/>
      <c r="R27" s="345"/>
      <c r="S27" s="338"/>
      <c r="T27" s="6"/>
      <c r="U27" s="6"/>
      <c r="V27" s="345"/>
    </row>
    <row r="28" spans="1:43" ht="14.1" customHeight="1" x14ac:dyDescent="0.2">
      <c r="B28" s="365">
        <v>40</v>
      </c>
      <c r="C28" s="6">
        <v>996.6</v>
      </c>
      <c r="D28" s="155"/>
      <c r="E28" s="24">
        <v>21</v>
      </c>
      <c r="F28" s="303">
        <f>H29</f>
        <v>525.5</v>
      </c>
      <c r="G28" s="196" cm="1">
        <f t="array" ref="G28">_xlfn.SINGLE(INDEX(LINEST(F$27:F$29,(E$27:E$29)^{1,2}),2))</f>
        <v>24.794736842105262</v>
      </c>
      <c r="H28" s="304">
        <v>0</v>
      </c>
      <c r="I28" s="253" t="s">
        <v>149</v>
      </c>
      <c r="J28" s="243"/>
      <c r="K28" s="338"/>
      <c r="L28" s="6"/>
      <c r="M28" s="6"/>
      <c r="N28" s="345"/>
      <c r="O28" s="338"/>
      <c r="P28" s="6"/>
      <c r="Q28" s="6"/>
      <c r="R28" s="345"/>
      <c r="S28" s="338"/>
      <c r="T28" s="6"/>
      <c r="U28" s="6"/>
      <c r="V28" s="345"/>
    </row>
    <row r="29" spans="1:43" ht="14.1" customHeight="1" x14ac:dyDescent="0.25">
      <c r="B29" s="282">
        <v>50</v>
      </c>
      <c r="C29" s="283">
        <f>C84</f>
        <v>1244.5473684210526</v>
      </c>
      <c r="D29" s="102"/>
      <c r="E29" s="24">
        <v>40</v>
      </c>
      <c r="F29" s="149">
        <f>C28</f>
        <v>996.6</v>
      </c>
      <c r="G29" s="196" cm="1">
        <f t="array" ref="G29">_xlfn.SINGLE(INDEX(LINEST(F$27:F$29,(E$27:E$29)^{1,2}),3))</f>
        <v>4.8105263157894358</v>
      </c>
      <c r="H29" s="305">
        <f>SUM(H27:H28)</f>
        <v>525.5</v>
      </c>
      <c r="I29" s="243"/>
      <c r="J29" s="243"/>
      <c r="K29" s="336">
        <v>0</v>
      </c>
      <c r="L29" s="337">
        <v>0</v>
      </c>
      <c r="M29" s="337">
        <v>0</v>
      </c>
      <c r="N29" s="344">
        <v>0</v>
      </c>
      <c r="O29" s="336">
        <v>0</v>
      </c>
      <c r="P29" s="337">
        <v>0</v>
      </c>
      <c r="Q29" s="337">
        <v>0</v>
      </c>
      <c r="R29" s="344">
        <v>0</v>
      </c>
      <c r="S29" s="336">
        <v>0</v>
      </c>
      <c r="T29" s="337">
        <v>0</v>
      </c>
      <c r="U29" s="337">
        <v>0</v>
      </c>
      <c r="V29" s="344">
        <v>0</v>
      </c>
      <c r="AO29" t="s">
        <v>152</v>
      </c>
    </row>
    <row r="30" spans="1:43" ht="14.1" customHeight="1" x14ac:dyDescent="0.2">
      <c r="B30" s="82"/>
      <c r="D30" s="82"/>
      <c r="J30" s="88"/>
      <c r="O30" s="82"/>
      <c r="P30" s="82"/>
      <c r="AA30" s="10" t="s">
        <v>177</v>
      </c>
      <c r="AB30" s="11"/>
      <c r="AC30" s="11"/>
      <c r="AD30" s="11"/>
      <c r="AE30" s="11"/>
      <c r="AF30" s="11"/>
      <c r="AG30" s="11"/>
      <c r="AH30" s="11"/>
      <c r="AI30" s="11"/>
      <c r="AJ30" s="12"/>
    </row>
    <row r="31" spans="1:43" ht="14.1" customHeight="1" x14ac:dyDescent="0.2">
      <c r="B31" s="82"/>
      <c r="D31" s="82"/>
      <c r="J31" s="88"/>
      <c r="O31" s="82"/>
      <c r="P31" s="82"/>
      <c r="S31" s="102">
        <f>T37</f>
        <v>0.72228783959727783</v>
      </c>
      <c r="T31" s="334" t="s">
        <v>212</v>
      </c>
      <c r="U31" s="34">
        <v>59</v>
      </c>
      <c r="AA31" s="13" t="s">
        <v>183</v>
      </c>
      <c r="AB31" s="9"/>
      <c r="AC31" s="9"/>
      <c r="AD31" s="9"/>
      <c r="AE31" s="9"/>
      <c r="AF31" s="9"/>
      <c r="AG31" s="9"/>
      <c r="AH31" s="9"/>
      <c r="AI31" s="9"/>
      <c r="AJ31" s="15"/>
    </row>
    <row r="32" spans="1:43" ht="14.1" customHeight="1" x14ac:dyDescent="0.2">
      <c r="B32" s="82"/>
      <c r="C32" s="237" cm="1">
        <f t="array" ref="C32">_xlfn.SINGLE(INDEX(LINEST(C27:C28,($B27:$B28)^{1}),1))</f>
        <v>24.794736842105262</v>
      </c>
      <c r="D32" s="82"/>
      <c r="O32" s="82"/>
      <c r="P32" s="82"/>
      <c r="S32" s="102">
        <f>T40</f>
        <v>0.68396521467127691</v>
      </c>
      <c r="U32" s="34">
        <v>1054</v>
      </c>
      <c r="AA32" s="13" t="s">
        <v>184</v>
      </c>
      <c r="AB32" s="9"/>
      <c r="AC32" s="9"/>
      <c r="AD32" s="9"/>
      <c r="AE32" s="9"/>
      <c r="AF32" s="9"/>
      <c r="AG32" s="9"/>
      <c r="AH32" s="9"/>
      <c r="AI32" s="9"/>
      <c r="AJ32" s="15"/>
      <c r="AO32" s="23" t="s">
        <v>65</v>
      </c>
      <c r="AP32" s="23" t="s">
        <v>66</v>
      </c>
      <c r="AQ32" s="234" t="s">
        <v>127</v>
      </c>
    </row>
    <row r="33" spans="2:43" ht="14.1" customHeight="1" x14ac:dyDescent="0.2">
      <c r="C33" s="237" cm="1">
        <f t="array" ref="C33">INDEX(LINEST(C27:C28,($B27:$B28)^{1}),1,2)</f>
        <v>4.8105263157895024</v>
      </c>
      <c r="E33" s="222"/>
      <c r="F33" s="255" t="s">
        <v>150</v>
      </c>
      <c r="G33" s="256"/>
      <c r="H33" s="222"/>
      <c r="I33" s="245" t="s">
        <v>151</v>
      </c>
      <c r="J33" s="222"/>
      <c r="K33" s="222"/>
      <c r="L33" s="257"/>
      <c r="M33" s="258"/>
      <c r="O33" s="82" t="s">
        <v>155</v>
      </c>
      <c r="P33" s="82" t="s">
        <v>155</v>
      </c>
      <c r="S33" s="102">
        <f>T44</f>
        <v>0.6616103501311098</v>
      </c>
      <c r="W33" s="82" t="s">
        <v>251</v>
      </c>
      <c r="AA33" s="32" t="s">
        <v>185</v>
      </c>
      <c r="AB33" s="9"/>
      <c r="AC33" s="9"/>
      <c r="AD33" s="9"/>
      <c r="AE33" s="9"/>
      <c r="AF33" s="9"/>
      <c r="AG33" s="9"/>
      <c r="AH33" s="9"/>
      <c r="AI33" s="9"/>
      <c r="AJ33" s="15"/>
      <c r="AO33" s="24">
        <v>1</v>
      </c>
      <c r="AP33" s="236">
        <v>30</v>
      </c>
      <c r="AQ33" s="235" cm="1">
        <f t="array" ref="AQ33">_xlfn.SINGLE(INDEX(LINEST(AP$33:AP$35,(AO$33:AO$35)^{1,2,3}),1))</f>
        <v>-1.7664998074701597E-2</v>
      </c>
    </row>
    <row r="34" spans="2:43" ht="14.1" customHeight="1" x14ac:dyDescent="0.2">
      <c r="B34" s="248" t="s">
        <v>65</v>
      </c>
      <c r="C34" s="249" t="s">
        <v>66</v>
      </c>
      <c r="D34" s="247"/>
      <c r="E34" s="248" t="s">
        <v>65</v>
      </c>
      <c r="F34" s="250" t="s">
        <v>126</v>
      </c>
      <c r="G34" s="35"/>
      <c r="H34" s="248" t="s">
        <v>65</v>
      </c>
      <c r="I34" s="251" t="s">
        <v>147</v>
      </c>
      <c r="K34" s="248" t="s">
        <v>65</v>
      </c>
      <c r="L34" s="147" t="s">
        <v>143</v>
      </c>
      <c r="M34" s="254" t="s">
        <v>134</v>
      </c>
      <c r="N34" s="23" t="s">
        <v>4</v>
      </c>
      <c r="O34" s="260" t="s">
        <v>134</v>
      </c>
      <c r="P34" s="23" t="s">
        <v>145</v>
      </c>
      <c r="S34" s="264"/>
      <c r="T34" s="264"/>
      <c r="U34" s="275" t="s">
        <v>15</v>
      </c>
      <c r="V34" s="1"/>
      <c r="W34" s="82" t="s">
        <v>252</v>
      </c>
      <c r="X34" s="82" t="s">
        <v>254</v>
      </c>
      <c r="AA34" s="71"/>
      <c r="AB34" s="72" t="s">
        <v>19</v>
      </c>
      <c r="AC34" s="63"/>
      <c r="AD34" s="63" t="s">
        <v>15</v>
      </c>
      <c r="AE34" s="9"/>
      <c r="AF34" s="9"/>
      <c r="AG34" s="9"/>
      <c r="AH34" s="9"/>
      <c r="AI34" s="9"/>
      <c r="AJ34" s="15"/>
      <c r="AO34" s="24">
        <v>25</v>
      </c>
      <c r="AP34" s="236">
        <v>610</v>
      </c>
      <c r="AQ34" s="235" cm="1">
        <f t="array" ref="AQ34">_xlfn.SINGLE(INDEX(LINEST(AP$33:AP$35,(AO$33:AO$35)^{1,2,3}),2))</f>
        <v>1.3717915543575927</v>
      </c>
    </row>
    <row r="35" spans="2:43" ht="14.1" customHeight="1" x14ac:dyDescent="0.2">
      <c r="B35" s="341" t="s">
        <v>220</v>
      </c>
      <c r="C35" s="342">
        <f>((C$32*B36)+C$33)*0.57</f>
        <v>31.008000000000013</v>
      </c>
      <c r="E35" s="341" t="s">
        <v>220</v>
      </c>
      <c r="F35" s="343">
        <f>((G$27*(E36)^2)+(G$28*(E36)^1)+(G$29))*0.57</f>
        <v>31.007999999999978</v>
      </c>
      <c r="H35" s="16">
        <v>1</v>
      </c>
      <c r="I35" s="149">
        <f t="shared" ref="I35:I84" si="2">C35-F35</f>
        <v>3.5527136788005009E-14</v>
      </c>
      <c r="K35" s="261">
        <v>1</v>
      </c>
      <c r="L35" s="262">
        <f>F35</f>
        <v>31.007999999999978</v>
      </c>
      <c r="M35" s="263">
        <f>L35/K35</f>
        <v>31.007999999999978</v>
      </c>
      <c r="N35" s="266">
        <f t="shared" ref="N35:N85" si="3">SQRT(12*32.2*M35^2/(4*$Q$6*($Q$5*56)*$Q$4^2))</f>
        <v>0.82340813714089667</v>
      </c>
      <c r="O35" s="263">
        <f t="shared" ref="O35:O85" si="4">(N35*$Q$4)*SQRT(4*$Q$6*$Q$7/32.2)/12</f>
        <v>31.00726576616422</v>
      </c>
      <c r="P35" s="263">
        <f>(K35*O35)</f>
        <v>31.00726576616422</v>
      </c>
      <c r="S35" s="264" t="s">
        <v>65</v>
      </c>
      <c r="T35" s="264" t="s">
        <v>12</v>
      </c>
      <c r="U35" s="275" t="s">
        <v>16</v>
      </c>
      <c r="V35" s="1"/>
      <c r="W35" s="82">
        <v>3590</v>
      </c>
      <c r="X35" s="82" t="s">
        <v>253</v>
      </c>
      <c r="AA35" s="71" t="s">
        <v>2</v>
      </c>
      <c r="AB35" s="63" t="s">
        <v>12</v>
      </c>
      <c r="AC35" s="277" t="s">
        <v>17</v>
      </c>
      <c r="AD35" s="63" t="s">
        <v>16</v>
      </c>
      <c r="AE35" s="9"/>
      <c r="AF35" s="9"/>
      <c r="AG35" s="9"/>
      <c r="AH35" s="9"/>
      <c r="AI35" s="9"/>
      <c r="AJ35" s="15"/>
      <c r="AO35" s="24">
        <v>50</v>
      </c>
      <c r="AP35" s="236">
        <v>1250</v>
      </c>
      <c r="AQ35" s="235" cm="1">
        <f t="array" ref="AQ35">_xlfn.SINGLE(INDEX(LINEST(AP$33:AP$35,(AO$33:AO$35)^{1,2,3}),3))</f>
        <v>0</v>
      </c>
    </row>
    <row r="36" spans="2:43" ht="14.1" customHeight="1" x14ac:dyDescent="0.25">
      <c r="B36" s="16">
        <v>2</v>
      </c>
      <c r="C36" s="238">
        <f t="shared" ref="C36:C85" si="5">(C$32*B36)+C$33</f>
        <v>54.400000000000027</v>
      </c>
      <c r="E36" s="16">
        <v>2</v>
      </c>
      <c r="F36" s="204">
        <f>(G$27*(E36)^2)+(G$28*(E36)^1)+(G$29)</f>
        <v>54.399999999999963</v>
      </c>
      <c r="H36" s="16">
        <v>2</v>
      </c>
      <c r="I36" s="149">
        <f t="shared" si="2"/>
        <v>6.3948846218409017E-14</v>
      </c>
      <c r="K36" s="261">
        <v>2</v>
      </c>
      <c r="L36" s="262">
        <f>F36</f>
        <v>54.399999999999963</v>
      </c>
      <c r="M36" s="263">
        <f t="shared" ref="M36:M85" si="6">L36/K36</f>
        <v>27.199999999999982</v>
      </c>
      <c r="N36" s="266">
        <f t="shared" si="3"/>
        <v>0.72228783959727783</v>
      </c>
      <c r="O36" s="263">
        <f t="shared" si="4"/>
        <v>27.199355935231768</v>
      </c>
      <c r="P36" s="263">
        <f t="shared" ref="P36:P85" si="7">(K36*O36)</f>
        <v>54.398711870463536</v>
      </c>
      <c r="S36" s="139" t="s">
        <v>222</v>
      </c>
      <c r="T36" s="306">
        <f>N35</f>
        <v>0.82340813714089667</v>
      </c>
      <c r="U36" s="107">
        <f>P35</f>
        <v>31.00726576616422</v>
      </c>
      <c r="W36" s="367">
        <v>34.200000000000003</v>
      </c>
      <c r="X36" s="82"/>
      <c r="AA36" s="73">
        <v>1</v>
      </c>
      <c r="AB36" s="65">
        <v>0.92510000000000003</v>
      </c>
      <c r="AC36" s="59">
        <v>34.838084318002032</v>
      </c>
      <c r="AD36" s="79">
        <v>34.838084318002032</v>
      </c>
      <c r="AE36" s="9" t="s">
        <v>181</v>
      </c>
      <c r="AF36" s="9"/>
      <c r="AG36" s="9"/>
      <c r="AH36" s="9"/>
      <c r="AI36" s="9"/>
      <c r="AJ36" s="15"/>
      <c r="AQ36" s="235" cm="1">
        <f t="array" ref="AQ36">_xlfn.SINGLE(INDEX(LINEST(AP$33:AP$35,(AO$33:AO$35)^{1,2,3}),4))</f>
        <v>28.645873443717392</v>
      </c>
    </row>
    <row r="37" spans="2:43" ht="14.1" customHeight="1" x14ac:dyDescent="0.25">
      <c r="B37" s="16">
        <v>3</v>
      </c>
      <c r="C37" s="238">
        <f t="shared" si="5"/>
        <v>79.194736842105286</v>
      </c>
      <c r="E37" s="16">
        <v>3</v>
      </c>
      <c r="F37" s="204">
        <f>(G$27*(E37)^2)+(G$28*(E37)^1)+(G$29)</f>
        <v>79.194736842105215</v>
      </c>
      <c r="H37" s="16">
        <v>3</v>
      </c>
      <c r="I37" s="149">
        <f t="shared" si="2"/>
        <v>0</v>
      </c>
      <c r="K37" s="261">
        <v>3</v>
      </c>
      <c r="L37" s="262">
        <f t="shared" ref="L37:L85" si="8">F37</f>
        <v>79.194736842105215</v>
      </c>
      <c r="M37" s="263">
        <f t="shared" si="6"/>
        <v>26.398245614035073</v>
      </c>
      <c r="N37" s="266">
        <f t="shared" si="3"/>
        <v>0.70099749241616616</v>
      </c>
      <c r="O37" s="263">
        <f t="shared" si="4"/>
        <v>26.397620533890123</v>
      </c>
      <c r="P37" s="263">
        <f t="shared" si="7"/>
        <v>79.192861601670373</v>
      </c>
      <c r="R37" s="309">
        <f>T37</f>
        <v>0.72228783959727783</v>
      </c>
      <c r="S37" s="265">
        <v>2</v>
      </c>
      <c r="T37" s="307">
        <f>N36</f>
        <v>0.72228783959727783</v>
      </c>
      <c r="U37" s="311">
        <f>P36</f>
        <v>54.398711870463536</v>
      </c>
      <c r="V37" s="316">
        <f>U31-U37</f>
        <v>4.6012881295364636</v>
      </c>
      <c r="W37" s="368">
        <v>54.4</v>
      </c>
      <c r="X37" s="149">
        <f>W37-U37</f>
        <v>1.2881295364621792E-3</v>
      </c>
      <c r="AA37" s="73">
        <v>2</v>
      </c>
      <c r="AB37" s="66">
        <v>0.81499999999999995</v>
      </c>
      <c r="AC37" s="56">
        <v>30.691858954893149</v>
      </c>
      <c r="AD37" s="80">
        <v>61.383717909786299</v>
      </c>
      <c r="AE37" s="14" t="s">
        <v>182</v>
      </c>
      <c r="AF37" s="9"/>
      <c r="AG37" s="9"/>
      <c r="AH37" s="9"/>
      <c r="AI37" s="9"/>
      <c r="AJ37" s="15"/>
    </row>
    <row r="38" spans="2:43" ht="14.1" customHeight="1" x14ac:dyDescent="0.25">
      <c r="B38" s="16">
        <v>4</v>
      </c>
      <c r="C38" s="238">
        <f t="shared" si="5"/>
        <v>103.98947368421055</v>
      </c>
      <c r="E38" s="16">
        <v>4</v>
      </c>
      <c r="F38" s="204">
        <f t="shared" ref="F38:F85" si="9">(G$27*(E38)^2)+(G$28*(E38)^1)+(G$29)</f>
        <v>103.98947368421048</v>
      </c>
      <c r="H38" s="16">
        <v>4</v>
      </c>
      <c r="I38" s="149">
        <f t="shared" si="2"/>
        <v>0</v>
      </c>
      <c r="K38" s="261">
        <v>4</v>
      </c>
      <c r="L38" s="262">
        <f t="shared" si="8"/>
        <v>103.98947368421048</v>
      </c>
      <c r="M38" s="263">
        <f t="shared" si="6"/>
        <v>25.99736842105262</v>
      </c>
      <c r="N38" s="266">
        <f t="shared" si="3"/>
        <v>0.69035231882561032</v>
      </c>
      <c r="O38" s="263">
        <f t="shared" si="4"/>
        <v>25.996752833219301</v>
      </c>
      <c r="P38" s="263">
        <f t="shared" si="7"/>
        <v>103.9870113328772</v>
      </c>
      <c r="R38" s="310"/>
      <c r="S38" s="82">
        <v>3</v>
      </c>
      <c r="T38" s="306">
        <f>N37</f>
        <v>0.70099749241616616</v>
      </c>
      <c r="U38" s="107">
        <f>P37</f>
        <v>79.192861601670373</v>
      </c>
      <c r="W38" s="369">
        <v>74</v>
      </c>
      <c r="X38" s="149">
        <f t="shared" ref="X38:X44" si="10">W38-U38</f>
        <v>-5.1928616016703728</v>
      </c>
      <c r="AA38" s="73">
        <v>3</v>
      </c>
      <c r="AB38" s="67">
        <v>0.74</v>
      </c>
      <c r="AC38" s="55">
        <v>27.867454756590096</v>
      </c>
      <c r="AD38" s="53">
        <v>83.602364269770291</v>
      </c>
      <c r="AE38" s="9"/>
      <c r="AF38" s="9"/>
      <c r="AG38" s="9"/>
      <c r="AH38" s="9"/>
      <c r="AI38" s="9"/>
      <c r="AJ38" s="15"/>
      <c r="AQ38" s="35"/>
    </row>
    <row r="39" spans="2:43" ht="14.1" customHeight="1" x14ac:dyDescent="0.25">
      <c r="B39" s="16">
        <v>5</v>
      </c>
      <c r="C39" s="238">
        <f t="shared" si="5"/>
        <v>128.7842105263158</v>
      </c>
      <c r="E39" s="16">
        <v>5</v>
      </c>
      <c r="F39" s="204">
        <f t="shared" si="9"/>
        <v>128.78421052631575</v>
      </c>
      <c r="G39" s="204"/>
      <c r="H39" s="16">
        <v>5</v>
      </c>
      <c r="I39" s="149">
        <f t="shared" si="2"/>
        <v>0</v>
      </c>
      <c r="K39" s="261">
        <v>5</v>
      </c>
      <c r="L39" s="262">
        <f t="shared" si="8"/>
        <v>128.78421052631575</v>
      </c>
      <c r="M39" s="263">
        <f t="shared" si="6"/>
        <v>25.75684210526315</v>
      </c>
      <c r="N39" s="266">
        <f t="shared" si="3"/>
        <v>0.68396521467127691</v>
      </c>
      <c r="O39" s="263">
        <f t="shared" si="4"/>
        <v>25.756232212816812</v>
      </c>
      <c r="P39" s="263">
        <f t="shared" si="7"/>
        <v>128.78116106408407</v>
      </c>
      <c r="R39" s="310"/>
      <c r="S39" s="82">
        <v>4</v>
      </c>
      <c r="T39" s="306">
        <f>N38</f>
        <v>0.69035231882561032</v>
      </c>
      <c r="U39" s="107">
        <f>P38</f>
        <v>103.9870113328772</v>
      </c>
      <c r="W39" s="369">
        <v>96.2</v>
      </c>
      <c r="X39" s="149">
        <f t="shared" si="10"/>
        <v>-7.7870113328771993</v>
      </c>
      <c r="AA39" s="73">
        <v>4</v>
      </c>
      <c r="AB39" s="67">
        <v>0.70499999999999996</v>
      </c>
      <c r="AC39" s="55">
        <v>26.549399464048673</v>
      </c>
      <c r="AD39" s="53">
        <v>106.19759785619469</v>
      </c>
      <c r="AE39" s="9"/>
      <c r="AF39" s="9"/>
      <c r="AG39" s="9"/>
      <c r="AH39" s="9"/>
      <c r="AI39" s="9"/>
      <c r="AJ39" s="15"/>
      <c r="AO39" s="2" t="s">
        <v>65</v>
      </c>
      <c r="AP39" s="205" t="s">
        <v>127</v>
      </c>
      <c r="AQ39" s="35"/>
    </row>
    <row r="40" spans="2:43" ht="14.1" customHeight="1" x14ac:dyDescent="0.25">
      <c r="B40" s="16">
        <v>6</v>
      </c>
      <c r="C40" s="238">
        <f t="shared" si="5"/>
        <v>153.57894736842107</v>
      </c>
      <c r="E40" s="16">
        <v>6</v>
      </c>
      <c r="F40" s="204">
        <f t="shared" si="9"/>
        <v>153.57894736842101</v>
      </c>
      <c r="G40" s="204"/>
      <c r="H40" s="16">
        <v>6</v>
      </c>
      <c r="I40" s="149">
        <f t="shared" si="2"/>
        <v>0</v>
      </c>
      <c r="K40" s="16">
        <v>6</v>
      </c>
      <c r="L40" s="204">
        <f t="shared" si="8"/>
        <v>153.57894736842101</v>
      </c>
      <c r="M40" s="149">
        <f t="shared" si="6"/>
        <v>25.596491228070168</v>
      </c>
      <c r="N40" s="267">
        <f t="shared" si="3"/>
        <v>0.6797071452350546</v>
      </c>
      <c r="O40" s="149">
        <f t="shared" si="4"/>
        <v>25.595885132548478</v>
      </c>
      <c r="P40" s="149">
        <f t="shared" si="7"/>
        <v>153.57531079529087</v>
      </c>
      <c r="R40" s="309">
        <f>T40</f>
        <v>0.68396521467127691</v>
      </c>
      <c r="S40" s="265">
        <v>5</v>
      </c>
      <c r="T40" s="307">
        <f>N39</f>
        <v>0.68396521467127691</v>
      </c>
      <c r="U40" s="308">
        <f>P39</f>
        <v>128.78116106408407</v>
      </c>
      <c r="W40" s="370">
        <v>120.1</v>
      </c>
      <c r="X40" s="149">
        <f t="shared" si="10"/>
        <v>-8.6811610640840797</v>
      </c>
      <c r="AA40" s="73">
        <v>5</v>
      </c>
      <c r="AB40" s="66">
        <v>0.67849999999999999</v>
      </c>
      <c r="AC40" s="56">
        <v>25.551443313981597</v>
      </c>
      <c r="AD40" s="80">
        <v>127.75721656990798</v>
      </c>
      <c r="AE40" s="9"/>
      <c r="AF40" s="9"/>
      <c r="AG40" s="9"/>
      <c r="AH40" s="9"/>
      <c r="AI40" s="9"/>
      <c r="AJ40" s="15"/>
      <c r="AO40" s="16">
        <v>1</v>
      </c>
      <c r="AP40" s="204">
        <f>(AQ$33*(AO40)^3)+(AQ$34*(AO40)^2)+(AQ$35*(AO40)^1)+(AQ$36)</f>
        <v>30.000000000000284</v>
      </c>
    </row>
    <row r="41" spans="2:43" ht="14.1" customHeight="1" x14ac:dyDescent="0.25">
      <c r="B41" s="16">
        <v>7</v>
      </c>
      <c r="C41" s="238">
        <f t="shared" si="5"/>
        <v>178.37368421052633</v>
      </c>
      <c r="E41" s="16">
        <v>7</v>
      </c>
      <c r="F41" s="204">
        <f t="shared" si="9"/>
        <v>178.37368421052628</v>
      </c>
      <c r="G41" s="204"/>
      <c r="H41" s="16">
        <v>7</v>
      </c>
      <c r="I41" s="149">
        <f>C41-F41</f>
        <v>0</v>
      </c>
      <c r="K41" s="16">
        <v>7</v>
      </c>
      <c r="L41" s="204">
        <f t="shared" si="8"/>
        <v>178.37368421052628</v>
      </c>
      <c r="M41" s="149">
        <f t="shared" si="6"/>
        <v>25.481954887218041</v>
      </c>
      <c r="N41" s="267">
        <f t="shared" si="3"/>
        <v>0.67666566706632447</v>
      </c>
      <c r="O41" s="149">
        <f t="shared" si="4"/>
        <v>25.48135150378539</v>
      </c>
      <c r="P41" s="149">
        <f t="shared" si="7"/>
        <v>178.36946052649773</v>
      </c>
      <c r="R41" s="310"/>
      <c r="S41" s="82">
        <v>10</v>
      </c>
      <c r="T41" s="306">
        <f>N44</f>
        <v>0.67119100636261009</v>
      </c>
      <c r="U41" s="107">
        <f>P44</f>
        <v>252.75190972011828</v>
      </c>
      <c r="W41" s="369">
        <v>244.7</v>
      </c>
      <c r="X41" s="149">
        <f t="shared" si="10"/>
        <v>-8.0519097201182888</v>
      </c>
      <c r="AA41" s="73">
        <v>10</v>
      </c>
      <c r="AB41" s="76">
        <v>0.64</v>
      </c>
      <c r="AC41" s="55">
        <v>24.101582492186029</v>
      </c>
      <c r="AD41" s="53">
        <v>241.01582492186029</v>
      </c>
      <c r="AE41" s="9"/>
      <c r="AF41" s="9"/>
      <c r="AG41" s="9"/>
      <c r="AH41" s="9"/>
      <c r="AI41" s="9"/>
      <c r="AJ41" s="15"/>
      <c r="AO41" s="16">
        <v>2</v>
      </c>
      <c r="AP41" s="204">
        <f>(AQ$33*(AO41)^3)+(AQ$34*(AO41)^2)+(AQ$35*(AO41)^1)+(AQ$36)</f>
        <v>33.991719676550147</v>
      </c>
    </row>
    <row r="42" spans="2:43" ht="14.1" customHeight="1" x14ac:dyDescent="0.25">
      <c r="B42" s="16">
        <v>8</v>
      </c>
      <c r="C42" s="238">
        <f t="shared" si="5"/>
        <v>203.1684210526316</v>
      </c>
      <c r="E42" s="16">
        <v>8</v>
      </c>
      <c r="F42" s="204">
        <f t="shared" si="9"/>
        <v>203.16842105263154</v>
      </c>
      <c r="G42" s="204"/>
      <c r="H42" s="16">
        <v>8</v>
      </c>
      <c r="I42" s="149">
        <f t="shared" si="2"/>
        <v>0</v>
      </c>
      <c r="K42" s="16">
        <v>8</v>
      </c>
      <c r="L42" s="204">
        <f t="shared" si="8"/>
        <v>203.16842105263154</v>
      </c>
      <c r="M42" s="149">
        <f t="shared" si="6"/>
        <v>25.396052631578943</v>
      </c>
      <c r="N42" s="267">
        <f t="shared" si="3"/>
        <v>0.67438455843977685</v>
      </c>
      <c r="O42" s="149">
        <f t="shared" si="4"/>
        <v>25.395451282213074</v>
      </c>
      <c r="P42" s="149">
        <f t="shared" si="7"/>
        <v>203.16361025770459</v>
      </c>
      <c r="R42" s="310"/>
      <c r="S42" s="82">
        <v>20</v>
      </c>
      <c r="T42" s="306">
        <f>N54</f>
        <v>0.66480390220827668</v>
      </c>
      <c r="U42" s="107">
        <f>P54</f>
        <v>500.69340703218671</v>
      </c>
      <c r="W42" s="369">
        <v>493</v>
      </c>
      <c r="X42" s="149">
        <f t="shared" si="10"/>
        <v>-7.6934070321867125</v>
      </c>
      <c r="AA42" s="73">
        <v>20</v>
      </c>
      <c r="AB42" s="76">
        <v>0.65</v>
      </c>
      <c r="AC42" s="55">
        <v>24.478169718626436</v>
      </c>
      <c r="AD42" s="53">
        <v>489.56339437252871</v>
      </c>
      <c r="AE42" s="9"/>
      <c r="AF42" s="9"/>
      <c r="AG42" s="9"/>
      <c r="AH42" s="9"/>
      <c r="AI42" s="9"/>
      <c r="AJ42" s="15"/>
      <c r="AO42" s="16">
        <v>3</v>
      </c>
      <c r="AP42" s="204">
        <f>(AQ$33*(AO42)^3)+(AQ$34*(AO42)^2)+(AQ$35*(AO42)^1)+(AQ$36)</f>
        <v>40.51504248491878</v>
      </c>
    </row>
    <row r="43" spans="2:43" ht="14.1" customHeight="1" x14ac:dyDescent="0.25">
      <c r="B43" s="16">
        <v>9</v>
      </c>
      <c r="C43" s="238">
        <f t="shared" si="5"/>
        <v>227.96315789473687</v>
      </c>
      <c r="E43" s="16">
        <v>9</v>
      </c>
      <c r="F43" s="204">
        <f t="shared" si="9"/>
        <v>227.96315789473681</v>
      </c>
      <c r="G43" s="204"/>
      <c r="H43" s="16">
        <v>9</v>
      </c>
      <c r="I43" s="149">
        <f t="shared" si="2"/>
        <v>0</v>
      </c>
      <c r="K43" s="16">
        <v>9</v>
      </c>
      <c r="L43" s="204">
        <f t="shared" si="8"/>
        <v>227.96315789473681</v>
      </c>
      <c r="M43" s="149">
        <f t="shared" si="6"/>
        <v>25.329239766081869</v>
      </c>
      <c r="N43" s="267">
        <f t="shared" si="3"/>
        <v>0.6726103628413509</v>
      </c>
      <c r="O43" s="149">
        <f t="shared" si="4"/>
        <v>25.32863999876794</v>
      </c>
      <c r="P43" s="149">
        <f t="shared" si="7"/>
        <v>227.95775998891145</v>
      </c>
      <c r="R43" s="310"/>
      <c r="S43" s="82">
        <v>30</v>
      </c>
      <c r="T43" s="306">
        <f>N64</f>
        <v>0.66267486749016558</v>
      </c>
      <c r="U43" s="107">
        <f>P64</f>
        <v>748.63490434425535</v>
      </c>
      <c r="W43" s="369">
        <v>738.2</v>
      </c>
      <c r="X43" s="149">
        <f t="shared" si="10"/>
        <v>-10.434904344255301</v>
      </c>
      <c r="AA43" s="73">
        <v>30</v>
      </c>
      <c r="AB43" s="76">
        <v>0.66500000000000004</v>
      </c>
      <c r="AC43" s="55">
        <v>25.04305055828705</v>
      </c>
      <c r="AD43" s="53">
        <v>751.29151674861146</v>
      </c>
      <c r="AE43" s="9"/>
      <c r="AF43" s="9"/>
      <c r="AG43" s="9"/>
      <c r="AH43" s="9"/>
      <c r="AI43" s="9"/>
      <c r="AJ43" s="15"/>
      <c r="AO43" s="16">
        <v>4</v>
      </c>
      <c r="AP43" s="204">
        <f>(AQ$33*(AO43)^3)+(AQ$34*(AO43)^2)+(AQ$35*(AO43)^1)+(AQ$36)</f>
        <v>49.463978436657968</v>
      </c>
    </row>
    <row r="44" spans="2:43" ht="14.1" customHeight="1" x14ac:dyDescent="0.25">
      <c r="B44" s="16">
        <v>10</v>
      </c>
      <c r="C44" s="238">
        <f t="shared" si="5"/>
        <v>252.75789473684213</v>
      </c>
      <c r="E44" s="16">
        <v>10</v>
      </c>
      <c r="F44" s="204">
        <f t="shared" si="9"/>
        <v>252.75789473684208</v>
      </c>
      <c r="G44" s="204"/>
      <c r="H44" s="16">
        <v>10</v>
      </c>
      <c r="I44" s="149">
        <f t="shared" si="2"/>
        <v>0</v>
      </c>
      <c r="K44" s="261">
        <v>10</v>
      </c>
      <c r="L44" s="262">
        <f>F44</f>
        <v>252.75789473684208</v>
      </c>
      <c r="M44" s="263">
        <f t="shared" si="6"/>
        <v>25.275789473684206</v>
      </c>
      <c r="N44" s="266">
        <f t="shared" si="3"/>
        <v>0.67119100636261009</v>
      </c>
      <c r="O44" s="263">
        <f t="shared" si="4"/>
        <v>25.275190972011828</v>
      </c>
      <c r="P44" s="263">
        <f t="shared" si="7"/>
        <v>252.75190972011828</v>
      </c>
      <c r="R44" s="309">
        <f>T44</f>
        <v>0.6616103501311098</v>
      </c>
      <c r="S44" s="265">
        <v>40</v>
      </c>
      <c r="T44" s="307">
        <f>N74</f>
        <v>0.6616103501311098</v>
      </c>
      <c r="U44" s="311">
        <f>P74</f>
        <v>996.57640165632347</v>
      </c>
      <c r="V44" s="316">
        <f>U32-U44</f>
        <v>57.423598343676531</v>
      </c>
      <c r="W44" s="368">
        <v>996.6</v>
      </c>
      <c r="X44" s="149">
        <f t="shared" si="10"/>
        <v>2.3598343676553668E-2</v>
      </c>
      <c r="AA44" s="73">
        <v>40</v>
      </c>
      <c r="AB44" s="77">
        <v>0.68</v>
      </c>
      <c r="AC44" s="56">
        <v>25.607931397947663</v>
      </c>
      <c r="AD44" s="80">
        <v>1024.3172559179066</v>
      </c>
      <c r="AE44" s="9"/>
      <c r="AF44" s="9"/>
      <c r="AG44" s="9"/>
      <c r="AH44" s="9"/>
      <c r="AI44" s="9"/>
      <c r="AJ44" s="15"/>
      <c r="AO44" s="16">
        <v>5</v>
      </c>
      <c r="AP44" s="204">
        <f>(AQ$33*(AO44)^3)+(AQ$34*(AO44)^2)+(AQ$35*(AO44)^1)+(AQ$36)</f>
        <v>60.732537543319509</v>
      </c>
      <c r="AQ44" s="204"/>
    </row>
    <row r="45" spans="2:43" ht="14.1" customHeight="1" x14ac:dyDescent="0.25">
      <c r="B45" s="16">
        <v>11</v>
      </c>
      <c r="C45" s="238">
        <f t="shared" si="5"/>
        <v>277.5526315789474</v>
      </c>
      <c r="E45" s="16">
        <v>11</v>
      </c>
      <c r="F45" s="204">
        <f t="shared" si="9"/>
        <v>277.55263157894734</v>
      </c>
      <c r="G45" s="204"/>
      <c r="H45" s="16">
        <v>11</v>
      </c>
      <c r="I45" s="149">
        <f t="shared" si="2"/>
        <v>0</v>
      </c>
      <c r="K45" s="16">
        <v>11</v>
      </c>
      <c r="L45" s="204">
        <f t="shared" si="8"/>
        <v>277.55263157894734</v>
      </c>
      <c r="M45" s="149">
        <f t="shared" si="6"/>
        <v>25.232057416267939</v>
      </c>
      <c r="N45" s="267">
        <f t="shared" si="3"/>
        <v>0.67002971469818573</v>
      </c>
      <c r="O45" s="149">
        <f t="shared" si="4"/>
        <v>25.231459950120463</v>
      </c>
      <c r="P45" s="149">
        <f t="shared" si="7"/>
        <v>277.54605945132511</v>
      </c>
      <c r="S45" s="82">
        <v>50</v>
      </c>
      <c r="T45" s="306">
        <f>N84</f>
        <v>0.66097163971567663</v>
      </c>
      <c r="U45" s="107">
        <f>P84</f>
        <v>1244.5178989683923</v>
      </c>
      <c r="W45" s="376">
        <v>1249.5</v>
      </c>
      <c r="X45" s="149"/>
      <c r="AA45" s="278">
        <v>50</v>
      </c>
      <c r="AB45" s="279">
        <v>0.7</v>
      </c>
      <c r="AC45" s="280">
        <v>26.361105850828469</v>
      </c>
      <c r="AD45" s="281">
        <v>1318.0552925414236</v>
      </c>
      <c r="AE45" s="3"/>
      <c r="AF45" s="3"/>
      <c r="AG45" s="3"/>
      <c r="AH45" s="3"/>
      <c r="AI45" s="3"/>
      <c r="AJ45" s="7"/>
    </row>
    <row r="46" spans="2:43" ht="14.1" customHeight="1" x14ac:dyDescent="0.2">
      <c r="B46" s="16">
        <v>12</v>
      </c>
      <c r="C46" s="238">
        <f t="shared" si="5"/>
        <v>302.34736842105264</v>
      </c>
      <c r="E46" s="16">
        <v>12</v>
      </c>
      <c r="F46" s="204">
        <f t="shared" si="9"/>
        <v>302.34736842105258</v>
      </c>
      <c r="G46" s="204"/>
      <c r="H46" s="16">
        <v>12</v>
      </c>
      <c r="I46" s="149">
        <f t="shared" si="2"/>
        <v>0</v>
      </c>
      <c r="K46" s="16">
        <v>12</v>
      </c>
      <c r="L46" s="204">
        <f t="shared" si="8"/>
        <v>302.34736842105258</v>
      </c>
      <c r="M46" s="149">
        <f t="shared" si="6"/>
        <v>25.195614035087715</v>
      </c>
      <c r="N46" s="267">
        <f t="shared" si="3"/>
        <v>0.66906197164449888</v>
      </c>
      <c r="O46" s="149">
        <f t="shared" si="4"/>
        <v>25.195017431877663</v>
      </c>
      <c r="P46" s="149">
        <f t="shared" si="7"/>
        <v>302.34020918253196</v>
      </c>
      <c r="S46" s="229"/>
      <c r="X46" s="16"/>
    </row>
    <row r="47" spans="2:43" ht="14.1" customHeight="1" x14ac:dyDescent="0.2">
      <c r="B47" s="16">
        <v>13</v>
      </c>
      <c r="C47" s="238">
        <f t="shared" si="5"/>
        <v>327.14210526315793</v>
      </c>
      <c r="E47" s="16">
        <v>13</v>
      </c>
      <c r="F47" s="204">
        <f t="shared" si="9"/>
        <v>327.14210526315787</v>
      </c>
      <c r="G47" s="204"/>
      <c r="H47" s="16">
        <v>13</v>
      </c>
      <c r="I47" s="149">
        <f t="shared" si="2"/>
        <v>0</v>
      </c>
      <c r="K47" s="16">
        <v>13</v>
      </c>
      <c r="L47" s="204">
        <f t="shared" si="8"/>
        <v>327.14210526315787</v>
      </c>
      <c r="M47" s="149">
        <f t="shared" si="6"/>
        <v>25.164777327935219</v>
      </c>
      <c r="N47" s="267">
        <f t="shared" si="3"/>
        <v>0.66824311213753307</v>
      </c>
      <c r="O47" s="149">
        <f t="shared" si="4"/>
        <v>25.164181454902984</v>
      </c>
      <c r="P47" s="149">
        <f t="shared" si="7"/>
        <v>327.13435891373877</v>
      </c>
    </row>
    <row r="48" spans="2:43" ht="14.1" customHeight="1" x14ac:dyDescent="0.2">
      <c r="B48" s="16">
        <v>14</v>
      </c>
      <c r="C48" s="238">
        <f t="shared" si="5"/>
        <v>351.93684210526317</v>
      </c>
      <c r="E48" s="16">
        <v>14</v>
      </c>
      <c r="F48" s="204">
        <f t="shared" si="9"/>
        <v>351.93684210526311</v>
      </c>
      <c r="G48" s="204"/>
      <c r="H48" s="16">
        <v>14</v>
      </c>
      <c r="I48" s="149">
        <f t="shared" si="2"/>
        <v>0</v>
      </c>
      <c r="K48" s="16">
        <v>14</v>
      </c>
      <c r="L48" s="204">
        <f t="shared" si="8"/>
        <v>351.93684210526311</v>
      </c>
      <c r="M48" s="149">
        <f t="shared" si="6"/>
        <v>25.138345864661652</v>
      </c>
      <c r="N48" s="267">
        <f t="shared" si="3"/>
        <v>0.66754123256013376</v>
      </c>
      <c r="O48" s="149">
        <f t="shared" si="4"/>
        <v>25.137750617496113</v>
      </c>
      <c r="P48" s="149">
        <f t="shared" si="7"/>
        <v>351.92850864494557</v>
      </c>
    </row>
    <row r="49" spans="1:20" ht="14.1" customHeight="1" x14ac:dyDescent="0.2">
      <c r="B49" s="16">
        <v>15</v>
      </c>
      <c r="C49" s="238">
        <f t="shared" si="5"/>
        <v>376.73157894736846</v>
      </c>
      <c r="E49" s="16">
        <v>15</v>
      </c>
      <c r="F49" s="204">
        <f t="shared" si="9"/>
        <v>376.7315789473684</v>
      </c>
      <c r="G49" s="204"/>
      <c r="H49" s="16">
        <v>15</v>
      </c>
      <c r="I49" s="149">
        <f t="shared" si="2"/>
        <v>0</v>
      </c>
      <c r="K49" s="16">
        <v>15</v>
      </c>
      <c r="L49" s="204">
        <f t="shared" si="8"/>
        <v>376.7315789473684</v>
      </c>
      <c r="M49" s="149">
        <f t="shared" si="6"/>
        <v>25.115438596491227</v>
      </c>
      <c r="N49" s="267">
        <f t="shared" si="3"/>
        <v>0.66693293692638778</v>
      </c>
      <c r="O49" s="149">
        <f t="shared" si="4"/>
        <v>25.114843891743501</v>
      </c>
      <c r="P49" s="149">
        <f t="shared" si="7"/>
        <v>376.72265837615254</v>
      </c>
      <c r="T49">
        <f>501-493</f>
        <v>8</v>
      </c>
    </row>
    <row r="50" spans="1:20" ht="14.1" customHeight="1" x14ac:dyDescent="0.2">
      <c r="B50" s="16">
        <v>16</v>
      </c>
      <c r="C50" s="238">
        <f t="shared" si="5"/>
        <v>401.5263157894737</v>
      </c>
      <c r="E50" s="16">
        <v>16</v>
      </c>
      <c r="F50" s="204">
        <f t="shared" si="9"/>
        <v>401.52631578947364</v>
      </c>
      <c r="G50" s="204"/>
      <c r="H50" s="16">
        <v>16</v>
      </c>
      <c r="I50" s="149">
        <f t="shared" si="2"/>
        <v>0</v>
      </c>
      <c r="K50" s="16">
        <v>16</v>
      </c>
      <c r="L50" s="204">
        <f t="shared" si="8"/>
        <v>401.52631578947364</v>
      </c>
      <c r="M50" s="149">
        <f t="shared" si="6"/>
        <v>25.095394736842103</v>
      </c>
      <c r="N50" s="267">
        <f t="shared" si="3"/>
        <v>0.66640067824686</v>
      </c>
      <c r="O50" s="149">
        <f t="shared" si="4"/>
        <v>25.094800506709959</v>
      </c>
      <c r="P50" s="149">
        <f t="shared" si="7"/>
        <v>401.51680810735934</v>
      </c>
    </row>
    <row r="51" spans="1:20" ht="14.1" customHeight="1" x14ac:dyDescent="0.2">
      <c r="B51" s="16">
        <v>17</v>
      </c>
      <c r="C51" s="238">
        <f t="shared" si="5"/>
        <v>426.32105263157894</v>
      </c>
      <c r="E51" s="16">
        <v>17</v>
      </c>
      <c r="F51" s="204">
        <f t="shared" si="9"/>
        <v>426.32105263157888</v>
      </c>
      <c r="G51" s="204"/>
      <c r="H51" s="16">
        <v>17</v>
      </c>
      <c r="I51" s="149">
        <f t="shared" si="2"/>
        <v>0</v>
      </c>
      <c r="K51" s="16">
        <v>17</v>
      </c>
      <c r="L51" s="204">
        <f t="shared" si="8"/>
        <v>426.32105263157888</v>
      </c>
      <c r="M51" s="149">
        <f t="shared" si="6"/>
        <v>25.077708978328168</v>
      </c>
      <c r="N51" s="267">
        <f t="shared" si="3"/>
        <v>0.66593103823551181</v>
      </c>
      <c r="O51" s="149">
        <f t="shared" si="4"/>
        <v>25.077115166974476</v>
      </c>
      <c r="P51" s="149">
        <f t="shared" si="7"/>
        <v>426.31095783856608</v>
      </c>
    </row>
    <row r="52" spans="1:20" ht="14.1" customHeight="1" x14ac:dyDescent="0.2">
      <c r="B52" s="16">
        <v>18</v>
      </c>
      <c r="C52" s="238">
        <f t="shared" si="5"/>
        <v>451.11578947368423</v>
      </c>
      <c r="E52" s="16">
        <v>18</v>
      </c>
      <c r="F52" s="204">
        <f t="shared" si="9"/>
        <v>451.11578947368423</v>
      </c>
      <c r="G52" s="204"/>
      <c r="H52" s="16">
        <v>18</v>
      </c>
      <c r="I52" s="149">
        <f t="shared" si="2"/>
        <v>0</v>
      </c>
      <c r="K52" s="16">
        <v>18</v>
      </c>
      <c r="L52" s="204">
        <f t="shared" si="8"/>
        <v>451.11578947368423</v>
      </c>
      <c r="M52" s="149">
        <f t="shared" si="6"/>
        <v>25.061988304093568</v>
      </c>
      <c r="N52" s="267">
        <f t="shared" si="3"/>
        <v>0.66551358044764708</v>
      </c>
      <c r="O52" s="149">
        <f t="shared" si="4"/>
        <v>25.061394864987392</v>
      </c>
      <c r="P52" s="149">
        <f t="shared" si="7"/>
        <v>451.10510756977305</v>
      </c>
    </row>
    <row r="53" spans="1:20" ht="14.1" customHeight="1" x14ac:dyDescent="0.2">
      <c r="B53" s="16">
        <v>19</v>
      </c>
      <c r="C53" s="238">
        <f t="shared" si="5"/>
        <v>475.91052631578947</v>
      </c>
      <c r="E53" s="16">
        <v>19</v>
      </c>
      <c r="F53" s="204">
        <f t="shared" si="9"/>
        <v>475.91052631578947</v>
      </c>
      <c r="G53" s="204"/>
      <c r="H53" s="16">
        <v>19</v>
      </c>
      <c r="I53" s="149">
        <f t="shared" si="2"/>
        <v>0</v>
      </c>
      <c r="K53" s="16">
        <v>19</v>
      </c>
      <c r="L53" s="204">
        <f t="shared" si="8"/>
        <v>475.91052631578947</v>
      </c>
      <c r="M53" s="149">
        <f t="shared" si="6"/>
        <v>25.04792243767313</v>
      </c>
      <c r="N53" s="267">
        <f t="shared" si="3"/>
        <v>0.66514006558482053</v>
      </c>
      <c r="O53" s="149">
        <f t="shared" si="4"/>
        <v>25.047329331630522</v>
      </c>
      <c r="P53" s="149">
        <f t="shared" si="7"/>
        <v>475.89925730097991</v>
      </c>
    </row>
    <row r="54" spans="1:20" ht="14.1" customHeight="1" x14ac:dyDescent="0.2">
      <c r="B54" s="16">
        <v>20</v>
      </c>
      <c r="C54" s="238">
        <f t="shared" si="5"/>
        <v>500.70526315789476</v>
      </c>
      <c r="E54" s="16">
        <v>20</v>
      </c>
      <c r="F54" s="204">
        <f t="shared" si="9"/>
        <v>500.70526315789476</v>
      </c>
      <c r="G54" s="204"/>
      <c r="H54" s="16">
        <v>20</v>
      </c>
      <c r="I54" s="149">
        <f t="shared" si="2"/>
        <v>0</v>
      </c>
      <c r="K54" s="261">
        <v>20</v>
      </c>
      <c r="L54" s="262">
        <f t="shared" si="8"/>
        <v>500.70526315789476</v>
      </c>
      <c r="M54" s="263">
        <f t="shared" si="6"/>
        <v>25.03526315789474</v>
      </c>
      <c r="N54" s="266">
        <f t="shared" si="3"/>
        <v>0.66480390220827668</v>
      </c>
      <c r="O54" s="263">
        <f t="shared" si="4"/>
        <v>25.034670351609336</v>
      </c>
      <c r="P54" s="263">
        <f t="shared" si="7"/>
        <v>500.69340703218671</v>
      </c>
    </row>
    <row r="55" spans="1:20" ht="14.1" customHeight="1" x14ac:dyDescent="0.2">
      <c r="A55" t="s">
        <v>247</v>
      </c>
      <c r="B55" s="371">
        <v>21</v>
      </c>
      <c r="C55" s="373">
        <f t="shared" si="5"/>
        <v>525.5</v>
      </c>
      <c r="D55" s="227"/>
      <c r="E55" s="371">
        <v>21</v>
      </c>
      <c r="F55" s="374">
        <f t="shared" si="9"/>
        <v>525.49999999999989</v>
      </c>
      <c r="G55" s="374"/>
      <c r="H55" s="371">
        <v>21</v>
      </c>
      <c r="I55" s="375">
        <f t="shared" si="2"/>
        <v>0</v>
      </c>
      <c r="J55" s="227"/>
      <c r="K55" s="371">
        <v>21</v>
      </c>
      <c r="L55" s="204">
        <f t="shared" si="8"/>
        <v>525.49999999999989</v>
      </c>
      <c r="M55" s="149">
        <f t="shared" si="6"/>
        <v>25.023809523809518</v>
      </c>
      <c r="N55" s="267">
        <f t="shared" si="3"/>
        <v>0.66449975439140341</v>
      </c>
      <c r="O55" s="149">
        <f t="shared" si="4"/>
        <v>25.023216988733015</v>
      </c>
      <c r="P55" s="149">
        <f t="shared" si="7"/>
        <v>525.48755676339329</v>
      </c>
    </row>
    <row r="56" spans="1:20" ht="14.1" customHeight="1" x14ac:dyDescent="0.2">
      <c r="B56" s="16">
        <v>22</v>
      </c>
      <c r="C56" s="238">
        <f t="shared" si="5"/>
        <v>550.29473684210529</v>
      </c>
      <c r="E56" s="16">
        <v>22</v>
      </c>
      <c r="F56" s="204">
        <f t="shared" si="9"/>
        <v>550.29473684210518</v>
      </c>
      <c r="G56" s="204"/>
      <c r="H56" s="16">
        <v>22</v>
      </c>
      <c r="I56" s="149">
        <f t="shared" si="2"/>
        <v>0</v>
      </c>
      <c r="K56" s="16">
        <v>22</v>
      </c>
      <c r="L56" s="204">
        <f t="shared" si="8"/>
        <v>550.29473684210518</v>
      </c>
      <c r="M56" s="149">
        <f t="shared" si="6"/>
        <v>25.0133971291866</v>
      </c>
      <c r="N56" s="267">
        <f t="shared" si="3"/>
        <v>0.66422325637606439</v>
      </c>
      <c r="O56" s="149">
        <f t="shared" si="4"/>
        <v>25.012804840663652</v>
      </c>
      <c r="P56" s="149">
        <f t="shared" si="7"/>
        <v>550.28170649460037</v>
      </c>
    </row>
    <row r="57" spans="1:20" ht="14.1" customHeight="1" x14ac:dyDescent="0.2">
      <c r="B57" s="16">
        <v>23</v>
      </c>
      <c r="C57" s="238">
        <f t="shared" si="5"/>
        <v>575.08947368421059</v>
      </c>
      <c r="E57" s="16">
        <v>23</v>
      </c>
      <c r="F57" s="204">
        <f t="shared" si="9"/>
        <v>575.08947368421047</v>
      </c>
      <c r="G57" s="204"/>
      <c r="H57" s="16">
        <v>23</v>
      </c>
      <c r="I57" s="149">
        <f t="shared" si="2"/>
        <v>0</v>
      </c>
      <c r="K57" s="16">
        <v>23</v>
      </c>
      <c r="L57" s="204">
        <f t="shared" si="8"/>
        <v>575.08947368421047</v>
      </c>
      <c r="M57" s="149">
        <f t="shared" si="6"/>
        <v>25.003890160183065</v>
      </c>
      <c r="N57" s="267">
        <f t="shared" si="3"/>
        <v>0.66397080166640698</v>
      </c>
      <c r="O57" s="149">
        <f t="shared" si="4"/>
        <v>25.003298096774227</v>
      </c>
      <c r="P57" s="149">
        <f t="shared" si="7"/>
        <v>575.07585622580723</v>
      </c>
    </row>
    <row r="58" spans="1:20" ht="14.1" customHeight="1" x14ac:dyDescent="0.2">
      <c r="B58" s="16">
        <v>24</v>
      </c>
      <c r="C58" s="238">
        <f t="shared" si="5"/>
        <v>599.88421052631577</v>
      </c>
      <c r="E58" s="16">
        <v>24</v>
      </c>
      <c r="F58" s="204">
        <f t="shared" si="9"/>
        <v>599.88421052631566</v>
      </c>
      <c r="G58" s="204"/>
      <c r="H58" s="16">
        <v>24</v>
      </c>
      <c r="I58" s="149">
        <f t="shared" si="2"/>
        <v>0</v>
      </c>
      <c r="K58" s="16">
        <v>24</v>
      </c>
      <c r="L58" s="204">
        <f t="shared" si="8"/>
        <v>599.88421052631566</v>
      </c>
      <c r="M58" s="149">
        <f t="shared" si="6"/>
        <v>24.995175438596487</v>
      </c>
      <c r="N58" s="267">
        <f t="shared" si="3"/>
        <v>0.6637393848492209</v>
      </c>
      <c r="O58" s="149">
        <f t="shared" si="4"/>
        <v>24.994583581542248</v>
      </c>
      <c r="P58" s="149">
        <f t="shared" si="7"/>
        <v>599.87000595701397</v>
      </c>
    </row>
    <row r="59" spans="1:20" ht="14.1" customHeight="1" x14ac:dyDescent="0.2">
      <c r="B59" s="228">
        <v>25</v>
      </c>
      <c r="C59" s="238">
        <f t="shared" si="5"/>
        <v>624.67894736842106</v>
      </c>
      <c r="E59" s="16">
        <v>25</v>
      </c>
      <c r="F59" s="204">
        <f t="shared" si="9"/>
        <v>624.67894736842106</v>
      </c>
      <c r="G59" s="204"/>
      <c r="H59" s="16">
        <v>25</v>
      </c>
      <c r="I59" s="149">
        <f t="shared" si="2"/>
        <v>0</v>
      </c>
      <c r="K59" s="16">
        <v>25</v>
      </c>
      <c r="L59" s="204">
        <f t="shared" si="8"/>
        <v>624.67894736842106</v>
      </c>
      <c r="M59" s="149">
        <f t="shared" si="6"/>
        <v>24.987157894736843</v>
      </c>
      <c r="N59" s="267">
        <f t="shared" si="3"/>
        <v>0.66352648137740988</v>
      </c>
      <c r="O59" s="149">
        <f t="shared" si="4"/>
        <v>24.986566227528836</v>
      </c>
      <c r="P59" s="149">
        <f t="shared" si="7"/>
        <v>624.66415568822094</v>
      </c>
    </row>
    <row r="60" spans="1:20" ht="14.1" customHeight="1" x14ac:dyDescent="0.2">
      <c r="A60" s="158" t="s">
        <v>248</v>
      </c>
      <c r="B60" s="239">
        <v>26</v>
      </c>
      <c r="C60" s="240">
        <f t="shared" si="5"/>
        <v>649.47368421052636</v>
      </c>
      <c r="D60" s="159"/>
      <c r="E60" s="239">
        <v>26</v>
      </c>
      <c r="F60" s="241">
        <f t="shared" si="9"/>
        <v>649.47368421052636</v>
      </c>
      <c r="G60" s="241"/>
      <c r="H60" s="239">
        <v>26</v>
      </c>
      <c r="I60" s="246">
        <f t="shared" si="2"/>
        <v>0</v>
      </c>
      <c r="J60" s="159"/>
      <c r="K60" s="239">
        <v>26</v>
      </c>
      <c r="L60" s="204">
        <f t="shared" si="8"/>
        <v>649.47368421052636</v>
      </c>
      <c r="M60" s="259">
        <f t="shared" si="6"/>
        <v>24.979757085020246</v>
      </c>
      <c r="N60" s="267">
        <f t="shared" si="3"/>
        <v>0.66332995509573822</v>
      </c>
      <c r="O60" s="149">
        <f t="shared" si="4"/>
        <v>24.979165593054915</v>
      </c>
      <c r="P60" s="149">
        <f t="shared" si="7"/>
        <v>649.4583054194278</v>
      </c>
    </row>
    <row r="61" spans="1:20" ht="14.1" customHeight="1" x14ac:dyDescent="0.2">
      <c r="B61" s="16">
        <v>27</v>
      </c>
      <c r="C61" s="238">
        <f t="shared" si="5"/>
        <v>674.26842105263154</v>
      </c>
      <c r="E61" s="16">
        <v>27</v>
      </c>
      <c r="F61" s="204">
        <f t="shared" si="9"/>
        <v>674.26842105263154</v>
      </c>
      <c r="G61" s="204"/>
      <c r="H61" s="16">
        <v>27</v>
      </c>
      <c r="I61" s="149">
        <f t="shared" si="2"/>
        <v>0</v>
      </c>
      <c r="K61" s="16">
        <v>27</v>
      </c>
      <c r="L61" s="204">
        <f t="shared" si="8"/>
        <v>674.26842105263154</v>
      </c>
      <c r="M61" s="149">
        <f t="shared" si="6"/>
        <v>24.972904483430799</v>
      </c>
      <c r="N61" s="267">
        <f t="shared" si="3"/>
        <v>0.66314798631641236</v>
      </c>
      <c r="O61" s="149">
        <f t="shared" si="4"/>
        <v>24.972313153727203</v>
      </c>
      <c r="P61" s="149">
        <f t="shared" si="7"/>
        <v>674.25245515063443</v>
      </c>
    </row>
    <row r="62" spans="1:20" ht="14.1" customHeight="1" x14ac:dyDescent="0.2">
      <c r="B62" s="16">
        <v>28</v>
      </c>
      <c r="C62" s="238">
        <f t="shared" si="5"/>
        <v>699.06315789473683</v>
      </c>
      <c r="E62" s="16">
        <v>28</v>
      </c>
      <c r="F62" s="204">
        <f t="shared" si="9"/>
        <v>699.06315789473683</v>
      </c>
      <c r="G62" s="204"/>
      <c r="H62" s="16">
        <v>28</v>
      </c>
      <c r="I62" s="149">
        <f t="shared" si="2"/>
        <v>0</v>
      </c>
      <c r="K62" s="16">
        <v>28</v>
      </c>
      <c r="L62" s="204">
        <f t="shared" si="8"/>
        <v>699.06315789473683</v>
      </c>
      <c r="M62" s="149">
        <f t="shared" si="6"/>
        <v>24.966541353383459</v>
      </c>
      <c r="N62" s="267">
        <f t="shared" si="3"/>
        <v>0.66297901530703851</v>
      </c>
      <c r="O62" s="149">
        <f t="shared" si="4"/>
        <v>24.96595017435148</v>
      </c>
      <c r="P62" s="149">
        <f t="shared" si="7"/>
        <v>699.0466048818414</v>
      </c>
    </row>
    <row r="63" spans="1:20" ht="14.1" customHeight="1" x14ac:dyDescent="0.2">
      <c r="B63" s="16">
        <v>29</v>
      </c>
      <c r="C63" s="238">
        <f t="shared" si="5"/>
        <v>723.85789473684213</v>
      </c>
      <c r="E63" s="16">
        <v>29</v>
      </c>
      <c r="F63" s="204">
        <f t="shared" si="9"/>
        <v>723.85789473684213</v>
      </c>
      <c r="G63" s="204"/>
      <c r="H63" s="16">
        <v>29</v>
      </c>
      <c r="I63" s="149">
        <f t="shared" si="2"/>
        <v>0</v>
      </c>
      <c r="K63" s="16">
        <v>29</v>
      </c>
      <c r="L63" s="204">
        <f t="shared" si="8"/>
        <v>723.85789473684213</v>
      </c>
      <c r="M63" s="149">
        <f t="shared" si="6"/>
        <v>24.960617059891106</v>
      </c>
      <c r="N63" s="267">
        <f t="shared" si="3"/>
        <v>0.66282169747072484</v>
      </c>
      <c r="O63" s="149">
        <f t="shared" si="4"/>
        <v>24.960026021139594</v>
      </c>
      <c r="P63" s="149">
        <f t="shared" si="7"/>
        <v>723.84075461304826</v>
      </c>
    </row>
    <row r="64" spans="1:20" ht="14.1" customHeight="1" x14ac:dyDescent="0.2">
      <c r="B64" s="16">
        <v>30</v>
      </c>
      <c r="C64" s="238">
        <f t="shared" si="5"/>
        <v>748.65263157894742</v>
      </c>
      <c r="E64" s="16">
        <v>30</v>
      </c>
      <c r="F64" s="204">
        <f t="shared" si="9"/>
        <v>748.65263157894742</v>
      </c>
      <c r="G64" s="204"/>
      <c r="H64" s="16">
        <v>30</v>
      </c>
      <c r="I64" s="149">
        <f t="shared" si="2"/>
        <v>0</v>
      </c>
      <c r="K64" s="261">
        <v>30</v>
      </c>
      <c r="L64" s="262">
        <f t="shared" si="8"/>
        <v>748.65263157894742</v>
      </c>
      <c r="M64" s="263">
        <f t="shared" si="6"/>
        <v>24.955087719298248</v>
      </c>
      <c r="N64" s="266">
        <f t="shared" si="3"/>
        <v>0.66267486749016558</v>
      </c>
      <c r="O64" s="263">
        <f t="shared" si="4"/>
        <v>24.954496811475178</v>
      </c>
      <c r="P64" s="263">
        <f t="shared" si="7"/>
        <v>748.63490434425535</v>
      </c>
    </row>
    <row r="65" spans="2:16" ht="14.1" customHeight="1" x14ac:dyDescent="0.2">
      <c r="B65" s="16">
        <v>31</v>
      </c>
      <c r="C65" s="238">
        <f t="shared" si="5"/>
        <v>773.4473684210526</v>
      </c>
      <c r="E65" s="16">
        <v>31</v>
      </c>
      <c r="F65" s="204">
        <f t="shared" si="9"/>
        <v>773.4473684210526</v>
      </c>
      <c r="G65" s="204"/>
      <c r="H65" s="16">
        <v>31</v>
      </c>
      <c r="I65" s="149">
        <f t="shared" si="2"/>
        <v>0</v>
      </c>
      <c r="K65" s="16">
        <v>31</v>
      </c>
      <c r="L65" s="204">
        <f t="shared" si="8"/>
        <v>773.4473684210526</v>
      </c>
      <c r="M65" s="149">
        <f t="shared" si="6"/>
        <v>24.949915110356535</v>
      </c>
      <c r="N65" s="267">
        <f t="shared" si="3"/>
        <v>0.6625375104115776</v>
      </c>
      <c r="O65" s="149">
        <f t="shared" si="4"/>
        <v>24.949324325014899</v>
      </c>
      <c r="P65" s="149">
        <f t="shared" si="7"/>
        <v>773.42905407546186</v>
      </c>
    </row>
    <row r="66" spans="2:16" ht="14.1" customHeight="1" x14ac:dyDescent="0.2">
      <c r="B66" s="16">
        <v>32</v>
      </c>
      <c r="C66" s="238">
        <f t="shared" si="5"/>
        <v>798.2421052631579</v>
      </c>
      <c r="E66" s="16">
        <v>32</v>
      </c>
      <c r="F66" s="204">
        <f t="shared" si="9"/>
        <v>798.2421052631579</v>
      </c>
      <c r="G66" s="204"/>
      <c r="H66" s="16">
        <v>32</v>
      </c>
      <c r="I66" s="149">
        <f t="shared" si="2"/>
        <v>0</v>
      </c>
      <c r="K66" s="16">
        <v>32</v>
      </c>
      <c r="L66" s="204">
        <f t="shared" si="8"/>
        <v>798.2421052631579</v>
      </c>
      <c r="M66" s="149">
        <f t="shared" si="6"/>
        <v>24.945065789473684</v>
      </c>
      <c r="N66" s="267">
        <f t="shared" si="3"/>
        <v>0.66240873815040158</v>
      </c>
      <c r="O66" s="149">
        <f t="shared" si="4"/>
        <v>24.944475118958405</v>
      </c>
      <c r="P66" s="149">
        <f t="shared" si="7"/>
        <v>798.22320380666895</v>
      </c>
    </row>
    <row r="67" spans="2:16" ht="14.1" customHeight="1" x14ac:dyDescent="0.2">
      <c r="B67" s="16">
        <v>33</v>
      </c>
      <c r="C67" s="238">
        <f t="shared" si="5"/>
        <v>823.03684210526319</v>
      </c>
      <c r="E67" s="16">
        <v>33</v>
      </c>
      <c r="F67" s="204">
        <f t="shared" si="9"/>
        <v>823.03684210526319</v>
      </c>
      <c r="G67" s="204"/>
      <c r="H67" s="16">
        <v>33</v>
      </c>
      <c r="I67" s="149">
        <f t="shared" si="2"/>
        <v>0</v>
      </c>
      <c r="K67" s="16">
        <v>33</v>
      </c>
      <c r="L67" s="204">
        <f t="shared" si="8"/>
        <v>823.03684210526319</v>
      </c>
      <c r="M67" s="149">
        <f t="shared" si="6"/>
        <v>24.940510366826157</v>
      </c>
      <c r="N67" s="267">
        <f t="shared" si="3"/>
        <v>0.66228777026869068</v>
      </c>
      <c r="O67" s="149">
        <f t="shared" si="4"/>
        <v>24.939919804178047</v>
      </c>
      <c r="P67" s="149">
        <f t="shared" si="7"/>
        <v>823.01735353787558</v>
      </c>
    </row>
    <row r="68" spans="2:16" ht="14.1" customHeight="1" x14ac:dyDescent="0.2">
      <c r="B68" s="16">
        <v>34</v>
      </c>
      <c r="C68" s="238">
        <f t="shared" si="5"/>
        <v>847.83157894736837</v>
      </c>
      <c r="E68" s="16">
        <v>34</v>
      </c>
      <c r="F68" s="204">
        <f t="shared" si="9"/>
        <v>847.83157894736837</v>
      </c>
      <c r="G68" s="204"/>
      <c r="H68" s="16">
        <v>34</v>
      </c>
      <c r="I68" s="149">
        <f t="shared" si="2"/>
        <v>0</v>
      </c>
      <c r="K68" s="16">
        <v>34</v>
      </c>
      <c r="L68" s="204">
        <f t="shared" si="8"/>
        <v>847.83157894736837</v>
      </c>
      <c r="M68" s="149">
        <f t="shared" si="6"/>
        <v>24.936222910216717</v>
      </c>
      <c r="N68" s="267">
        <f t="shared" si="3"/>
        <v>0.66217391814472748</v>
      </c>
      <c r="O68" s="149">
        <f t="shared" si="4"/>
        <v>24.935632449090658</v>
      </c>
      <c r="P68" s="149">
        <f t="shared" si="7"/>
        <v>847.81150326908232</v>
      </c>
    </row>
    <row r="69" spans="2:16" ht="14.1" customHeight="1" x14ac:dyDescent="0.2">
      <c r="B69" s="16">
        <v>35</v>
      </c>
      <c r="C69" s="238">
        <f t="shared" si="5"/>
        <v>872.62631578947367</v>
      </c>
      <c r="E69" s="16">
        <v>35</v>
      </c>
      <c r="F69" s="204">
        <f t="shared" si="9"/>
        <v>872.62631578947367</v>
      </c>
      <c r="G69" s="204"/>
      <c r="H69" s="16">
        <v>35</v>
      </c>
      <c r="I69" s="149">
        <f t="shared" si="2"/>
        <v>0</v>
      </c>
      <c r="K69" s="16">
        <v>35</v>
      </c>
      <c r="L69" s="204">
        <f t="shared" si="8"/>
        <v>872.62631578947367</v>
      </c>
      <c r="M69" s="149">
        <f t="shared" si="6"/>
        <v>24.93218045112782</v>
      </c>
      <c r="N69" s="267">
        <f t="shared" si="3"/>
        <v>0.66206657185641937</v>
      </c>
      <c r="O69" s="149">
        <f t="shared" si="4"/>
        <v>24.931590085722551</v>
      </c>
      <c r="P69" s="149">
        <f t="shared" si="7"/>
        <v>872.60565300028929</v>
      </c>
    </row>
    <row r="70" spans="2:16" ht="14.1" customHeight="1" x14ac:dyDescent="0.2">
      <c r="B70" s="16">
        <v>36</v>
      </c>
      <c r="C70" s="238">
        <f t="shared" si="5"/>
        <v>897.42105263157896</v>
      </c>
      <c r="E70" s="16">
        <v>36</v>
      </c>
      <c r="F70" s="204">
        <f t="shared" si="9"/>
        <v>897.42105263157896</v>
      </c>
      <c r="G70" s="204"/>
      <c r="H70" s="16">
        <v>36</v>
      </c>
      <c r="I70" s="149">
        <f t="shared" si="2"/>
        <v>0</v>
      </c>
      <c r="K70" s="16">
        <v>36</v>
      </c>
      <c r="L70" s="204">
        <f t="shared" si="8"/>
        <v>897.42105263157896</v>
      </c>
      <c r="M70" s="149">
        <f t="shared" si="6"/>
        <v>24.928362573099417</v>
      </c>
      <c r="N70" s="267">
        <f t="shared" si="3"/>
        <v>0.66196518925079506</v>
      </c>
      <c r="O70" s="149">
        <f t="shared" si="4"/>
        <v>24.927772298097114</v>
      </c>
      <c r="P70" s="149">
        <f t="shared" si="7"/>
        <v>897.39980273149615</v>
      </c>
    </row>
    <row r="71" spans="2:16" ht="14.1" customHeight="1" x14ac:dyDescent="0.2">
      <c r="B71" s="16">
        <v>37</v>
      </c>
      <c r="C71" s="238">
        <f t="shared" si="5"/>
        <v>922.21578947368425</v>
      </c>
      <c r="E71" s="16">
        <v>37</v>
      </c>
      <c r="F71" s="204">
        <f t="shared" si="9"/>
        <v>922.21578947368425</v>
      </c>
      <c r="G71" s="204"/>
      <c r="H71" s="16">
        <v>37</v>
      </c>
      <c r="I71" s="149">
        <f t="shared" si="2"/>
        <v>0</v>
      </c>
      <c r="K71" s="16">
        <v>37</v>
      </c>
      <c r="L71" s="204">
        <f t="shared" si="8"/>
        <v>922.21578947368425</v>
      </c>
      <c r="M71" s="149">
        <f t="shared" si="6"/>
        <v>24.924751066856331</v>
      </c>
      <c r="N71" s="267">
        <f t="shared" si="3"/>
        <v>0.66186928678601531</v>
      </c>
      <c r="O71" s="149">
        <f t="shared" si="4"/>
        <v>24.924160877370355</v>
      </c>
      <c r="P71" s="149">
        <f t="shared" si="7"/>
        <v>922.19395246270312</v>
      </c>
    </row>
    <row r="72" spans="2:16" ht="14.1" customHeight="1" x14ac:dyDescent="0.2">
      <c r="B72" s="16">
        <v>38</v>
      </c>
      <c r="C72" s="238">
        <f t="shared" si="5"/>
        <v>947.01052631578943</v>
      </c>
      <c r="E72" s="16">
        <v>38</v>
      </c>
      <c r="F72" s="204">
        <f t="shared" si="9"/>
        <v>947.01052631578943</v>
      </c>
      <c r="G72" s="204"/>
      <c r="H72" s="16">
        <v>38</v>
      </c>
      <c r="I72" s="149">
        <f t="shared" si="2"/>
        <v>0</v>
      </c>
      <c r="K72" s="16">
        <v>38</v>
      </c>
      <c r="L72" s="204">
        <f t="shared" si="8"/>
        <v>947.01052631578943</v>
      </c>
      <c r="M72" s="149">
        <f t="shared" si="6"/>
        <v>24.921329639889194</v>
      </c>
      <c r="N72" s="267">
        <f t="shared" si="3"/>
        <v>0.66177843181938178</v>
      </c>
      <c r="O72" s="149">
        <f t="shared" si="4"/>
        <v>24.920739531418679</v>
      </c>
      <c r="P72" s="149">
        <f t="shared" si="7"/>
        <v>946.98810219390975</v>
      </c>
    </row>
    <row r="73" spans="2:16" ht="14.1" customHeight="1" x14ac:dyDescent="0.2">
      <c r="B73" s="16">
        <v>39</v>
      </c>
      <c r="C73" s="238">
        <f t="shared" si="5"/>
        <v>971.80526315789473</v>
      </c>
      <c r="E73" s="16">
        <v>39</v>
      </c>
      <c r="F73" s="204">
        <f t="shared" si="9"/>
        <v>971.80526315789473</v>
      </c>
      <c r="G73" s="204"/>
      <c r="H73" s="16">
        <v>39</v>
      </c>
      <c r="I73" s="149">
        <f t="shared" si="2"/>
        <v>0</v>
      </c>
      <c r="K73" s="16">
        <v>39</v>
      </c>
      <c r="L73" s="204">
        <f t="shared" si="8"/>
        <v>971.80526315789473</v>
      </c>
      <c r="M73" s="149">
        <f t="shared" si="6"/>
        <v>24.918083670715248</v>
      </c>
      <c r="N73" s="267">
        <f t="shared" si="3"/>
        <v>0.66169223608180638</v>
      </c>
      <c r="O73" s="149">
        <f t="shared" si="4"/>
        <v>24.917493639105555</v>
      </c>
      <c r="P73" s="149">
        <f t="shared" si="7"/>
        <v>971.78225192511661</v>
      </c>
    </row>
    <row r="74" spans="2:16" ht="14.1" customHeight="1" x14ac:dyDescent="0.2">
      <c r="B74" s="16">
        <v>40</v>
      </c>
      <c r="C74" s="238">
        <f t="shared" si="5"/>
        <v>996.6</v>
      </c>
      <c r="E74" s="16">
        <v>40</v>
      </c>
      <c r="F74" s="204">
        <f t="shared" si="9"/>
        <v>996.6</v>
      </c>
      <c r="G74" s="204"/>
      <c r="H74" s="16">
        <v>40</v>
      </c>
      <c r="I74" s="149">
        <f t="shared" si="2"/>
        <v>0</v>
      </c>
      <c r="K74" s="261">
        <v>40</v>
      </c>
      <c r="L74" s="262">
        <f t="shared" si="8"/>
        <v>996.6</v>
      </c>
      <c r="M74" s="263">
        <f t="shared" si="6"/>
        <v>24.914999999999999</v>
      </c>
      <c r="N74" s="266">
        <f t="shared" si="3"/>
        <v>0.6616103501311098</v>
      </c>
      <c r="O74" s="263">
        <f t="shared" si="4"/>
        <v>24.914410041408086</v>
      </c>
      <c r="P74" s="263">
        <f t="shared" si="7"/>
        <v>996.57640165632347</v>
      </c>
    </row>
    <row r="75" spans="2:16" ht="14.1" customHeight="1" x14ac:dyDescent="0.2">
      <c r="B75" s="16">
        <v>41</v>
      </c>
      <c r="C75" s="238">
        <f t="shared" si="5"/>
        <v>1021.3947368421052</v>
      </c>
      <c r="E75" s="16">
        <v>41</v>
      </c>
      <c r="F75" s="204">
        <f t="shared" si="9"/>
        <v>1021.3947368421052</v>
      </c>
      <c r="G75" s="204"/>
      <c r="H75" s="16">
        <v>41</v>
      </c>
      <c r="I75" s="149">
        <f t="shared" si="2"/>
        <v>0</v>
      </c>
      <c r="K75" s="16">
        <v>41</v>
      </c>
      <c r="L75" s="204">
        <f t="shared" si="8"/>
        <v>1021.3947368421052</v>
      </c>
      <c r="M75" s="149">
        <f t="shared" si="6"/>
        <v>24.912066752246467</v>
      </c>
      <c r="N75" s="267">
        <f t="shared" si="3"/>
        <v>0.66153245861703258</v>
      </c>
      <c r="O75" s="149">
        <f t="shared" si="4"/>
        <v>24.911476863110494</v>
      </c>
      <c r="P75" s="149">
        <f t="shared" si="7"/>
        <v>1021.3705513875302</v>
      </c>
    </row>
    <row r="76" spans="2:16" ht="14.1" customHeight="1" x14ac:dyDescent="0.2">
      <c r="B76" s="16">
        <v>42</v>
      </c>
      <c r="C76" s="238">
        <f t="shared" si="5"/>
        <v>1046.1894736842105</v>
      </c>
      <c r="E76" s="16">
        <v>42</v>
      </c>
      <c r="F76" s="204">
        <f t="shared" si="9"/>
        <v>1046.1894736842107</v>
      </c>
      <c r="G76" s="204"/>
      <c r="H76" s="16">
        <v>42</v>
      </c>
      <c r="I76" s="149">
        <f t="shared" si="2"/>
        <v>0</v>
      </c>
      <c r="K76" s="16">
        <v>42</v>
      </c>
      <c r="L76" s="204">
        <f t="shared" si="8"/>
        <v>1046.1894736842107</v>
      </c>
      <c r="M76" s="149">
        <f t="shared" si="6"/>
        <v>24.909273182957399</v>
      </c>
      <c r="N76" s="267">
        <f t="shared" si="3"/>
        <v>0.6614582762226735</v>
      </c>
      <c r="O76" s="149">
        <f t="shared" si="4"/>
        <v>24.908683359969938</v>
      </c>
      <c r="P76" s="149">
        <f t="shared" si="7"/>
        <v>1046.1647011187374</v>
      </c>
    </row>
    <row r="77" spans="2:16" ht="14.1" customHeight="1" x14ac:dyDescent="0.2">
      <c r="B77" s="16">
        <v>43</v>
      </c>
      <c r="C77" s="238">
        <f t="shared" si="5"/>
        <v>1070.9842105263158</v>
      </c>
      <c r="E77" s="16">
        <v>43</v>
      </c>
      <c r="F77" s="204">
        <f t="shared" si="9"/>
        <v>1070.984210526316</v>
      </c>
      <c r="G77" s="204"/>
      <c r="H77" s="16">
        <v>43</v>
      </c>
      <c r="I77" s="149">
        <f t="shared" si="2"/>
        <v>0</v>
      </c>
      <c r="K77" s="16">
        <v>43</v>
      </c>
      <c r="L77" s="204">
        <f t="shared" si="8"/>
        <v>1070.984210526316</v>
      </c>
      <c r="M77" s="149">
        <f t="shared" si="6"/>
        <v>24.90660954712363</v>
      </c>
      <c r="N77" s="267">
        <f t="shared" si="3"/>
        <v>0.661387544172238</v>
      </c>
      <c r="O77" s="149">
        <f t="shared" si="4"/>
        <v>24.90601978720801</v>
      </c>
      <c r="P77" s="149">
        <f t="shared" si="7"/>
        <v>1070.9588508499444</v>
      </c>
    </row>
    <row r="78" spans="2:16" ht="14.1" customHeight="1" x14ac:dyDescent="0.2">
      <c r="B78" s="16">
        <v>44</v>
      </c>
      <c r="C78" s="238">
        <f t="shared" si="5"/>
        <v>1095.7789473684211</v>
      </c>
      <c r="E78" s="16">
        <v>44</v>
      </c>
      <c r="F78" s="204">
        <f t="shared" si="9"/>
        <v>1095.7789473684213</v>
      </c>
      <c r="G78" s="204"/>
      <c r="H78" s="16">
        <v>44</v>
      </c>
      <c r="I78" s="149">
        <f t="shared" si="2"/>
        <v>0</v>
      </c>
      <c r="K78" s="16">
        <v>44</v>
      </c>
      <c r="L78" s="204">
        <f t="shared" si="8"/>
        <v>1095.7789473684213</v>
      </c>
      <c r="M78" s="149">
        <f t="shared" si="6"/>
        <v>24.90406698564594</v>
      </c>
      <c r="N78" s="267">
        <f t="shared" si="3"/>
        <v>0.66132002721500394</v>
      </c>
      <c r="O78" s="149">
        <f t="shared" si="4"/>
        <v>24.903477285935253</v>
      </c>
      <c r="P78" s="149">
        <f t="shared" si="7"/>
        <v>1095.7530005811511</v>
      </c>
    </row>
    <row r="79" spans="2:16" ht="14.1" customHeight="1" x14ac:dyDescent="0.2">
      <c r="B79" s="16">
        <v>45</v>
      </c>
      <c r="C79" s="238">
        <f t="shared" si="5"/>
        <v>1120.5736842105264</v>
      </c>
      <c r="E79" s="16">
        <v>45</v>
      </c>
      <c r="F79" s="204">
        <f t="shared" si="9"/>
        <v>1120.5736842105266</v>
      </c>
      <c r="G79" s="204"/>
      <c r="H79" s="16">
        <v>45</v>
      </c>
      <c r="I79" s="149">
        <f t="shared" si="2"/>
        <v>0</v>
      </c>
      <c r="K79" s="16">
        <v>45</v>
      </c>
      <c r="L79" s="204">
        <f t="shared" si="8"/>
        <v>1120.5736842105266</v>
      </c>
      <c r="M79" s="149">
        <f t="shared" si="6"/>
        <v>24.901637426900592</v>
      </c>
      <c r="N79" s="267">
        <f t="shared" si="3"/>
        <v>0.66125551101142488</v>
      </c>
      <c r="O79" s="149">
        <f t="shared" si="4"/>
        <v>24.901047784719069</v>
      </c>
      <c r="P79" s="149">
        <f t="shared" si="7"/>
        <v>1120.5471503123581</v>
      </c>
    </row>
    <row r="80" spans="2:16" ht="14.1" customHeight="1" x14ac:dyDescent="0.2">
      <c r="B80" s="16">
        <v>46</v>
      </c>
      <c r="C80" s="238">
        <f t="shared" si="5"/>
        <v>1145.3684210526317</v>
      </c>
      <c r="E80" s="16">
        <v>46</v>
      </c>
      <c r="F80" s="204">
        <f t="shared" si="9"/>
        <v>1145.3684210526319</v>
      </c>
      <c r="G80" s="204"/>
      <c r="H80" s="16">
        <v>46</v>
      </c>
      <c r="I80" s="149">
        <f t="shared" si="2"/>
        <v>0</v>
      </c>
      <c r="K80" s="16">
        <v>46</v>
      </c>
      <c r="L80" s="204">
        <f t="shared" si="8"/>
        <v>1145.3684210526319</v>
      </c>
      <c r="M80" s="149">
        <f t="shared" si="6"/>
        <v>24.899313501144171</v>
      </c>
      <c r="N80" s="267">
        <f t="shared" si="3"/>
        <v>0.66119379986017524</v>
      </c>
      <c r="O80" s="149">
        <f t="shared" si="4"/>
        <v>24.898723913990541</v>
      </c>
      <c r="P80" s="149">
        <f t="shared" si="7"/>
        <v>1145.3413000435648</v>
      </c>
    </row>
    <row r="81" spans="2:16" ht="14.1" customHeight="1" x14ac:dyDescent="0.2">
      <c r="B81" s="16">
        <v>47</v>
      </c>
      <c r="C81" s="238">
        <f t="shared" si="5"/>
        <v>1170.1631578947367</v>
      </c>
      <c r="E81" s="16">
        <v>47</v>
      </c>
      <c r="F81" s="204">
        <f t="shared" si="9"/>
        <v>1170.163157894737</v>
      </c>
      <c r="G81" s="204"/>
      <c r="H81" s="16">
        <v>47</v>
      </c>
      <c r="I81" s="149">
        <f t="shared" si="2"/>
        <v>0</v>
      </c>
      <c r="K81" s="16">
        <v>47</v>
      </c>
      <c r="L81" s="204">
        <f t="shared" si="8"/>
        <v>1170.163157894737</v>
      </c>
      <c r="M81" s="149">
        <f t="shared" si="6"/>
        <v>24.897088465845467</v>
      </c>
      <c r="N81" s="267">
        <f t="shared" si="3"/>
        <v>0.66113471471536167</v>
      </c>
      <c r="O81" s="149">
        <f t="shared" si="4"/>
        <v>24.896498931378115</v>
      </c>
      <c r="P81" s="149">
        <f t="shared" si="7"/>
        <v>1170.1354497747714</v>
      </c>
    </row>
    <row r="82" spans="2:16" ht="14.1" customHeight="1" x14ac:dyDescent="0.2">
      <c r="B82" s="16">
        <v>48</v>
      </c>
      <c r="C82" s="238">
        <f t="shared" si="5"/>
        <v>1194.957894736842</v>
      </c>
      <c r="E82" s="16">
        <v>48</v>
      </c>
      <c r="F82" s="204">
        <f t="shared" si="9"/>
        <v>1194.9578947368423</v>
      </c>
      <c r="G82" s="204"/>
      <c r="H82" s="16">
        <v>48</v>
      </c>
      <c r="I82" s="149">
        <f t="shared" si="2"/>
        <v>0</v>
      </c>
      <c r="K82" s="16">
        <v>48</v>
      </c>
      <c r="L82" s="204">
        <f t="shared" si="8"/>
        <v>1194.9578947368423</v>
      </c>
      <c r="M82" s="149">
        <f t="shared" si="6"/>
        <v>24.894956140350882</v>
      </c>
      <c r="N82" s="267">
        <f t="shared" si="3"/>
        <v>0.66107809145158225</v>
      </c>
      <c r="O82" s="149">
        <f t="shared" si="4"/>
        <v>24.894366656374554</v>
      </c>
      <c r="P82" s="149">
        <f t="shared" si="7"/>
        <v>1194.9295995059786</v>
      </c>
    </row>
    <row r="83" spans="2:16" ht="14.1" customHeight="1" x14ac:dyDescent="0.2">
      <c r="B83" s="16">
        <v>49</v>
      </c>
      <c r="C83" s="238">
        <f t="shared" si="5"/>
        <v>1219.7526315789473</v>
      </c>
      <c r="E83" s="16">
        <v>49</v>
      </c>
      <c r="F83" s="204">
        <f t="shared" si="9"/>
        <v>1219.7526315789476</v>
      </c>
      <c r="G83" s="204"/>
      <c r="H83" s="16">
        <v>49</v>
      </c>
      <c r="I83" s="149">
        <f t="shared" si="2"/>
        <v>0</v>
      </c>
      <c r="K83" s="16">
        <v>49</v>
      </c>
      <c r="L83" s="204">
        <f t="shared" si="8"/>
        <v>1219.7526315789476</v>
      </c>
      <c r="M83" s="149">
        <f t="shared" si="6"/>
        <v>24.892910848549949</v>
      </c>
      <c r="N83" s="267">
        <f t="shared" si="3"/>
        <v>0.66102377934142631</v>
      </c>
      <c r="O83" s="149">
        <f t="shared" si="4"/>
        <v>24.892321413003781</v>
      </c>
      <c r="P83" s="149">
        <f t="shared" si="7"/>
        <v>1219.7237492371853</v>
      </c>
    </row>
    <row r="84" spans="2:16" ht="14.1" customHeight="1" x14ac:dyDescent="0.2">
      <c r="B84" s="16">
        <v>50</v>
      </c>
      <c r="C84" s="238">
        <f t="shared" si="5"/>
        <v>1244.5473684210526</v>
      </c>
      <c r="E84" s="16">
        <v>50</v>
      </c>
      <c r="F84" s="204">
        <f t="shared" si="9"/>
        <v>1244.5473684210529</v>
      </c>
      <c r="G84" s="204"/>
      <c r="H84" s="16">
        <v>50</v>
      </c>
      <c r="I84" s="149">
        <f t="shared" si="2"/>
        <v>0</v>
      </c>
      <c r="K84" s="261">
        <v>50</v>
      </c>
      <c r="L84" s="262">
        <f t="shared" si="8"/>
        <v>1244.5473684210529</v>
      </c>
      <c r="M84" s="263">
        <f t="shared" si="6"/>
        <v>24.890947368421056</v>
      </c>
      <c r="N84" s="266">
        <f t="shared" si="3"/>
        <v>0.66097163971567663</v>
      </c>
      <c r="O84" s="263">
        <f t="shared" si="4"/>
        <v>24.890357979367845</v>
      </c>
      <c r="P84" s="263">
        <f t="shared" si="7"/>
        <v>1244.5178989683923</v>
      </c>
    </row>
    <row r="85" spans="2:16" ht="14.1" customHeight="1" x14ac:dyDescent="0.2">
      <c r="B85" s="16">
        <v>51</v>
      </c>
      <c r="C85" s="238">
        <f t="shared" si="5"/>
        <v>1269.3421052631579</v>
      </c>
      <c r="E85" s="16">
        <v>51</v>
      </c>
      <c r="F85" s="204">
        <f t="shared" si="9"/>
        <v>1269.3421052631581</v>
      </c>
      <c r="G85" s="204"/>
      <c r="H85" s="16">
        <v>51</v>
      </c>
      <c r="I85" s="149">
        <f>C85-F85</f>
        <v>0</v>
      </c>
      <c r="K85" s="16">
        <v>51</v>
      </c>
      <c r="L85" s="204">
        <f t="shared" si="8"/>
        <v>1269.3421052631581</v>
      </c>
      <c r="M85" s="149">
        <f t="shared" si="6"/>
        <v>24.889060887512905</v>
      </c>
      <c r="N85" s="267">
        <f t="shared" si="3"/>
        <v>0.66092154478113285</v>
      </c>
      <c r="O85" s="149">
        <f t="shared" si="4"/>
        <v>24.888471543129388</v>
      </c>
      <c r="P85" s="149">
        <f t="shared" si="7"/>
        <v>1269.3120486995988</v>
      </c>
    </row>
    <row r="86" spans="2:16" ht="14.1" customHeight="1" x14ac:dyDescent="0.2">
      <c r="E86" s="16"/>
    </row>
    <row r="87" spans="2:16" ht="14.1" customHeight="1" x14ac:dyDescent="0.2">
      <c r="E87" s="16"/>
      <c r="F87" s="276"/>
    </row>
    <row r="88" spans="2:16" ht="14.1" customHeight="1" x14ac:dyDescent="0.2">
      <c r="E88" s="16"/>
    </row>
    <row r="89" spans="2:16" ht="14.1" customHeight="1" x14ac:dyDescent="0.2">
      <c r="E89" s="16"/>
    </row>
    <row r="90" spans="2:16" ht="14.1" customHeight="1" x14ac:dyDescent="0.2">
      <c r="E90" s="16"/>
    </row>
    <row r="91" spans="2:16" ht="14.1" customHeight="1" x14ac:dyDescent="0.2">
      <c r="E91" s="16"/>
    </row>
    <row r="92" spans="2:16" ht="14.1" customHeight="1" x14ac:dyDescent="0.2">
      <c r="B92" s="317">
        <v>0.67714484962244759</v>
      </c>
      <c r="C92" s="331" t="s">
        <v>199</v>
      </c>
      <c r="D92" s="318">
        <v>51</v>
      </c>
      <c r="E92" s="16"/>
      <c r="F92" s="317">
        <v>0.67709174022247753</v>
      </c>
      <c r="G92" s="332" t="s">
        <v>202</v>
      </c>
      <c r="H92" s="318">
        <v>51</v>
      </c>
      <c r="J92" s="317">
        <v>0.67709174022247731</v>
      </c>
      <c r="K92" s="11" t="s">
        <v>203</v>
      </c>
      <c r="L92" s="318">
        <v>51</v>
      </c>
      <c r="N92" s="317">
        <v>0.67709174022247531</v>
      </c>
      <c r="O92" s="11" t="s">
        <v>204</v>
      </c>
      <c r="P92" s="318">
        <v>51</v>
      </c>
    </row>
    <row r="93" spans="2:16" ht="14.1" customHeight="1" x14ac:dyDescent="0.2">
      <c r="B93" s="319">
        <v>0.62137997965354053</v>
      </c>
      <c r="C93" s="9"/>
      <c r="D93" s="320">
        <v>887</v>
      </c>
      <c r="E93" s="16"/>
      <c r="F93" s="319">
        <v>0.64360095260115102</v>
      </c>
      <c r="G93" s="9"/>
      <c r="H93" s="320">
        <v>940</v>
      </c>
      <c r="J93" s="319">
        <v>0.66750018258782562</v>
      </c>
      <c r="K93" s="9"/>
      <c r="L93" s="320">
        <v>997</v>
      </c>
      <c r="N93" s="319">
        <v>0.69139941257449977</v>
      </c>
      <c r="O93" s="9"/>
      <c r="P93" s="320">
        <v>1054</v>
      </c>
    </row>
    <row r="94" spans="2:16" ht="14.1" customHeight="1" x14ac:dyDescent="0.2">
      <c r="B94" s="319">
        <v>0.58885047217167819</v>
      </c>
      <c r="C94" s="9"/>
      <c r="D94" s="15"/>
      <c r="E94" s="16"/>
      <c r="F94" s="319">
        <v>0.62406465982204407</v>
      </c>
      <c r="G94" s="9"/>
      <c r="H94" s="15"/>
      <c r="J94" s="319">
        <v>0.66190510730094543</v>
      </c>
      <c r="K94" s="9"/>
      <c r="L94" s="15"/>
      <c r="N94" s="319">
        <v>0.69974555477984712</v>
      </c>
      <c r="O94" s="9"/>
      <c r="P94" s="15"/>
    </row>
    <row r="95" spans="2:16" ht="14.1" customHeight="1" x14ac:dyDescent="0.2">
      <c r="B95" s="321"/>
      <c r="C95" s="322"/>
      <c r="D95" s="323" t="s">
        <v>15</v>
      </c>
      <c r="E95" s="16"/>
      <c r="F95" s="321"/>
      <c r="G95" s="322"/>
      <c r="H95" s="323" t="s">
        <v>15</v>
      </c>
      <c r="J95" s="321"/>
      <c r="K95" s="322"/>
      <c r="L95" s="323" t="s">
        <v>15</v>
      </c>
      <c r="N95" s="321"/>
      <c r="O95" s="322"/>
      <c r="P95" s="323" t="s">
        <v>15</v>
      </c>
    </row>
    <row r="96" spans="2:16" ht="14.1" customHeight="1" x14ac:dyDescent="0.2">
      <c r="B96" s="321" t="s">
        <v>65</v>
      </c>
      <c r="C96" s="322" t="s">
        <v>12</v>
      </c>
      <c r="D96" s="323" t="s">
        <v>16</v>
      </c>
      <c r="E96" s="16"/>
      <c r="F96" s="321" t="s">
        <v>65</v>
      </c>
      <c r="G96" s="322" t="s">
        <v>12</v>
      </c>
      <c r="H96" s="323" t="s">
        <v>16</v>
      </c>
      <c r="J96" s="321" t="s">
        <v>65</v>
      </c>
      <c r="K96" s="322" t="s">
        <v>12</v>
      </c>
      <c r="L96" s="323" t="s">
        <v>16</v>
      </c>
      <c r="N96" s="321" t="s">
        <v>65</v>
      </c>
      <c r="O96" s="322" t="s">
        <v>12</v>
      </c>
      <c r="P96" s="323" t="s">
        <v>16</v>
      </c>
    </row>
    <row r="97" spans="2:16" ht="14.1" customHeight="1" x14ac:dyDescent="0.2">
      <c r="B97" s="191" t="s">
        <v>221</v>
      </c>
      <c r="C97" s="163">
        <v>0.77194512856959008</v>
      </c>
      <c r="D97" s="324">
        <v>29.069311655778932</v>
      </c>
      <c r="F97" s="191" t="s">
        <v>221</v>
      </c>
      <c r="G97" s="163">
        <v>0.77188458385362435</v>
      </c>
      <c r="H97" s="324">
        <v>29.067031709766734</v>
      </c>
      <c r="J97" s="191" t="s">
        <v>221</v>
      </c>
      <c r="K97" s="163">
        <v>0.77188458385362402</v>
      </c>
      <c r="L97" s="324">
        <v>29.06703170976672</v>
      </c>
      <c r="N97" s="191" t="s">
        <v>221</v>
      </c>
      <c r="O97" s="163">
        <v>0.7718845838536218</v>
      </c>
      <c r="P97" s="324">
        <v>29.067031709766638</v>
      </c>
    </row>
    <row r="98" spans="2:16" ht="14.1" customHeight="1" x14ac:dyDescent="0.2">
      <c r="B98" s="325">
        <v>2</v>
      </c>
      <c r="C98" s="326">
        <v>0.67714484962244759</v>
      </c>
      <c r="D98" s="327">
        <v>50.99879237855955</v>
      </c>
      <c r="F98" s="325">
        <v>2</v>
      </c>
      <c r="G98" s="326">
        <v>0.67709174022247753</v>
      </c>
      <c r="H98" s="327">
        <v>50.99479247327497</v>
      </c>
      <c r="J98" s="325">
        <v>2</v>
      </c>
      <c r="K98" s="326">
        <v>0.67709174022247731</v>
      </c>
      <c r="L98" s="327">
        <v>50.994792473274963</v>
      </c>
      <c r="N98" s="325">
        <v>2</v>
      </c>
      <c r="O98" s="326">
        <v>0.67709174022247531</v>
      </c>
      <c r="P98" s="327">
        <v>50.994792473274799</v>
      </c>
    </row>
    <row r="99" spans="2:16" ht="14.1" customHeight="1" x14ac:dyDescent="0.2">
      <c r="B99" s="191">
        <v>3</v>
      </c>
      <c r="C99" s="163">
        <v>0.64616436630638807</v>
      </c>
      <c r="D99" s="324">
        <v>72.998271443820528</v>
      </c>
      <c r="F99" s="191">
        <v>3</v>
      </c>
      <c r="G99" s="163">
        <v>0.65848574709951846</v>
      </c>
      <c r="H99" s="324">
        <v>74.390238482858905</v>
      </c>
      <c r="J99" s="191">
        <v>3</v>
      </c>
      <c r="K99" s="163">
        <v>0.67176309709211512</v>
      </c>
      <c r="L99" s="324">
        <v>75.890202964581206</v>
      </c>
      <c r="N99" s="191">
        <v>3</v>
      </c>
      <c r="O99" s="163">
        <v>0.68504044708471112</v>
      </c>
      <c r="P99" s="324">
        <v>77.390167446303437</v>
      </c>
    </row>
    <row r="100" spans="2:16" ht="14.1" customHeight="1" x14ac:dyDescent="0.2">
      <c r="B100" s="191">
        <v>4</v>
      </c>
      <c r="C100" s="163">
        <v>0.63067412464835837</v>
      </c>
      <c r="D100" s="324">
        <v>94.997750509081541</v>
      </c>
      <c r="F100" s="191">
        <v>4</v>
      </c>
      <c r="G100" s="163">
        <v>0.64918275053803876</v>
      </c>
      <c r="H100" s="324">
        <v>97.785684492442826</v>
      </c>
      <c r="J100" s="191">
        <v>4</v>
      </c>
      <c r="K100" s="163">
        <v>0.66909877552693409</v>
      </c>
      <c r="L100" s="324">
        <v>100.78561345588747</v>
      </c>
      <c r="N100" s="191">
        <v>4</v>
      </c>
      <c r="O100" s="163">
        <v>0.68901480051582897</v>
      </c>
      <c r="P100" s="324">
        <v>103.78554241933206</v>
      </c>
    </row>
    <row r="101" spans="2:16" ht="14.1" customHeight="1" x14ac:dyDescent="0.2">
      <c r="B101" s="325">
        <v>5</v>
      </c>
      <c r="C101" s="326">
        <v>0.62137997965354053</v>
      </c>
      <c r="D101" s="328">
        <v>116.99722957434255</v>
      </c>
      <c r="F101" s="325">
        <v>5</v>
      </c>
      <c r="G101" s="326">
        <v>0.64360095260115102</v>
      </c>
      <c r="H101" s="328">
        <v>121.18113050202675</v>
      </c>
      <c r="J101" s="325">
        <v>5</v>
      </c>
      <c r="K101" s="326">
        <v>0.66750018258782562</v>
      </c>
      <c r="L101" s="328">
        <v>125.68102394719376</v>
      </c>
      <c r="N101" s="325">
        <v>5</v>
      </c>
      <c r="O101" s="326">
        <v>0.69139941257449977</v>
      </c>
      <c r="P101" s="328">
        <v>130.1809173923607</v>
      </c>
    </row>
    <row r="102" spans="2:16" ht="14.1" customHeight="1" x14ac:dyDescent="0.2">
      <c r="B102" s="191">
        <v>10</v>
      </c>
      <c r="C102" s="163">
        <v>0.60279168966390495</v>
      </c>
      <c r="D102" s="324">
        <v>226.99462490064761</v>
      </c>
      <c r="F102" s="191">
        <v>10</v>
      </c>
      <c r="G102" s="163">
        <v>0.63243735672737555</v>
      </c>
      <c r="H102" s="324">
        <v>238.15836054994637</v>
      </c>
      <c r="J102" s="191">
        <v>10</v>
      </c>
      <c r="K102" s="163">
        <v>0.66430299670960824</v>
      </c>
      <c r="L102" s="324">
        <v>250.15807640372512</v>
      </c>
      <c r="N102" s="191">
        <v>10</v>
      </c>
      <c r="O102" s="163">
        <v>0.69616863669184137</v>
      </c>
      <c r="P102" s="324">
        <v>262.1577922575039</v>
      </c>
    </row>
    <row r="103" spans="2:16" ht="14.1" customHeight="1" x14ac:dyDescent="0.2">
      <c r="B103" s="191">
        <v>20</v>
      </c>
      <c r="C103" s="163">
        <v>0.59349754466908711</v>
      </c>
      <c r="D103" s="324">
        <v>446.98941555325769</v>
      </c>
      <c r="F103" s="191">
        <v>20</v>
      </c>
      <c r="G103" s="163">
        <v>0.62685555879048771</v>
      </c>
      <c r="H103" s="324">
        <v>472.11282064578563</v>
      </c>
      <c r="J103" s="191">
        <v>20</v>
      </c>
      <c r="K103" s="163">
        <v>0.66270440377049966</v>
      </c>
      <c r="L103" s="324">
        <v>499.11218131678771</v>
      </c>
      <c r="N103" s="191">
        <v>20</v>
      </c>
      <c r="O103" s="163">
        <v>0.69855324875051183</v>
      </c>
      <c r="P103" s="324">
        <v>526.11154198779002</v>
      </c>
    </row>
    <row r="104" spans="2:16" ht="14.1" customHeight="1" x14ac:dyDescent="0.2">
      <c r="B104" s="191">
        <v>30</v>
      </c>
      <c r="C104" s="163">
        <v>0.59039949633748112</v>
      </c>
      <c r="D104" s="324">
        <v>666.98420620586774</v>
      </c>
      <c r="F104" s="191">
        <v>30</v>
      </c>
      <c r="G104" s="163">
        <v>0.62499495947819184</v>
      </c>
      <c r="H104" s="324">
        <v>706.06728074162481</v>
      </c>
      <c r="J104" s="191">
        <v>30</v>
      </c>
      <c r="K104" s="163">
        <v>0.66217153945746354</v>
      </c>
      <c r="L104" s="324">
        <v>748.06628622985045</v>
      </c>
      <c r="N104" s="191">
        <v>30</v>
      </c>
      <c r="O104" s="163">
        <v>0.69934811943673536</v>
      </c>
      <c r="P104" s="324">
        <v>790.0652917180762</v>
      </c>
    </row>
    <row r="105" spans="2:16" ht="14.1" customHeight="1" x14ac:dyDescent="0.2">
      <c r="B105" s="325">
        <v>40</v>
      </c>
      <c r="C105" s="326">
        <v>0.58885047217167819</v>
      </c>
      <c r="D105" s="327">
        <v>886.9789968584779</v>
      </c>
      <c r="F105" s="325">
        <v>40</v>
      </c>
      <c r="G105" s="326">
        <v>0.62406465982204407</v>
      </c>
      <c r="H105" s="327">
        <v>940.02174083746456</v>
      </c>
      <c r="J105" s="325">
        <v>40</v>
      </c>
      <c r="K105" s="326">
        <v>0.66190510730094543</v>
      </c>
      <c r="L105" s="327">
        <v>997.02039114291324</v>
      </c>
      <c r="N105" s="325">
        <v>40</v>
      </c>
      <c r="O105" s="326">
        <v>0.69974555477984712</v>
      </c>
      <c r="P105" s="327">
        <v>1054.0190414483623</v>
      </c>
    </row>
    <row r="106" spans="2:16" ht="14.1" customHeight="1" x14ac:dyDescent="0.2">
      <c r="B106" s="194">
        <v>50</v>
      </c>
      <c r="C106" s="329">
        <v>0.58792105767219649</v>
      </c>
      <c r="D106" s="330">
        <v>1106.9737875110882</v>
      </c>
      <c r="F106" s="194">
        <v>50</v>
      </c>
      <c r="G106" s="329">
        <v>0.62350648002835529</v>
      </c>
      <c r="H106" s="330">
        <v>1173.9762009333037</v>
      </c>
      <c r="J106" s="194">
        <v>50</v>
      </c>
      <c r="K106" s="329">
        <v>0.66174524800703471</v>
      </c>
      <c r="L106" s="330">
        <v>1245.9744960559763</v>
      </c>
      <c r="N106" s="194">
        <v>50</v>
      </c>
      <c r="O106" s="329">
        <v>0.69998401598571403</v>
      </c>
      <c r="P106" s="330">
        <v>1317.9727911786481</v>
      </c>
    </row>
    <row r="107" spans="2:16" ht="14.1" customHeight="1" x14ac:dyDescent="0.2"/>
    <row r="108" spans="2:16" ht="14.1" customHeight="1" x14ac:dyDescent="0.2"/>
    <row r="109" spans="2:16" ht="14.1" customHeight="1" x14ac:dyDescent="0.2">
      <c r="B109" s="317">
        <v>0.73020114019286586</v>
      </c>
      <c r="C109" s="331" t="s">
        <v>205</v>
      </c>
      <c r="D109" s="318">
        <v>55</v>
      </c>
      <c r="E109" s="16"/>
      <c r="F109" s="317">
        <v>0.73012147609291012</v>
      </c>
      <c r="G109" s="332" t="s">
        <v>206</v>
      </c>
      <c r="H109" s="318">
        <v>55</v>
      </c>
      <c r="J109" s="317">
        <v>0.73012147609290967</v>
      </c>
      <c r="K109" s="11" t="s">
        <v>207</v>
      </c>
      <c r="L109" s="318">
        <v>55</v>
      </c>
      <c r="N109" s="317">
        <v>0.73012147609291189</v>
      </c>
      <c r="O109" s="11" t="s">
        <v>208</v>
      </c>
      <c r="P109" s="318">
        <v>55</v>
      </c>
    </row>
    <row r="110" spans="2:16" ht="14.1" customHeight="1" x14ac:dyDescent="0.2">
      <c r="B110" s="319">
        <v>0.64094548260263184</v>
      </c>
      <c r="C110" s="9"/>
      <c r="D110" s="320">
        <v>887</v>
      </c>
      <c r="E110" s="16"/>
      <c r="F110" s="319">
        <v>0.66312396803026596</v>
      </c>
      <c r="G110" s="9"/>
      <c r="H110" s="320">
        <v>940</v>
      </c>
      <c r="J110" s="319">
        <v>0.68702319801694034</v>
      </c>
      <c r="K110" s="9"/>
      <c r="L110" s="320">
        <v>997</v>
      </c>
      <c r="N110" s="319">
        <v>0.71092242800361594</v>
      </c>
      <c r="O110" s="9"/>
      <c r="P110" s="320">
        <v>1054</v>
      </c>
    </row>
    <row r="111" spans="2:16" ht="14.1" customHeight="1" x14ac:dyDescent="0.2">
      <c r="B111" s="319">
        <v>0.58887968234166199</v>
      </c>
      <c r="C111" s="9"/>
      <c r="D111" s="15"/>
      <c r="E111" s="16"/>
      <c r="F111" s="319">
        <v>0.62404208832705677</v>
      </c>
      <c r="G111" s="9"/>
      <c r="H111" s="15"/>
      <c r="J111" s="319">
        <v>0.66188253580595813</v>
      </c>
      <c r="K111" s="9"/>
      <c r="L111" s="15"/>
      <c r="N111" s="319">
        <v>0.69972298328485982</v>
      </c>
      <c r="O111" s="9"/>
      <c r="P111" s="15"/>
    </row>
    <row r="112" spans="2:16" ht="14.1" customHeight="1" x14ac:dyDescent="0.2">
      <c r="B112" s="321"/>
      <c r="C112" s="322"/>
      <c r="D112" s="323" t="s">
        <v>15</v>
      </c>
      <c r="E112" s="16"/>
      <c r="F112" s="321"/>
      <c r="G112" s="322"/>
      <c r="H112" s="323" t="s">
        <v>15</v>
      </c>
      <c r="J112" s="321"/>
      <c r="K112" s="322"/>
      <c r="L112" s="323" t="s">
        <v>15</v>
      </c>
      <c r="N112" s="321"/>
      <c r="O112" s="322"/>
      <c r="P112" s="323" t="s">
        <v>15</v>
      </c>
    </row>
    <row r="113" spans="2:16" ht="14.1" customHeight="1" x14ac:dyDescent="0.2">
      <c r="B113" s="321" t="s">
        <v>65</v>
      </c>
      <c r="C113" s="322" t="s">
        <v>12</v>
      </c>
      <c r="D113" s="323" t="s">
        <v>16</v>
      </c>
      <c r="E113" s="16"/>
      <c r="F113" s="321" t="s">
        <v>65</v>
      </c>
      <c r="G113" s="322" t="s">
        <v>12</v>
      </c>
      <c r="H113" s="323" t="s">
        <v>16</v>
      </c>
      <c r="J113" s="321" t="s">
        <v>65</v>
      </c>
      <c r="K113" s="322" t="s">
        <v>12</v>
      </c>
      <c r="L113" s="323" t="s">
        <v>16</v>
      </c>
      <c r="N113" s="321" t="s">
        <v>65</v>
      </c>
      <c r="O113" s="322" t="s">
        <v>12</v>
      </c>
      <c r="P113" s="323" t="s">
        <v>16</v>
      </c>
    </row>
    <row r="114" spans="2:16" ht="14.1" customHeight="1" x14ac:dyDescent="0.2">
      <c r="B114" s="191" t="s">
        <v>221</v>
      </c>
      <c r="C114" s="163">
        <v>0.83242929981986702</v>
      </c>
      <c r="D114" s="324">
        <v>31.3469777219847</v>
      </c>
      <c r="F114" s="191" t="s">
        <v>221</v>
      </c>
      <c r="G114" s="163">
        <v>0.83233848274591749</v>
      </c>
      <c r="H114" s="324" t="s">
        <v>22</v>
      </c>
      <c r="J114" s="191" t="s">
        <v>221</v>
      </c>
      <c r="K114" s="163">
        <v>0.83233848274591693</v>
      </c>
      <c r="L114" s="324">
        <v>31.343557802966345</v>
      </c>
      <c r="N114" s="191" t="s">
        <v>221</v>
      </c>
      <c r="O114" s="163">
        <v>0.83233848274591937</v>
      </c>
      <c r="P114" s="324">
        <v>31.343557802966433</v>
      </c>
    </row>
    <row r="115" spans="2:16" ht="14.1" customHeight="1" x14ac:dyDescent="0.2">
      <c r="B115" s="325">
        <v>2</v>
      </c>
      <c r="C115" s="326">
        <v>0.73020114019286586</v>
      </c>
      <c r="D115" s="327">
        <v>54.994697757867897</v>
      </c>
      <c r="F115" s="325">
        <v>2</v>
      </c>
      <c r="G115" s="326">
        <v>0.73012147609291012</v>
      </c>
      <c r="H115" s="327">
        <v>54.988697899941002</v>
      </c>
      <c r="J115" s="325">
        <v>2</v>
      </c>
      <c r="K115" s="326">
        <v>0.73012147609290967</v>
      </c>
      <c r="L115" s="327">
        <v>54.988697899940966</v>
      </c>
      <c r="N115" s="325">
        <v>2</v>
      </c>
      <c r="O115" s="326">
        <v>0.73012147609291189</v>
      </c>
      <c r="P115" s="327">
        <v>54.988697899941137</v>
      </c>
    </row>
    <row r="116" spans="2:16" ht="14.1" customHeight="1" x14ac:dyDescent="0.2">
      <c r="B116" s="191">
        <v>3</v>
      </c>
      <c r="C116" s="163">
        <v>0.68061466375384694</v>
      </c>
      <c r="D116" s="324">
        <v>76.890179285729488</v>
      </c>
      <c r="F116" s="191">
        <v>3</v>
      </c>
      <c r="G116" s="163">
        <v>0.69290063828032988</v>
      </c>
      <c r="H116" s="324">
        <v>78.278146419483221</v>
      </c>
      <c r="J116" s="191">
        <v>3</v>
      </c>
      <c r="K116" s="163">
        <v>0.70617798827292677</v>
      </c>
      <c r="L116" s="324">
        <v>79.778110901205537</v>
      </c>
      <c r="N116" s="191">
        <v>3</v>
      </c>
      <c r="O116" s="163">
        <v>0.71945533826552532</v>
      </c>
      <c r="P116" s="324">
        <v>81.278075382928051</v>
      </c>
    </row>
    <row r="117" spans="2:16" ht="14.1" customHeight="1" x14ac:dyDescent="0.2">
      <c r="B117" s="191">
        <v>4</v>
      </c>
      <c r="C117" s="163">
        <v>0.65582142553433753</v>
      </c>
      <c r="D117" s="324">
        <v>98.785660813591093</v>
      </c>
      <c r="F117" s="191">
        <v>4</v>
      </c>
      <c r="G117" s="163">
        <v>0.67429021937403999</v>
      </c>
      <c r="H117" s="324">
        <v>101.56759493902545</v>
      </c>
      <c r="J117" s="191">
        <v>4</v>
      </c>
      <c r="K117" s="163">
        <v>0.69420624436293532</v>
      </c>
      <c r="L117" s="324">
        <v>104.56752390247011</v>
      </c>
      <c r="N117" s="191">
        <v>4</v>
      </c>
      <c r="O117" s="163">
        <v>0.71412226935183198</v>
      </c>
      <c r="P117" s="324">
        <v>107.56745286591496</v>
      </c>
    </row>
    <row r="118" spans="2:16" ht="14.1" customHeight="1" x14ac:dyDescent="0.2">
      <c r="B118" s="325">
        <v>5</v>
      </c>
      <c r="C118" s="326">
        <v>0.64094548260263184</v>
      </c>
      <c r="D118" s="328">
        <v>120.68114234145268</v>
      </c>
      <c r="F118" s="325">
        <v>5</v>
      </c>
      <c r="G118" s="326">
        <v>0.66312396803026596</v>
      </c>
      <c r="H118" s="328">
        <v>124.85704345856769</v>
      </c>
      <c r="J118" s="325">
        <v>5</v>
      </c>
      <c r="K118" s="326">
        <v>0.68702319801694034</v>
      </c>
      <c r="L118" s="328">
        <v>129.35693690373466</v>
      </c>
      <c r="N118" s="325">
        <v>5</v>
      </c>
      <c r="O118" s="326">
        <v>0.71092242800361594</v>
      </c>
      <c r="P118" s="328">
        <v>133.85683034890184</v>
      </c>
    </row>
    <row r="119" spans="2:16" ht="14.1" customHeight="1" x14ac:dyDescent="0.2">
      <c r="B119" s="191">
        <v>10</v>
      </c>
      <c r="C119" s="163">
        <v>0.61119359673922069</v>
      </c>
      <c r="D119" s="324">
        <v>230.15854998076077</v>
      </c>
      <c r="F119" s="191">
        <v>10</v>
      </c>
      <c r="G119" s="163">
        <v>0.64079146534271791</v>
      </c>
      <c r="H119" s="324">
        <v>241.30428605627884</v>
      </c>
      <c r="J119" s="191">
        <v>10</v>
      </c>
      <c r="K119" s="163">
        <v>0.67265710532495049</v>
      </c>
      <c r="L119" s="324">
        <v>253.30400191005748</v>
      </c>
      <c r="N119" s="191">
        <v>10</v>
      </c>
      <c r="O119" s="163">
        <v>0.70452274530718395</v>
      </c>
      <c r="P119" s="324">
        <v>265.3037177638364</v>
      </c>
    </row>
    <row r="120" spans="2:16" ht="14.1" customHeight="1" x14ac:dyDescent="0.2">
      <c r="B120" s="191">
        <v>20</v>
      </c>
      <c r="C120" s="163">
        <v>0.59631765380751478</v>
      </c>
      <c r="D120" s="324">
        <v>449.11336525937656</v>
      </c>
      <c r="F120" s="191">
        <v>20</v>
      </c>
      <c r="G120" s="163">
        <v>0.62962521399894378</v>
      </c>
      <c r="H120" s="324">
        <v>474.19877125170103</v>
      </c>
      <c r="J120" s="191">
        <v>20</v>
      </c>
      <c r="K120" s="163">
        <v>0.66547405897895562</v>
      </c>
      <c r="L120" s="324">
        <v>501.19813192270306</v>
      </c>
      <c r="N120" s="191">
        <v>20</v>
      </c>
      <c r="O120" s="163">
        <v>0.7013229039589679</v>
      </c>
      <c r="P120" s="324">
        <v>528.19749259370542</v>
      </c>
    </row>
    <row r="121" spans="2:16" ht="14.1" customHeight="1" x14ac:dyDescent="0.2">
      <c r="B121" s="191">
        <v>30</v>
      </c>
      <c r="C121" s="163">
        <v>0.59135900616361292</v>
      </c>
      <c r="D121" s="324">
        <v>668.06818053799248</v>
      </c>
      <c r="F121" s="191">
        <v>30</v>
      </c>
      <c r="G121" s="163">
        <v>0.62590313021768573</v>
      </c>
      <c r="H121" s="324">
        <v>707.09325644712339</v>
      </c>
      <c r="J121" s="191">
        <v>30</v>
      </c>
      <c r="K121" s="163">
        <v>0.66307971019695733</v>
      </c>
      <c r="L121" s="324">
        <v>749.09226193534869</v>
      </c>
      <c r="N121" s="191">
        <v>30</v>
      </c>
      <c r="O121" s="163">
        <v>0.70025629017622926</v>
      </c>
      <c r="P121" s="324">
        <v>791.09126742357466</v>
      </c>
    </row>
    <row r="122" spans="2:16" ht="14.1" customHeight="1" x14ac:dyDescent="0.2">
      <c r="B122" s="325">
        <v>40</v>
      </c>
      <c r="C122" s="326">
        <v>0.58887968234166199</v>
      </c>
      <c r="D122" s="327">
        <v>887.02299581660839</v>
      </c>
      <c r="F122" s="325">
        <v>40</v>
      </c>
      <c r="G122" s="326">
        <v>0.62404208832705677</v>
      </c>
      <c r="H122" s="327">
        <v>939.98774164254553</v>
      </c>
      <c r="J122" s="325">
        <v>40</v>
      </c>
      <c r="K122" s="326">
        <v>0.66188253580595813</v>
      </c>
      <c r="L122" s="327">
        <v>996.98639194799443</v>
      </c>
      <c r="N122" s="325">
        <v>40</v>
      </c>
      <c r="O122" s="326">
        <v>0.69972298328485982</v>
      </c>
      <c r="P122" s="327">
        <v>1053.9850422534435</v>
      </c>
    </row>
    <row r="123" spans="2:16" ht="14.1" customHeight="1" x14ac:dyDescent="0.2">
      <c r="B123" s="194">
        <v>50</v>
      </c>
      <c r="C123" s="329">
        <v>0.58739208804849141</v>
      </c>
      <c r="D123" s="330">
        <v>1105.9778110952245</v>
      </c>
      <c r="F123" s="194">
        <v>50</v>
      </c>
      <c r="G123" s="329">
        <v>0.62292546319267927</v>
      </c>
      <c r="H123" s="330">
        <v>1172.8822268379679</v>
      </c>
      <c r="J123" s="194">
        <v>50</v>
      </c>
      <c r="K123" s="329">
        <v>0.66116423117135847</v>
      </c>
      <c r="L123" s="330">
        <v>1244.8805219606397</v>
      </c>
      <c r="N123" s="194">
        <v>50</v>
      </c>
      <c r="O123" s="329">
        <v>0.69940299915003823</v>
      </c>
      <c r="P123" s="330">
        <v>1316.8788170833127</v>
      </c>
    </row>
    <row r="124" spans="2:16" ht="14.1" customHeight="1" x14ac:dyDescent="0.2"/>
    <row r="125" spans="2:16" ht="14.1" customHeight="1" x14ac:dyDescent="0.2"/>
    <row r="126" spans="2:16" ht="14.1" customHeight="1" x14ac:dyDescent="0.2">
      <c r="B126" s="317">
        <v>0.783230876063299</v>
      </c>
      <c r="C126" s="331" t="s">
        <v>209</v>
      </c>
      <c r="D126" s="318">
        <v>59</v>
      </c>
      <c r="E126" s="16"/>
      <c r="F126" s="317">
        <v>0.7831512119633417</v>
      </c>
      <c r="G126" s="332" t="s">
        <v>210</v>
      </c>
      <c r="H126" s="318">
        <v>59</v>
      </c>
      <c r="J126" s="317">
        <v>0.78315121196333981</v>
      </c>
      <c r="K126" s="11" t="s">
        <v>211</v>
      </c>
      <c r="L126" s="318">
        <v>59</v>
      </c>
      <c r="N126" s="317">
        <v>0.78315121196334236</v>
      </c>
      <c r="O126" s="11" t="s">
        <v>212</v>
      </c>
      <c r="P126" s="318">
        <v>59</v>
      </c>
    </row>
    <row r="127" spans="2:16" ht="14.1" customHeight="1" x14ac:dyDescent="0.2">
      <c r="B127" s="319">
        <v>0.6604684980317469</v>
      </c>
      <c r="C127" s="9"/>
      <c r="D127" s="320">
        <v>887</v>
      </c>
      <c r="E127" s="16"/>
      <c r="F127" s="319">
        <v>0.68264698345938002</v>
      </c>
      <c r="G127" s="9"/>
      <c r="H127" s="320">
        <v>940</v>
      </c>
      <c r="J127" s="319">
        <v>0.70654621344605417</v>
      </c>
      <c r="K127" s="9"/>
      <c r="L127" s="320">
        <v>997</v>
      </c>
      <c r="N127" s="319">
        <v>0.73044544343272955</v>
      </c>
      <c r="O127" s="9"/>
      <c r="P127" s="320">
        <v>1054</v>
      </c>
    </row>
    <row r="128" spans="2:16" ht="14.1" customHeight="1" x14ac:dyDescent="0.2">
      <c r="B128" s="319">
        <v>0.58885711084667458</v>
      </c>
      <c r="C128" s="9"/>
      <c r="D128" s="15"/>
      <c r="E128" s="16"/>
      <c r="F128" s="319">
        <v>0.62401951683206924</v>
      </c>
      <c r="G128" s="9"/>
      <c r="H128" s="15"/>
      <c r="J128" s="319">
        <v>0.66185996431097072</v>
      </c>
      <c r="K128" s="9"/>
      <c r="L128" s="15"/>
      <c r="N128" s="319">
        <v>0.6997004117898723</v>
      </c>
      <c r="O128" s="9"/>
      <c r="P128" s="15"/>
    </row>
    <row r="129" spans="2:16" ht="14.1" customHeight="1" x14ac:dyDescent="0.2">
      <c r="B129" s="321"/>
      <c r="C129" s="322"/>
      <c r="D129" s="323" t="s">
        <v>15</v>
      </c>
      <c r="E129" s="16"/>
      <c r="F129" s="321"/>
      <c r="G129" s="322"/>
      <c r="H129" s="323" t="s">
        <v>15</v>
      </c>
      <c r="J129" s="321"/>
      <c r="K129" s="322"/>
      <c r="L129" s="323" t="s">
        <v>15</v>
      </c>
      <c r="N129" s="321"/>
      <c r="O129" s="322"/>
      <c r="P129" s="323" t="s">
        <v>15</v>
      </c>
    </row>
    <row r="130" spans="2:16" ht="14.1" customHeight="1" x14ac:dyDescent="0.2">
      <c r="B130" s="321" t="s">
        <v>65</v>
      </c>
      <c r="C130" s="322" t="s">
        <v>12</v>
      </c>
      <c r="D130" s="323" t="s">
        <v>16</v>
      </c>
      <c r="E130" s="16"/>
      <c r="F130" s="321" t="s">
        <v>65</v>
      </c>
      <c r="G130" s="322" t="s">
        <v>12</v>
      </c>
      <c r="H130" s="323" t="s">
        <v>16</v>
      </c>
      <c r="J130" s="321" t="s">
        <v>65</v>
      </c>
      <c r="K130" s="322" t="s">
        <v>12</v>
      </c>
      <c r="L130" s="323" t="s">
        <v>16</v>
      </c>
      <c r="N130" s="321" t="s">
        <v>65</v>
      </c>
      <c r="O130" s="322" t="s">
        <v>12</v>
      </c>
      <c r="P130" s="323" t="s">
        <v>16</v>
      </c>
    </row>
    <row r="131" spans="2:16" ht="14.1" customHeight="1" x14ac:dyDescent="0.2">
      <c r="B131" s="191" t="s">
        <v>221</v>
      </c>
      <c r="C131" s="163">
        <v>0.89288319871216082</v>
      </c>
      <c r="D131" s="324">
        <v>33.623503815184357</v>
      </c>
      <c r="F131" s="191" t="s">
        <v>221</v>
      </c>
      <c r="G131" s="163">
        <v>0.89279238163820929</v>
      </c>
      <c r="H131" s="324">
        <v>33.620083896165944</v>
      </c>
      <c r="J131" s="191" t="s">
        <v>221</v>
      </c>
      <c r="K131" s="163">
        <v>0.89279238163820729</v>
      </c>
      <c r="L131" s="324">
        <v>33.620083896165873</v>
      </c>
      <c r="N131" s="191" t="s">
        <v>221</v>
      </c>
      <c r="O131" s="163">
        <v>0.89279238163821018</v>
      </c>
      <c r="P131" s="324">
        <v>33.62008389616598</v>
      </c>
    </row>
    <row r="132" spans="2:16" ht="14.1" customHeight="1" x14ac:dyDescent="0.2">
      <c r="B132" s="325">
        <v>2</v>
      </c>
      <c r="C132" s="326">
        <v>0.783230876063299</v>
      </c>
      <c r="D132" s="327">
        <v>58.988603184533964</v>
      </c>
      <c r="F132" s="325">
        <v>2</v>
      </c>
      <c r="G132" s="326">
        <v>0.7831512119633417</v>
      </c>
      <c r="H132" s="327">
        <v>58.982603326606949</v>
      </c>
      <c r="J132" s="325">
        <v>2</v>
      </c>
      <c r="K132" s="326">
        <v>0.78315121196333981</v>
      </c>
      <c r="L132" s="327">
        <v>58.982603326606807</v>
      </c>
      <c r="N132" s="325">
        <v>2</v>
      </c>
      <c r="O132" s="326">
        <v>0.78315121196334236</v>
      </c>
      <c r="P132" s="327">
        <v>58.982603326606998</v>
      </c>
    </row>
    <row r="133" spans="2:16" ht="14.1" customHeight="1" x14ac:dyDescent="0.2">
      <c r="B133" s="191">
        <v>3</v>
      </c>
      <c r="C133" s="163">
        <v>0.71502955493465881</v>
      </c>
      <c r="D133" s="324">
        <v>80.778087222353847</v>
      </c>
      <c r="F133" s="191">
        <v>3</v>
      </c>
      <c r="G133" s="163">
        <v>0.72731552946114075</v>
      </c>
      <c r="H133" s="324">
        <v>82.166054356107452</v>
      </c>
      <c r="J133" s="191">
        <v>3</v>
      </c>
      <c r="K133" s="163">
        <v>0.74059287945373686</v>
      </c>
      <c r="L133" s="324">
        <v>83.666018837829682</v>
      </c>
      <c r="N133" s="191">
        <v>3</v>
      </c>
      <c r="O133" s="163">
        <v>0.75387022944633553</v>
      </c>
      <c r="P133" s="324">
        <v>85.165983319552211</v>
      </c>
    </row>
    <row r="134" spans="2:16" ht="14.1" customHeight="1" x14ac:dyDescent="0.2">
      <c r="B134" s="191">
        <v>4</v>
      </c>
      <c r="C134" s="163">
        <v>0.68092889437033888</v>
      </c>
      <c r="D134" s="324">
        <v>102.56757126017374</v>
      </c>
      <c r="F134" s="191">
        <v>4</v>
      </c>
      <c r="G134" s="163">
        <v>0.69939768821004022</v>
      </c>
      <c r="H134" s="324">
        <v>105.34950538560794</v>
      </c>
      <c r="J134" s="191">
        <v>4</v>
      </c>
      <c r="K134" s="163">
        <v>0.71931371319893511</v>
      </c>
      <c r="L134" s="324">
        <v>108.34943434905254</v>
      </c>
      <c r="N134" s="191">
        <v>4</v>
      </c>
      <c r="O134" s="163">
        <v>0.73922973818783178</v>
      </c>
      <c r="P134" s="324">
        <v>111.34936331249737</v>
      </c>
    </row>
    <row r="135" spans="2:16" ht="14.1" customHeight="1" x14ac:dyDescent="0.2">
      <c r="B135" s="325">
        <v>5</v>
      </c>
      <c r="C135" s="326">
        <v>0.6604684980317469</v>
      </c>
      <c r="D135" s="328">
        <v>124.35705529799364</v>
      </c>
      <c r="F135" s="325">
        <v>5</v>
      </c>
      <c r="G135" s="326">
        <v>0.68264698345938002</v>
      </c>
      <c r="H135" s="328">
        <v>128.53295641510846</v>
      </c>
      <c r="J135" s="325">
        <v>5</v>
      </c>
      <c r="K135" s="326">
        <v>0.70654621344605417</v>
      </c>
      <c r="L135" s="328">
        <v>133.03284986027541</v>
      </c>
      <c r="N135" s="325">
        <v>5</v>
      </c>
      <c r="O135" s="326">
        <v>0.73044544343272955</v>
      </c>
      <c r="P135" s="328">
        <v>137.53274330544255</v>
      </c>
    </row>
    <row r="136" spans="2:16" ht="14.1" customHeight="1" x14ac:dyDescent="0.2">
      <c r="B136" s="191">
        <v>10</v>
      </c>
      <c r="C136" s="163">
        <v>0.61954770535456272</v>
      </c>
      <c r="D136" s="324">
        <v>233.30447548709301</v>
      </c>
      <c r="F136" s="191">
        <v>10</v>
      </c>
      <c r="G136" s="163">
        <v>0.64914557395805961</v>
      </c>
      <c r="H136" s="324">
        <v>244.45021156261103</v>
      </c>
      <c r="J136" s="191">
        <v>10</v>
      </c>
      <c r="K136" s="163">
        <v>0.68101121394029229</v>
      </c>
      <c r="L136" s="324">
        <v>256.44992741638976</v>
      </c>
      <c r="N136" s="191">
        <v>10</v>
      </c>
      <c r="O136" s="163">
        <v>0.71287685392252553</v>
      </c>
      <c r="P136" s="324">
        <v>268.44964327016851</v>
      </c>
    </row>
    <row r="137" spans="2:16" ht="14.1" customHeight="1" x14ac:dyDescent="0.2">
      <c r="B137" s="191">
        <v>20</v>
      </c>
      <c r="C137" s="163">
        <v>0.59908730901597074</v>
      </c>
      <c r="D137" s="324">
        <v>451.19931586529191</v>
      </c>
      <c r="F137" s="191">
        <v>20</v>
      </c>
      <c r="G137" s="163">
        <v>0.63239486920739929</v>
      </c>
      <c r="H137" s="324">
        <v>476.28472185761609</v>
      </c>
      <c r="J137" s="191">
        <v>20</v>
      </c>
      <c r="K137" s="163">
        <v>0.66824371418741124</v>
      </c>
      <c r="L137" s="324">
        <v>503.28408252861828</v>
      </c>
      <c r="N137" s="191">
        <v>20</v>
      </c>
      <c r="O137" s="163">
        <v>0.70409255916742342</v>
      </c>
      <c r="P137" s="324">
        <v>530.28344319962048</v>
      </c>
    </row>
    <row r="138" spans="2:16" ht="14.1" customHeight="1" x14ac:dyDescent="0.2">
      <c r="B138" s="191">
        <v>30</v>
      </c>
      <c r="C138" s="163">
        <v>0.5922671769031066</v>
      </c>
      <c r="D138" s="324">
        <v>669.0941562434906</v>
      </c>
      <c r="F138" s="191">
        <v>30</v>
      </c>
      <c r="G138" s="163">
        <v>0.62681130095717918</v>
      </c>
      <c r="H138" s="324">
        <v>708.11923215262118</v>
      </c>
      <c r="J138" s="191">
        <v>30</v>
      </c>
      <c r="K138" s="163">
        <v>0.66398788093645089</v>
      </c>
      <c r="L138" s="324">
        <v>750.11823764084681</v>
      </c>
      <c r="N138" s="191">
        <v>30</v>
      </c>
      <c r="O138" s="163">
        <v>0.7011644609157226</v>
      </c>
      <c r="P138" s="324">
        <v>792.11724312907245</v>
      </c>
    </row>
    <row r="139" spans="2:16" ht="14.1" customHeight="1" x14ac:dyDescent="0.2">
      <c r="B139" s="325">
        <v>40</v>
      </c>
      <c r="C139" s="326">
        <v>0.58885711084667458</v>
      </c>
      <c r="D139" s="327">
        <v>886.98899662168958</v>
      </c>
      <c r="F139" s="325">
        <v>40</v>
      </c>
      <c r="G139" s="326">
        <v>0.62401951683206924</v>
      </c>
      <c r="H139" s="327">
        <v>939.95374244762627</v>
      </c>
      <c r="J139" s="325">
        <v>40</v>
      </c>
      <c r="K139" s="326">
        <v>0.66185996431097072</v>
      </c>
      <c r="L139" s="327">
        <v>996.95239275307529</v>
      </c>
      <c r="N139" s="325">
        <v>40</v>
      </c>
      <c r="O139" s="326">
        <v>0.6997004117898723</v>
      </c>
      <c r="P139" s="327">
        <v>1053.9510430585244</v>
      </c>
    </row>
    <row r="140" spans="2:16" ht="14.1" customHeight="1" x14ac:dyDescent="0.2">
      <c r="B140" s="194">
        <v>50</v>
      </c>
      <c r="C140" s="329">
        <v>0.58681107121281528</v>
      </c>
      <c r="D140" s="330">
        <v>1104.8838369998882</v>
      </c>
      <c r="F140" s="194">
        <v>50</v>
      </c>
      <c r="G140" s="329">
        <v>0.62234444635700326</v>
      </c>
      <c r="H140" s="330">
        <v>1171.7882527426318</v>
      </c>
      <c r="J140" s="194">
        <v>50</v>
      </c>
      <c r="K140" s="329">
        <v>0.66058321433568257</v>
      </c>
      <c r="L140" s="330">
        <v>1243.7865478653039</v>
      </c>
      <c r="N140" s="194">
        <v>50</v>
      </c>
      <c r="O140" s="329">
        <v>0.69882198231436199</v>
      </c>
      <c r="P140" s="330">
        <v>1315.7848429879762</v>
      </c>
    </row>
    <row r="141" spans="2:16" ht="14.1" customHeight="1" x14ac:dyDescent="0.2"/>
    <row r="142" spans="2:16" ht="14.1" customHeight="1" x14ac:dyDescent="0.2"/>
    <row r="143" spans="2:16" ht="14.1" customHeight="1" x14ac:dyDescent="0.2"/>
    <row r="144" spans="2:16" ht="14.1" customHeight="1" x14ac:dyDescent="0.2"/>
    <row r="145" spans="27:27" ht="14.1" customHeight="1" x14ac:dyDescent="0.2"/>
    <row r="146" spans="27:27" ht="14.1" customHeight="1" x14ac:dyDescent="0.2"/>
    <row r="147" spans="27:27" ht="14.1" customHeight="1" x14ac:dyDescent="0.2"/>
    <row r="148" spans="27:27" ht="14.1" customHeight="1" x14ac:dyDescent="0.2"/>
    <row r="149" spans="27:27" ht="14.1" customHeight="1" x14ac:dyDescent="0.2"/>
    <row r="150" spans="27:27" ht="14.1" customHeight="1" x14ac:dyDescent="0.2"/>
    <row r="151" spans="27:27" ht="14.1" customHeight="1" x14ac:dyDescent="0.2"/>
    <row r="152" spans="27:27" ht="14.1" customHeight="1" x14ac:dyDescent="0.2"/>
    <row r="153" spans="27:27" ht="14.1" customHeight="1" x14ac:dyDescent="0.2"/>
    <row r="154" spans="27:27" ht="14.1" customHeight="1" x14ac:dyDescent="0.2"/>
    <row r="160" spans="27:27" x14ac:dyDescent="0.2">
      <c r="AA160" s="16"/>
    </row>
  </sheetData>
  <pageMargins left="0.7" right="0.7" top="0.25" bottom="0.2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1781-0810-4F73-BAC1-ED23FD8D31D7}">
  <sheetPr transitionEvaluation="1" transitionEntry="1">
    <pageSetUpPr fitToPage="1"/>
  </sheetPr>
  <dimension ref="A1:AT160"/>
  <sheetViews>
    <sheetView showGridLines="0" zoomScale="90" zoomScaleNormal="90" zoomScaleSheetLayoutView="80" workbookViewId="0"/>
  </sheetViews>
  <sheetFormatPr defaultRowHeight="12.75" x14ac:dyDescent="0.2"/>
  <cols>
    <col min="1" max="33" width="9.42578125" customWidth="1"/>
    <col min="34" max="38" width="10.7109375" customWidth="1"/>
    <col min="39" max="44" width="9.7109375" customWidth="1"/>
    <col min="45" max="48" width="10.7109375" customWidth="1"/>
    <col min="49" max="49" width="13" customWidth="1"/>
    <col min="50" max="50" width="13.5703125" customWidth="1"/>
    <col min="51" max="51" width="12.5703125" customWidth="1"/>
    <col min="52" max="52" width="10.7109375" customWidth="1"/>
    <col min="53" max="54" width="12.140625" customWidth="1"/>
    <col min="55" max="55" width="14.140625" customWidth="1"/>
    <col min="56" max="59" width="10.7109375" customWidth="1"/>
    <col min="60" max="63" width="12.7109375" customWidth="1"/>
    <col min="64" max="73" width="10.7109375" customWidth="1"/>
  </cols>
  <sheetData>
    <row r="1" spans="1:39" x14ac:dyDescent="0.2">
      <c r="Q1" s="312" t="s">
        <v>27</v>
      </c>
      <c r="R1" s="313"/>
      <c r="S1" s="313"/>
      <c r="T1" s="314" t="s">
        <v>195</v>
      </c>
      <c r="U1" s="313"/>
      <c r="V1" s="313"/>
      <c r="W1" s="313"/>
      <c r="X1" s="313"/>
      <c r="Y1" s="315"/>
    </row>
    <row r="2" spans="1:39" ht="14.1" customHeight="1" x14ac:dyDescent="0.2">
      <c r="A2" t="s">
        <v>198</v>
      </c>
    </row>
    <row r="3" spans="1:39" ht="14.1" customHeight="1" x14ac:dyDescent="0.2">
      <c r="AM3" t="s">
        <v>7</v>
      </c>
    </row>
    <row r="4" spans="1:39" ht="14.1" customHeight="1" x14ac:dyDescent="0.2">
      <c r="Q4" s="284">
        <v>2.5150000000000001</v>
      </c>
      <c r="R4" s="285" t="s">
        <v>10</v>
      </c>
      <c r="S4" s="286"/>
      <c r="T4" s="286"/>
      <c r="U4" s="287"/>
      <c r="V4" s="208" t="s">
        <v>186</v>
      </c>
    </row>
    <row r="5" spans="1:39" ht="14.1" customHeight="1" x14ac:dyDescent="0.2">
      <c r="Q5" s="288">
        <v>4.55</v>
      </c>
      <c r="R5" s="157" t="s">
        <v>0</v>
      </c>
      <c r="S5" s="9"/>
      <c r="T5" s="9"/>
      <c r="U5" s="289"/>
      <c r="V5" t="s">
        <v>177</v>
      </c>
    </row>
    <row r="6" spans="1:39" ht="14.1" customHeight="1" x14ac:dyDescent="0.2">
      <c r="Q6" s="288">
        <v>85</v>
      </c>
      <c r="R6" s="156" t="s">
        <v>1</v>
      </c>
      <c r="S6" s="9"/>
      <c r="T6" s="9"/>
      <c r="U6" s="289"/>
      <c r="V6" s="271" t="s">
        <v>178</v>
      </c>
    </row>
    <row r="7" spans="1:39" ht="14.1" customHeight="1" x14ac:dyDescent="0.25">
      <c r="Q7" s="290">
        <f>(Q5*2.20462*25.4*12)</f>
        <v>3057.4552007999996</v>
      </c>
      <c r="R7" s="58" t="s">
        <v>14</v>
      </c>
      <c r="S7" s="9"/>
      <c r="T7" s="9"/>
      <c r="U7" s="289"/>
      <c r="V7" s="88" t="s">
        <v>179</v>
      </c>
      <c r="W7" s="88"/>
    </row>
    <row r="8" spans="1:39" ht="14.1" customHeight="1" x14ac:dyDescent="0.2">
      <c r="Q8" s="291"/>
      <c r="R8" s="9"/>
      <c r="S8" s="9"/>
      <c r="T8" s="9"/>
      <c r="U8" s="289"/>
    </row>
    <row r="9" spans="1:39" ht="14.1" customHeight="1" x14ac:dyDescent="0.2">
      <c r="Q9" s="292" t="s">
        <v>3</v>
      </c>
      <c r="R9" s="18" t="s">
        <v>2</v>
      </c>
      <c r="S9" s="18" t="s">
        <v>3</v>
      </c>
      <c r="T9" s="21" t="s">
        <v>5</v>
      </c>
      <c r="U9" s="293" t="s">
        <v>4</v>
      </c>
      <c r="V9" s="88" t="s">
        <v>171</v>
      </c>
      <c r="W9" s="88"/>
    </row>
    <row r="10" spans="1:39" ht="14.1" customHeight="1" x14ac:dyDescent="0.2">
      <c r="Q10" s="294"/>
      <c r="R10" s="16">
        <v>1</v>
      </c>
      <c r="S10" s="140">
        <v>33.561842105263182</v>
      </c>
      <c r="T10" s="27">
        <f>S10/R10</f>
        <v>33.561842105263182</v>
      </c>
      <c r="U10" s="295">
        <f t="shared" ref="U10:U19" si="0">SQRT(12*32.2*T10^2/(4*$Q$6*($Q$5*56)*$Q$4^2))</f>
        <v>0.89122464805571744</v>
      </c>
      <c r="V10" s="271" t="s">
        <v>172</v>
      </c>
      <c r="W10" s="88"/>
    </row>
    <row r="11" spans="1:39" ht="14.1" customHeight="1" x14ac:dyDescent="0.2">
      <c r="Q11" s="296"/>
      <c r="R11" s="26">
        <v>2</v>
      </c>
      <c r="S11" s="141">
        <v>55.500000000000021</v>
      </c>
      <c r="T11" s="28">
        <f t="shared" ref="T11:T19" si="1">S11/R11</f>
        <v>27.750000000000011</v>
      </c>
      <c r="U11" s="302">
        <f t="shared" si="0"/>
        <v>0.73689292458913536</v>
      </c>
      <c r="V11" s="88"/>
      <c r="W11" s="271" t="s">
        <v>176</v>
      </c>
    </row>
    <row r="12" spans="1:39" ht="14.1" customHeight="1" x14ac:dyDescent="0.2">
      <c r="A12" t="s">
        <v>198</v>
      </c>
      <c r="Q12" s="294"/>
      <c r="R12" s="16">
        <v>3</v>
      </c>
      <c r="S12" s="140">
        <v>77.438157894736861</v>
      </c>
      <c r="T12" s="27">
        <f t="shared" si="1"/>
        <v>25.812719298245622</v>
      </c>
      <c r="U12" s="295">
        <f t="shared" si="0"/>
        <v>0.68544901676694137</v>
      </c>
      <c r="V12" s="88"/>
      <c r="W12" s="271" t="s">
        <v>175</v>
      </c>
    </row>
    <row r="13" spans="1:39" ht="14.1" customHeight="1" x14ac:dyDescent="0.2">
      <c r="B13" s="1" t="s">
        <v>230</v>
      </c>
      <c r="K13" s="347" t="s">
        <v>225</v>
      </c>
      <c r="L13" s="348"/>
      <c r="M13" s="349"/>
      <c r="Q13" s="294"/>
      <c r="R13" s="16">
        <v>4</v>
      </c>
      <c r="S13" s="140">
        <v>99.376315789473708</v>
      </c>
      <c r="T13" s="27">
        <f t="shared" si="1"/>
        <v>24.844078947368427</v>
      </c>
      <c r="U13" s="295">
        <f t="shared" si="0"/>
        <v>0.65972706285584437</v>
      </c>
      <c r="V13" s="88"/>
      <c r="W13" s="88" t="s">
        <v>173</v>
      </c>
    </row>
    <row r="14" spans="1:39" ht="14.1" customHeight="1" x14ac:dyDescent="0.2">
      <c r="B14" s="339" t="s">
        <v>231</v>
      </c>
      <c r="K14" s="356" t="s">
        <v>229</v>
      </c>
      <c r="L14" s="6">
        <v>0.56999999999999995</v>
      </c>
      <c r="M14" s="355" t="s">
        <v>228</v>
      </c>
      <c r="Q14" s="296"/>
      <c r="R14" s="26">
        <v>5</v>
      </c>
      <c r="S14" s="141">
        <v>121.31447368421055</v>
      </c>
      <c r="T14" s="28">
        <f t="shared" si="1"/>
        <v>24.26289473684211</v>
      </c>
      <c r="U14" s="302">
        <f t="shared" si="0"/>
        <v>0.64429389050918606</v>
      </c>
      <c r="V14" s="88"/>
      <c r="W14" s="88" t="s">
        <v>174</v>
      </c>
    </row>
    <row r="15" spans="1:39" ht="14.1" customHeight="1" x14ac:dyDescent="0.2">
      <c r="B15" s="339" t="s">
        <v>224</v>
      </c>
      <c r="K15" s="350">
        <v>47</v>
      </c>
      <c r="L15" s="346">
        <f>K15*L$14</f>
        <v>26.79</v>
      </c>
      <c r="M15" s="351">
        <v>27</v>
      </c>
      <c r="Q15" s="294"/>
      <c r="R15" s="16">
        <v>10</v>
      </c>
      <c r="S15" s="140">
        <v>231.00526315789477</v>
      </c>
      <c r="T15" s="27">
        <f t="shared" si="1"/>
        <v>23.100526315789477</v>
      </c>
      <c r="U15" s="295">
        <f t="shared" si="0"/>
        <v>0.61342754581586967</v>
      </c>
    </row>
    <row r="16" spans="1:39" ht="14.1" customHeight="1" x14ac:dyDescent="0.2">
      <c r="B16" s="339" t="s">
        <v>227</v>
      </c>
      <c r="K16" s="350">
        <v>51</v>
      </c>
      <c r="L16" s="346">
        <f>K16*L$14</f>
        <v>29.069999999999997</v>
      </c>
      <c r="M16" s="351">
        <v>29</v>
      </c>
      <c r="Q16" s="294"/>
      <c r="R16" s="16">
        <v>20</v>
      </c>
      <c r="S16" s="140">
        <v>450.38684210526321</v>
      </c>
      <c r="T16" s="27">
        <f t="shared" si="1"/>
        <v>22.51934210526316</v>
      </c>
      <c r="U16" s="295">
        <f t="shared" si="0"/>
        <v>0.59799437346921147</v>
      </c>
      <c r="V16" s="1" t="s">
        <v>169</v>
      </c>
      <c r="W16" s="1"/>
    </row>
    <row r="17" spans="1:46" ht="14.1" customHeight="1" x14ac:dyDescent="0.2">
      <c r="B17" s="339" t="s">
        <v>226</v>
      </c>
      <c r="K17" s="350">
        <v>55</v>
      </c>
      <c r="L17" s="346">
        <f>K17*L$14</f>
        <v>31.349999999999998</v>
      </c>
      <c r="M17" s="351">
        <v>31</v>
      </c>
      <c r="Q17" s="294"/>
      <c r="R17" s="16">
        <v>30</v>
      </c>
      <c r="S17" s="140">
        <v>669.76842105263165</v>
      </c>
      <c r="T17" s="27">
        <f t="shared" si="1"/>
        <v>22.325614035087721</v>
      </c>
      <c r="U17" s="295">
        <f t="shared" si="0"/>
        <v>0.59284998268699207</v>
      </c>
      <c r="V17" s="1" t="s">
        <v>165</v>
      </c>
    </row>
    <row r="18" spans="1:46" ht="14.1" customHeight="1" x14ac:dyDescent="0.2">
      <c r="B18" s="1"/>
      <c r="K18" s="350">
        <v>59</v>
      </c>
      <c r="L18" s="346">
        <f>K18*L$14</f>
        <v>33.629999999999995</v>
      </c>
      <c r="M18" s="351">
        <v>33</v>
      </c>
      <c r="Q18" s="296"/>
      <c r="R18" s="26">
        <v>40</v>
      </c>
      <c r="S18" s="141">
        <v>889.15000000000009</v>
      </c>
      <c r="T18" s="28">
        <f t="shared" si="1"/>
        <v>22.228750000000002</v>
      </c>
      <c r="U18" s="302">
        <f t="shared" si="0"/>
        <v>0.59027778729588243</v>
      </c>
      <c r="V18" s="1" t="s">
        <v>166</v>
      </c>
    </row>
    <row r="19" spans="1:46" ht="14.1" customHeight="1" x14ac:dyDescent="0.25">
      <c r="B19" s="359" t="s">
        <v>239</v>
      </c>
      <c r="K19" s="352">
        <v>63</v>
      </c>
      <c r="L19" s="353">
        <f>K19*L$14</f>
        <v>35.909999999999997</v>
      </c>
      <c r="M19" s="354">
        <v>35</v>
      </c>
      <c r="Q19" s="297"/>
      <c r="R19" s="298">
        <v>50</v>
      </c>
      <c r="S19" s="299">
        <v>1108.5315789473684</v>
      </c>
      <c r="T19" s="300">
        <f t="shared" si="1"/>
        <v>22.170631578947368</v>
      </c>
      <c r="U19" s="301">
        <f t="shared" si="0"/>
        <v>0.58873447006121649</v>
      </c>
      <c r="V19" s="1" t="s">
        <v>167</v>
      </c>
    </row>
    <row r="20" spans="1:46" ht="14.1" customHeight="1" x14ac:dyDescent="0.2">
      <c r="L20" s="42"/>
      <c r="M20" s="16"/>
      <c r="N20" s="140"/>
      <c r="O20" s="27"/>
      <c r="P20" s="44"/>
      <c r="Q20" s="46"/>
      <c r="R20" s="163"/>
      <c r="V20" s="270" t="s">
        <v>168</v>
      </c>
    </row>
    <row r="21" spans="1:46" ht="14.1" customHeight="1" x14ac:dyDescent="0.2">
      <c r="N21" s="140"/>
      <c r="O21" s="27"/>
      <c r="P21" s="44"/>
      <c r="Q21" t="s">
        <v>187</v>
      </c>
      <c r="V21" s="1" t="s">
        <v>170</v>
      </c>
    </row>
    <row r="22" spans="1:46" ht="14.1" customHeight="1" x14ac:dyDescent="0.2">
      <c r="N22" s="140"/>
      <c r="O22" s="27"/>
      <c r="P22" s="44"/>
      <c r="Q22" s="1" t="s">
        <v>219</v>
      </c>
      <c r="T22" s="139" t="s">
        <v>217</v>
      </c>
    </row>
    <row r="23" spans="1:46" ht="14.1" customHeight="1" x14ac:dyDescent="0.2">
      <c r="A23" s="1" t="s">
        <v>190</v>
      </c>
      <c r="F23" t="s">
        <v>232</v>
      </c>
      <c r="N23" s="140"/>
      <c r="O23" s="27"/>
      <c r="P23" s="44"/>
      <c r="Q23" s="1" t="s">
        <v>218</v>
      </c>
      <c r="T23" s="139" t="s">
        <v>215</v>
      </c>
    </row>
    <row r="24" spans="1:46" ht="14.1" customHeight="1" x14ac:dyDescent="0.2">
      <c r="A24" s="1" t="s">
        <v>192</v>
      </c>
      <c r="F24" s="242"/>
      <c r="K24" s="82" t="s">
        <v>197</v>
      </c>
      <c r="L24" s="82" t="s">
        <v>235</v>
      </c>
      <c r="M24" s="82"/>
      <c r="N24" s="140"/>
      <c r="O24" s="27"/>
      <c r="P24" s="44"/>
      <c r="Q24" s="1" t="s">
        <v>216</v>
      </c>
      <c r="T24" s="340" t="s">
        <v>214</v>
      </c>
    </row>
    <row r="25" spans="1:46" ht="14.1" customHeight="1" x14ac:dyDescent="0.2">
      <c r="A25" s="1" t="s">
        <v>191</v>
      </c>
      <c r="E25" s="252"/>
      <c r="F25" s="252" t="s">
        <v>146</v>
      </c>
      <c r="K25" s="82" t="s">
        <v>241</v>
      </c>
      <c r="L25" s="16" t="s">
        <v>236</v>
      </c>
      <c r="M25" s="16"/>
    </row>
    <row r="26" spans="1:46" ht="14.1" customHeight="1" x14ac:dyDescent="0.25">
      <c r="B26" s="146" t="s">
        <v>65</v>
      </c>
      <c r="C26" s="146" t="s">
        <v>66</v>
      </c>
      <c r="E26" s="23" t="s">
        <v>65</v>
      </c>
      <c r="F26" s="23" t="s">
        <v>145</v>
      </c>
      <c r="G26" s="234" t="s">
        <v>126</v>
      </c>
      <c r="H26" s="244"/>
      <c r="I26" s="243"/>
      <c r="J26" s="243"/>
      <c r="K26" s="333" t="s">
        <v>242</v>
      </c>
      <c r="L26" s="334" t="s">
        <v>240</v>
      </c>
      <c r="M26" s="334"/>
      <c r="N26" s="335"/>
      <c r="O26" s="333"/>
      <c r="P26" s="334"/>
      <c r="Q26" s="334"/>
      <c r="R26" s="335"/>
      <c r="S26" s="333"/>
      <c r="T26" s="334"/>
      <c r="U26" s="334"/>
      <c r="V26" s="335"/>
    </row>
    <row r="27" spans="1:46" ht="14.1" customHeight="1" x14ac:dyDescent="0.2">
      <c r="B27" s="366">
        <v>1</v>
      </c>
      <c r="C27" s="6">
        <v>53.3</v>
      </c>
      <c r="E27" s="24">
        <v>1</v>
      </c>
      <c r="F27" s="149">
        <f>C27</f>
        <v>53.3</v>
      </c>
      <c r="G27" s="196" cm="1">
        <f t="array" ref="G27">_xlfn.SINGLE(INDEX(LINEST(F$27:F$29,(E$27:E$29)^{1,2}),1))</f>
        <v>0.18400000000000019</v>
      </c>
      <c r="H27" s="274">
        <f>C60</f>
        <v>696.65</v>
      </c>
      <c r="I27" s="253" t="s">
        <v>148</v>
      </c>
      <c r="J27" s="243"/>
      <c r="K27" s="338">
        <v>32.6</v>
      </c>
      <c r="L27" s="6">
        <v>53.3</v>
      </c>
      <c r="M27" s="6"/>
      <c r="N27" s="345"/>
      <c r="O27" s="338"/>
      <c r="P27" s="6"/>
      <c r="Q27" s="6"/>
      <c r="R27" s="345"/>
      <c r="S27" s="338"/>
      <c r="T27" s="6"/>
      <c r="U27" s="6"/>
      <c r="V27" s="345"/>
    </row>
    <row r="28" spans="1:46" ht="14.1" customHeight="1" x14ac:dyDescent="0.2">
      <c r="B28" s="366">
        <v>51</v>
      </c>
      <c r="C28" s="6">
        <v>1340</v>
      </c>
      <c r="D28" s="155"/>
      <c r="E28" s="24">
        <v>26</v>
      </c>
      <c r="F28" s="303">
        <f>H29</f>
        <v>581.65</v>
      </c>
      <c r="G28" s="196" cm="1">
        <f t="array" ref="G28">_xlfn.SINGLE(INDEX(LINEST(F$27:F$29,(E$27:E$29)^{1,2}),2))</f>
        <v>16.166</v>
      </c>
      <c r="H28" s="304">
        <v>-115</v>
      </c>
      <c r="I28" s="253" t="s">
        <v>149</v>
      </c>
      <c r="J28" s="243"/>
      <c r="K28" s="338">
        <v>1427</v>
      </c>
      <c r="L28" s="6">
        <v>1340</v>
      </c>
      <c r="M28" s="6"/>
      <c r="N28" s="345"/>
      <c r="O28" s="338"/>
      <c r="P28" s="6"/>
      <c r="Q28" s="6"/>
      <c r="R28" s="345"/>
      <c r="S28" s="338"/>
      <c r="T28" s="6"/>
      <c r="U28" s="6"/>
      <c r="V28" s="345"/>
    </row>
    <row r="29" spans="1:46" ht="14.1" customHeight="1" x14ac:dyDescent="0.25">
      <c r="B29" s="282">
        <v>50</v>
      </c>
      <c r="C29" s="283">
        <f>C84</f>
        <v>1314.2660000000001</v>
      </c>
      <c r="D29" s="102"/>
      <c r="E29" s="24">
        <v>51</v>
      </c>
      <c r="F29" s="149">
        <f>C28</f>
        <v>1340</v>
      </c>
      <c r="G29" s="196" cm="1">
        <f t="array" ref="G29">_xlfn.SINGLE(INDEX(LINEST(F$27:F$29,(E$27:E$29)^{1,2}),3))</f>
        <v>36.949999999999676</v>
      </c>
      <c r="H29" s="305">
        <f>SUM(H27:H28)</f>
        <v>581.65</v>
      </c>
      <c r="I29" s="243"/>
      <c r="J29" s="243"/>
      <c r="K29" s="360">
        <v>-95</v>
      </c>
      <c r="L29" s="363">
        <v>-115</v>
      </c>
      <c r="M29" s="363">
        <v>0</v>
      </c>
      <c r="N29" s="364">
        <v>0</v>
      </c>
      <c r="O29" s="360">
        <v>0</v>
      </c>
      <c r="P29" s="363">
        <v>0</v>
      </c>
      <c r="Q29" s="363">
        <v>0</v>
      </c>
      <c r="R29" s="364">
        <v>0</v>
      </c>
      <c r="S29" s="360">
        <v>0</v>
      </c>
      <c r="T29" s="363">
        <v>0</v>
      </c>
      <c r="U29" s="363">
        <v>0</v>
      </c>
      <c r="V29" s="364">
        <v>0</v>
      </c>
      <c r="AR29" t="s">
        <v>152</v>
      </c>
    </row>
    <row r="30" spans="1:46" ht="14.1" customHeight="1" x14ac:dyDescent="0.2">
      <c r="B30" s="82"/>
      <c r="D30" s="82"/>
      <c r="J30" s="88"/>
      <c r="O30" s="82"/>
      <c r="P30" s="82"/>
      <c r="AE30" s="10" t="s">
        <v>177</v>
      </c>
      <c r="AF30" s="11"/>
      <c r="AG30" s="11"/>
      <c r="AH30" s="11"/>
      <c r="AI30" s="11"/>
      <c r="AJ30" s="11"/>
      <c r="AK30" s="11"/>
      <c r="AL30" s="11"/>
      <c r="AM30" s="11"/>
      <c r="AN30" s="12"/>
    </row>
    <row r="31" spans="1:46" ht="14.1" customHeight="1" x14ac:dyDescent="0.2">
      <c r="B31" s="82"/>
      <c r="D31" s="82"/>
      <c r="J31" s="88"/>
      <c r="O31" s="82"/>
      <c r="P31" s="82"/>
      <c r="S31" s="102">
        <f>T37</f>
        <v>0.92965349178165457</v>
      </c>
      <c r="T31" s="334" t="s">
        <v>240</v>
      </c>
      <c r="U31" s="34">
        <v>70</v>
      </c>
      <c r="AE31" s="13" t="s">
        <v>183</v>
      </c>
      <c r="AF31" s="9"/>
      <c r="AG31" s="9"/>
      <c r="AH31" s="9"/>
      <c r="AI31" s="9"/>
      <c r="AJ31" s="9"/>
      <c r="AK31" s="9"/>
      <c r="AL31" s="9"/>
      <c r="AM31" s="9"/>
      <c r="AN31" s="15"/>
    </row>
    <row r="32" spans="1:46" ht="14.1" customHeight="1" x14ac:dyDescent="0.2">
      <c r="B32" s="82"/>
      <c r="C32" s="237" cm="1">
        <f t="array" ref="C32">_xlfn.SINGLE(INDEX(LINEST(C27:C28,($B27:$B28)^{1}),1))</f>
        <v>25.734000000000002</v>
      </c>
      <c r="D32" s="82"/>
      <c r="O32" s="82"/>
      <c r="P32" s="82"/>
      <c r="S32" s="102">
        <f>T40</f>
        <v>0.64995283683760796</v>
      </c>
      <c r="U32" s="34">
        <v>978</v>
      </c>
      <c r="AE32" s="13" t="s">
        <v>184</v>
      </c>
      <c r="AF32" s="9"/>
      <c r="AG32" s="9"/>
      <c r="AH32" s="9"/>
      <c r="AI32" s="9"/>
      <c r="AJ32" s="9"/>
      <c r="AK32" s="9"/>
      <c r="AL32" s="9"/>
      <c r="AM32" s="9"/>
      <c r="AN32" s="15"/>
      <c r="AR32" s="23" t="s">
        <v>65</v>
      </c>
      <c r="AS32" s="23" t="s">
        <v>66</v>
      </c>
      <c r="AT32" s="234" t="s">
        <v>127</v>
      </c>
    </row>
    <row r="33" spans="2:46" ht="14.1" customHeight="1" x14ac:dyDescent="0.2">
      <c r="C33" s="237" cm="1">
        <f t="array" ref="C33">INDEX(LINEST(C27:C28,($B27:$B28)^{1}),1,2)</f>
        <v>27.565999999999917</v>
      </c>
      <c r="E33" s="222"/>
      <c r="F33" s="255" t="s">
        <v>150</v>
      </c>
      <c r="G33" s="256"/>
      <c r="H33" s="222"/>
      <c r="I33" s="245" t="s">
        <v>151</v>
      </c>
      <c r="J33" s="222"/>
      <c r="K33" s="222"/>
      <c r="L33" s="257"/>
      <c r="M33" s="258"/>
      <c r="O33" s="82" t="s">
        <v>155</v>
      </c>
      <c r="P33" s="82" t="s">
        <v>155</v>
      </c>
      <c r="S33" s="102">
        <f>T44</f>
        <v>0.64925577596299844</v>
      </c>
      <c r="AE33" s="32" t="s">
        <v>185</v>
      </c>
      <c r="AF33" s="9"/>
      <c r="AG33" s="9"/>
      <c r="AH33" s="9"/>
      <c r="AI33" s="9"/>
      <c r="AJ33" s="9"/>
      <c r="AK33" s="9"/>
      <c r="AL33" s="9"/>
      <c r="AM33" s="9"/>
      <c r="AN33" s="15"/>
      <c r="AR33" s="24">
        <v>1</v>
      </c>
      <c r="AS33" s="236">
        <v>30</v>
      </c>
      <c r="AT33" s="235" cm="1">
        <f t="array" ref="AT33">_xlfn.SINGLE(INDEX(LINEST(AS$33:AS$35,(AR$33:AR$35)^{1,2,3}),1))</f>
        <v>-1.7664998074701597E-2</v>
      </c>
    </row>
    <row r="34" spans="2:46" ht="14.1" customHeight="1" x14ac:dyDescent="0.2">
      <c r="B34" s="248" t="s">
        <v>65</v>
      </c>
      <c r="C34" s="249" t="s">
        <v>66</v>
      </c>
      <c r="D34" s="247"/>
      <c r="E34" s="248" t="s">
        <v>65</v>
      </c>
      <c r="F34" s="250" t="s">
        <v>126</v>
      </c>
      <c r="G34" s="35"/>
      <c r="H34" s="248" t="s">
        <v>65</v>
      </c>
      <c r="I34" s="251" t="s">
        <v>147</v>
      </c>
      <c r="K34" s="248" t="s">
        <v>65</v>
      </c>
      <c r="L34" s="147" t="s">
        <v>143</v>
      </c>
      <c r="M34" s="254" t="s">
        <v>134</v>
      </c>
      <c r="N34" s="23" t="s">
        <v>4</v>
      </c>
      <c r="O34" s="260" t="s">
        <v>134</v>
      </c>
      <c r="P34" s="23" t="s">
        <v>145</v>
      </c>
      <c r="S34" s="264"/>
      <c r="T34" s="264"/>
      <c r="U34" s="275" t="s">
        <v>15</v>
      </c>
      <c r="V34" s="1"/>
      <c r="W34" s="82" t="s">
        <v>197</v>
      </c>
      <c r="X34" s="82" t="s">
        <v>235</v>
      </c>
      <c r="AE34" s="71"/>
      <c r="AF34" s="72" t="s">
        <v>19</v>
      </c>
      <c r="AG34" s="63"/>
      <c r="AH34" s="63" t="s">
        <v>15</v>
      </c>
      <c r="AI34" s="9"/>
      <c r="AJ34" s="9"/>
      <c r="AK34" s="9"/>
      <c r="AL34" s="9"/>
      <c r="AM34" s="9"/>
      <c r="AN34" s="15"/>
      <c r="AR34" s="24">
        <v>25</v>
      </c>
      <c r="AS34" s="236">
        <v>610</v>
      </c>
      <c r="AT34" s="235" cm="1">
        <f t="array" ref="AT34">_xlfn.SINGLE(INDEX(LINEST(AS$33:AS$35,(AR$33:AR$35)^{1,2,3}),2))</f>
        <v>1.3717915543575927</v>
      </c>
    </row>
    <row r="35" spans="2:46" ht="14.1" customHeight="1" x14ac:dyDescent="0.2">
      <c r="B35" s="341" t="s">
        <v>220</v>
      </c>
      <c r="C35" s="342">
        <f>((C$32*B36)+C$33)*0.57</f>
        <v>45.04937999999995</v>
      </c>
      <c r="E35" s="341" t="s">
        <v>220</v>
      </c>
      <c r="F35" s="343">
        <f>((G$27*(E36)^2)+(G$28*(E36)^1)+(G$29))*0.57</f>
        <v>39.910259999999816</v>
      </c>
      <c r="H35" s="16">
        <v>1</v>
      </c>
      <c r="I35" s="149">
        <f t="shared" ref="I35:I84" si="2">C35-F35</f>
        <v>5.1391200000001334</v>
      </c>
      <c r="K35" s="261">
        <v>1</v>
      </c>
      <c r="L35" s="262">
        <f>F35</f>
        <v>39.910259999999816</v>
      </c>
      <c r="M35" s="263">
        <f>L35/K35</f>
        <v>39.910259999999816</v>
      </c>
      <c r="N35" s="266">
        <f t="shared" ref="N35:N85" si="3">SQRT(12*32.2*M35^2/(4*$Q$6*($Q$5*56)*$Q$4^2))</f>
        <v>1.0598049806310861</v>
      </c>
      <c r="O35" s="263">
        <f t="shared" ref="O35:O85" si="4">(N35*$Q$4)*SQRT(4*$Q$6*$Q$7/32.2)/12</f>
        <v>39.909314970869083</v>
      </c>
      <c r="P35" s="263">
        <f>(K35*O35)</f>
        <v>39.909314970869083</v>
      </c>
      <c r="S35" s="264" t="s">
        <v>65</v>
      </c>
      <c r="T35" s="264" t="s">
        <v>12</v>
      </c>
      <c r="U35" s="275" t="s">
        <v>16</v>
      </c>
      <c r="V35" s="1"/>
      <c r="W35" s="82" t="s">
        <v>241</v>
      </c>
      <c r="X35" s="82" t="s">
        <v>236</v>
      </c>
      <c r="AE35" s="71" t="s">
        <v>2</v>
      </c>
      <c r="AF35" s="63" t="s">
        <v>12</v>
      </c>
      <c r="AG35" s="277" t="s">
        <v>17</v>
      </c>
      <c r="AH35" s="63" t="s">
        <v>16</v>
      </c>
      <c r="AI35" s="9"/>
      <c r="AJ35" s="9"/>
      <c r="AK35" s="9"/>
      <c r="AL35" s="9"/>
      <c r="AM35" s="9"/>
      <c r="AN35" s="15"/>
      <c r="AR35" s="24">
        <v>50</v>
      </c>
      <c r="AS35" s="236">
        <v>1250</v>
      </c>
      <c r="AT35" s="235" cm="1">
        <f t="array" ref="AT35">_xlfn.SINGLE(INDEX(LINEST(AS$33:AS$35,(AR$33:AR$35)^{1,2,3}),3))</f>
        <v>0</v>
      </c>
    </row>
    <row r="36" spans="2:46" ht="14.1" customHeight="1" x14ac:dyDescent="0.25">
      <c r="B36" s="16">
        <v>2</v>
      </c>
      <c r="C36" s="238">
        <f t="shared" ref="C36:C85" si="5">(C$32*B36)+C$33</f>
        <v>79.033999999999921</v>
      </c>
      <c r="E36" s="16">
        <v>2</v>
      </c>
      <c r="F36" s="204">
        <f>(G$27*(E36)^2)+(G$28*(E36)^1)+(G$29)</f>
        <v>70.017999999999688</v>
      </c>
      <c r="H36" s="16">
        <v>2</v>
      </c>
      <c r="I36" s="149">
        <f t="shared" si="2"/>
        <v>9.0160000000002327</v>
      </c>
      <c r="K36" s="261">
        <v>2</v>
      </c>
      <c r="L36" s="262">
        <f>F36</f>
        <v>70.017999999999688</v>
      </c>
      <c r="M36" s="263">
        <f t="shared" ref="M36:M85" si="6">L36/K36</f>
        <v>35.008999999999844</v>
      </c>
      <c r="N36" s="266">
        <f t="shared" si="3"/>
        <v>0.92965349178165457</v>
      </c>
      <c r="O36" s="263">
        <f t="shared" si="4"/>
        <v>35.008171027078141</v>
      </c>
      <c r="P36" s="263">
        <f t="shared" ref="P36:P85" si="7">(K36*O36)</f>
        <v>70.016342054156283</v>
      </c>
      <c r="S36" s="139" t="s">
        <v>222</v>
      </c>
      <c r="T36" s="306">
        <f>N35</f>
        <v>1.0598049806310861</v>
      </c>
      <c r="U36" s="107">
        <f>P35</f>
        <v>39.909314970869083</v>
      </c>
      <c r="W36" s="361">
        <v>29.1</v>
      </c>
      <c r="X36" s="361">
        <v>46.4</v>
      </c>
      <c r="AE36" s="73">
        <v>1</v>
      </c>
      <c r="AF36" s="65">
        <v>0.92510000000000003</v>
      </c>
      <c r="AG36" s="59">
        <v>34.838084318002032</v>
      </c>
      <c r="AH36" s="79">
        <v>34.838084318002032</v>
      </c>
      <c r="AI36" s="9" t="s">
        <v>181</v>
      </c>
      <c r="AJ36" s="9"/>
      <c r="AK36" s="9"/>
      <c r="AL36" s="9"/>
      <c r="AM36" s="9"/>
      <c r="AN36" s="15"/>
      <c r="AT36" s="235" cm="1">
        <f t="array" ref="AT36">_xlfn.SINGLE(INDEX(LINEST(AS$33:AS$35,(AR$33:AR$35)^{1,2,3}),4))</f>
        <v>28.645873443717392</v>
      </c>
    </row>
    <row r="37" spans="2:46" ht="14.1" customHeight="1" x14ac:dyDescent="0.25">
      <c r="B37" s="16">
        <v>3</v>
      </c>
      <c r="C37" s="238">
        <f t="shared" si="5"/>
        <v>104.76799999999992</v>
      </c>
      <c r="E37" s="16">
        <v>3</v>
      </c>
      <c r="F37" s="204">
        <f>(G$27*(E37)^2)+(G$28*(E37)^1)+(G$29)</f>
        <v>87.103999999999672</v>
      </c>
      <c r="H37" s="16">
        <v>3</v>
      </c>
      <c r="I37" s="149">
        <f t="shared" si="2"/>
        <v>17.664000000000243</v>
      </c>
      <c r="K37" s="261">
        <v>3</v>
      </c>
      <c r="L37" s="262">
        <f t="shared" ref="L37:L85" si="8">F37</f>
        <v>87.103999999999672</v>
      </c>
      <c r="M37" s="263">
        <f t="shared" si="6"/>
        <v>29.034666666666556</v>
      </c>
      <c r="N37" s="266">
        <f t="shared" si="3"/>
        <v>0.77100686250344475</v>
      </c>
      <c r="O37" s="263">
        <f t="shared" si="4"/>
        <v>29.033979159098294</v>
      </c>
      <c r="P37" s="263">
        <f t="shared" si="7"/>
        <v>87.101937477294882</v>
      </c>
      <c r="R37" s="309">
        <f>T37</f>
        <v>0.92965349178165457</v>
      </c>
      <c r="S37" s="265">
        <v>2</v>
      </c>
      <c r="T37" s="307">
        <f>N36</f>
        <v>0.92965349178165457</v>
      </c>
      <c r="U37" s="311">
        <f>P36</f>
        <v>70.016342054156283</v>
      </c>
      <c r="V37" s="316">
        <f>U31-U37</f>
        <v>-1.634205415628287E-2</v>
      </c>
      <c r="W37" s="362">
        <v>52.5</v>
      </c>
      <c r="X37" s="362">
        <v>69.8</v>
      </c>
      <c r="AE37" s="73">
        <v>2</v>
      </c>
      <c r="AF37" s="66">
        <v>0.81499999999999995</v>
      </c>
      <c r="AG37" s="56">
        <v>30.691858954893149</v>
      </c>
      <c r="AH37" s="80">
        <v>61.383717909786299</v>
      </c>
      <c r="AI37" s="14" t="s">
        <v>182</v>
      </c>
      <c r="AJ37" s="9"/>
      <c r="AK37" s="9"/>
      <c r="AL37" s="9"/>
      <c r="AM37" s="9"/>
      <c r="AN37" s="15"/>
    </row>
    <row r="38" spans="2:46" ht="14.1" customHeight="1" x14ac:dyDescent="0.25">
      <c r="B38" s="16">
        <v>4</v>
      </c>
      <c r="C38" s="238">
        <f t="shared" si="5"/>
        <v>130.50199999999992</v>
      </c>
      <c r="E38" s="16">
        <v>4</v>
      </c>
      <c r="F38" s="204">
        <f t="shared" ref="F38:F85" si="9">(G$27*(E38)^2)+(G$28*(E38)^1)+(G$29)</f>
        <v>104.55799999999968</v>
      </c>
      <c r="H38" s="16">
        <v>4</v>
      </c>
      <c r="I38" s="149">
        <f t="shared" si="2"/>
        <v>25.944000000000244</v>
      </c>
      <c r="K38" s="261">
        <v>4</v>
      </c>
      <c r="L38" s="262">
        <f t="shared" si="8"/>
        <v>104.55799999999968</v>
      </c>
      <c r="M38" s="263">
        <f t="shared" si="6"/>
        <v>26.13949999999992</v>
      </c>
      <c r="N38" s="266">
        <f t="shared" si="3"/>
        <v>0.6941265802629778</v>
      </c>
      <c r="O38" s="263">
        <f t="shared" si="4"/>
        <v>26.13888104665401</v>
      </c>
      <c r="P38" s="263">
        <f t="shared" si="7"/>
        <v>104.55552418661604</v>
      </c>
      <c r="R38" s="310"/>
      <c r="S38" s="82">
        <v>3</v>
      </c>
      <c r="T38" s="306">
        <f>N37</f>
        <v>0.77100686250344475</v>
      </c>
      <c r="U38" s="107">
        <f>P37</f>
        <v>87.101937477294882</v>
      </c>
      <c r="W38" s="361">
        <v>75.3</v>
      </c>
      <c r="X38" s="361">
        <v>89.1</v>
      </c>
      <c r="AE38" s="73">
        <v>3</v>
      </c>
      <c r="AF38" s="67">
        <v>0.74</v>
      </c>
      <c r="AG38" s="55">
        <v>27.867454756590096</v>
      </c>
      <c r="AH38" s="53">
        <v>83.602364269770291</v>
      </c>
      <c r="AI38" s="9"/>
      <c r="AJ38" s="9"/>
      <c r="AK38" s="9"/>
      <c r="AL38" s="9"/>
      <c r="AM38" s="9"/>
      <c r="AN38" s="15"/>
      <c r="AT38" s="35"/>
    </row>
    <row r="39" spans="2:46" ht="14.1" customHeight="1" x14ac:dyDescent="0.25">
      <c r="B39" s="239">
        <v>5</v>
      </c>
      <c r="C39" s="240">
        <f t="shared" si="5"/>
        <v>156.23599999999993</v>
      </c>
      <c r="E39" s="16">
        <v>5</v>
      </c>
      <c r="F39" s="204">
        <f t="shared" si="9"/>
        <v>122.37999999999968</v>
      </c>
      <c r="G39" s="204"/>
      <c r="H39" s="16">
        <v>5</v>
      </c>
      <c r="I39" s="149">
        <f t="shared" si="2"/>
        <v>33.85600000000025</v>
      </c>
      <c r="K39" s="261">
        <v>5</v>
      </c>
      <c r="L39" s="262">
        <f t="shared" si="8"/>
        <v>122.37999999999968</v>
      </c>
      <c r="M39" s="263">
        <f t="shared" si="6"/>
        <v>24.475999999999935</v>
      </c>
      <c r="N39" s="266">
        <f t="shared" si="3"/>
        <v>0.64995283683760796</v>
      </c>
      <c r="O39" s="263">
        <f t="shared" si="4"/>
        <v>24.475420436423949</v>
      </c>
      <c r="P39" s="263">
        <f t="shared" si="7"/>
        <v>122.37710218211974</v>
      </c>
      <c r="R39" s="310"/>
      <c r="S39" s="82">
        <v>4</v>
      </c>
      <c r="T39" s="306">
        <f>N38</f>
        <v>0.6941265802629778</v>
      </c>
      <c r="U39" s="107">
        <f>P38</f>
        <v>104.55552418661604</v>
      </c>
      <c r="W39" s="361">
        <v>94.2</v>
      </c>
      <c r="X39" s="361">
        <v>106.6</v>
      </c>
      <c r="AE39" s="73">
        <v>4</v>
      </c>
      <c r="AF39" s="67">
        <v>0.70499999999999996</v>
      </c>
      <c r="AG39" s="55">
        <v>26.549399464048673</v>
      </c>
      <c r="AH39" s="53">
        <v>106.19759785619469</v>
      </c>
      <c r="AI39" s="9"/>
      <c r="AJ39" s="9"/>
      <c r="AK39" s="9"/>
      <c r="AL39" s="9"/>
      <c r="AM39" s="9"/>
      <c r="AN39" s="15"/>
      <c r="AR39" s="2" t="s">
        <v>65</v>
      </c>
      <c r="AS39" s="205" t="s">
        <v>127</v>
      </c>
      <c r="AT39" s="35"/>
    </row>
    <row r="40" spans="2:46" ht="14.1" customHeight="1" x14ac:dyDescent="0.25">
      <c r="B40" s="16">
        <v>6</v>
      </c>
      <c r="C40" s="238">
        <f t="shared" si="5"/>
        <v>181.96999999999991</v>
      </c>
      <c r="E40" s="16">
        <v>6</v>
      </c>
      <c r="F40" s="204">
        <f t="shared" si="9"/>
        <v>140.56999999999971</v>
      </c>
      <c r="G40" s="204"/>
      <c r="H40" s="16">
        <v>6</v>
      </c>
      <c r="I40" s="149">
        <f t="shared" si="2"/>
        <v>41.400000000000205</v>
      </c>
      <c r="K40" s="16">
        <v>6</v>
      </c>
      <c r="L40" s="204">
        <f t="shared" si="8"/>
        <v>140.56999999999971</v>
      </c>
      <c r="M40" s="149">
        <f t="shared" si="6"/>
        <v>23.428333333333285</v>
      </c>
      <c r="N40" s="267">
        <f t="shared" si="3"/>
        <v>0.62213236281978679</v>
      </c>
      <c r="O40" s="149">
        <f t="shared" si="4"/>
        <v>23.427778577301009</v>
      </c>
      <c r="P40" s="149">
        <f t="shared" si="7"/>
        <v>140.56667146380605</v>
      </c>
      <c r="R40" s="309">
        <f>T40</f>
        <v>0.64995283683760796</v>
      </c>
      <c r="S40" s="265">
        <v>5</v>
      </c>
      <c r="T40" s="307">
        <f>N39</f>
        <v>0.64995283683760796</v>
      </c>
      <c r="U40" s="308">
        <f>P39</f>
        <v>122.37710218211974</v>
      </c>
      <c r="W40" s="362">
        <v>114.3</v>
      </c>
      <c r="X40" s="362">
        <v>122.7</v>
      </c>
      <c r="AE40" s="73">
        <v>5</v>
      </c>
      <c r="AF40" s="66">
        <v>0.67849999999999999</v>
      </c>
      <c r="AG40" s="56">
        <v>25.551443313981597</v>
      </c>
      <c r="AH40" s="80">
        <v>127.75721656990798</v>
      </c>
      <c r="AI40" s="9"/>
      <c r="AJ40" s="9"/>
      <c r="AK40" s="9"/>
      <c r="AL40" s="9"/>
      <c r="AM40" s="9"/>
      <c r="AN40" s="15"/>
      <c r="AR40" s="16">
        <v>1</v>
      </c>
      <c r="AS40" s="204">
        <f>(AT$33*(AR40)^3)+(AT$34*(AR40)^2)+(AT$35*(AR40)^1)+(AT$36)</f>
        <v>30.000000000000284</v>
      </c>
    </row>
    <row r="41" spans="2:46" ht="14.1" customHeight="1" x14ac:dyDescent="0.25">
      <c r="B41" s="16">
        <v>7</v>
      </c>
      <c r="C41" s="238">
        <f t="shared" si="5"/>
        <v>207.70399999999992</v>
      </c>
      <c r="E41" s="16">
        <v>7</v>
      </c>
      <c r="F41" s="204">
        <f t="shared" si="9"/>
        <v>159.1279999999997</v>
      </c>
      <c r="G41" s="204"/>
      <c r="H41" s="16">
        <v>7</v>
      </c>
      <c r="I41" s="149">
        <f>C41-F41</f>
        <v>48.576000000000221</v>
      </c>
      <c r="K41" s="16">
        <v>7</v>
      </c>
      <c r="L41" s="204">
        <f t="shared" si="8"/>
        <v>159.1279999999997</v>
      </c>
      <c r="M41" s="149">
        <f t="shared" si="6"/>
        <v>22.732571428571386</v>
      </c>
      <c r="N41" s="267">
        <f t="shared" si="3"/>
        <v>0.60365661417770744</v>
      </c>
      <c r="O41" s="149">
        <f t="shared" si="4"/>
        <v>22.732033147382122</v>
      </c>
      <c r="P41" s="149">
        <f t="shared" si="7"/>
        <v>159.12423203167486</v>
      </c>
      <c r="R41" s="310"/>
      <c r="S41" s="82">
        <v>10</v>
      </c>
      <c r="T41" s="306">
        <f>N44</f>
        <v>0.57626354437869531</v>
      </c>
      <c r="U41" s="107">
        <f>P44</f>
        <v>217.0048614523765</v>
      </c>
      <c r="W41" s="361">
        <v>233.6</v>
      </c>
      <c r="X41" s="361">
        <v>209.8</v>
      </c>
      <c r="AE41" s="73">
        <v>10</v>
      </c>
      <c r="AF41" s="76">
        <v>0.64</v>
      </c>
      <c r="AG41" s="55">
        <v>24.101582492186029</v>
      </c>
      <c r="AH41" s="53">
        <v>241.01582492186029</v>
      </c>
      <c r="AI41" s="9"/>
      <c r="AJ41" s="9"/>
      <c r="AK41" s="9"/>
      <c r="AL41" s="9"/>
      <c r="AM41" s="9"/>
      <c r="AN41" s="15"/>
      <c r="AR41" s="16">
        <v>2</v>
      </c>
      <c r="AS41" s="204">
        <f>(AT$33*(AR41)^3)+(AT$34*(AR41)^2)+(AT$35*(AR41)^1)+(AT$36)</f>
        <v>33.991719676550147</v>
      </c>
    </row>
    <row r="42" spans="2:46" ht="14.1" customHeight="1" x14ac:dyDescent="0.25">
      <c r="B42" s="16">
        <v>8</v>
      </c>
      <c r="C42" s="238">
        <f t="shared" si="5"/>
        <v>233.43799999999993</v>
      </c>
      <c r="E42" s="16">
        <v>8</v>
      </c>
      <c r="F42" s="204">
        <f t="shared" si="9"/>
        <v>178.05399999999969</v>
      </c>
      <c r="G42" s="204"/>
      <c r="H42" s="16">
        <v>8</v>
      </c>
      <c r="I42" s="149">
        <f t="shared" si="2"/>
        <v>55.384000000000242</v>
      </c>
      <c r="K42" s="16">
        <v>8</v>
      </c>
      <c r="L42" s="204">
        <f t="shared" si="8"/>
        <v>178.05399999999969</v>
      </c>
      <c r="M42" s="149">
        <f t="shared" si="6"/>
        <v>22.256749999999961</v>
      </c>
      <c r="N42" s="267">
        <f t="shared" si="3"/>
        <v>0.59102131889546683</v>
      </c>
      <c r="O42" s="149">
        <f t="shared" si="4"/>
        <v>22.256222985715777</v>
      </c>
      <c r="P42" s="149">
        <f t="shared" si="7"/>
        <v>178.04978388572621</v>
      </c>
      <c r="R42" s="310"/>
      <c r="S42" s="82">
        <v>20</v>
      </c>
      <c r="T42" s="306">
        <f>N54</f>
        <v>0.57606438412880689</v>
      </c>
      <c r="U42" s="107">
        <f>P54</f>
        <v>433.85972645658114</v>
      </c>
      <c r="W42" s="361">
        <v>480</v>
      </c>
      <c r="X42" s="361">
        <v>436.6</v>
      </c>
      <c r="AE42" s="73">
        <v>20</v>
      </c>
      <c r="AF42" s="76">
        <v>0.65</v>
      </c>
      <c r="AG42" s="55">
        <v>24.478169718626436</v>
      </c>
      <c r="AH42" s="53">
        <v>489.56339437252871</v>
      </c>
      <c r="AI42" s="9"/>
      <c r="AJ42" s="9"/>
      <c r="AK42" s="9"/>
      <c r="AL42" s="9"/>
      <c r="AM42" s="9"/>
      <c r="AN42" s="15"/>
      <c r="AR42" s="16">
        <v>3</v>
      </c>
      <c r="AS42" s="204">
        <f>(AT$33*(AR42)^3)+(AT$34*(AR42)^2)+(AT$35*(AR42)^1)+(AT$36)</f>
        <v>40.51504248491878</v>
      </c>
    </row>
    <row r="43" spans="2:46" ht="14.1" customHeight="1" x14ac:dyDescent="0.25">
      <c r="B43" s="16">
        <v>9</v>
      </c>
      <c r="C43" s="238">
        <f t="shared" si="5"/>
        <v>259.17199999999991</v>
      </c>
      <c r="E43" s="16">
        <v>9</v>
      </c>
      <c r="F43" s="204">
        <f t="shared" si="9"/>
        <v>197.3479999999997</v>
      </c>
      <c r="G43" s="204"/>
      <c r="H43" s="16">
        <v>9</v>
      </c>
      <c r="I43" s="149">
        <f t="shared" si="2"/>
        <v>61.824000000000211</v>
      </c>
      <c r="K43" s="16">
        <v>9</v>
      </c>
      <c r="L43" s="204">
        <f t="shared" si="8"/>
        <v>197.3479999999997</v>
      </c>
      <c r="M43" s="149">
        <f t="shared" si="6"/>
        <v>21.927555555555521</v>
      </c>
      <c r="N43" s="267">
        <f t="shared" si="3"/>
        <v>0.58227965918645197</v>
      </c>
      <c r="O43" s="149">
        <f t="shared" si="4"/>
        <v>21.927036336217785</v>
      </c>
      <c r="P43" s="149">
        <f t="shared" si="7"/>
        <v>197.34332702596006</v>
      </c>
      <c r="R43" s="310"/>
      <c r="S43" s="82">
        <v>30</v>
      </c>
      <c r="T43" s="306">
        <f>N64</f>
        <v>0.60857176269401547</v>
      </c>
      <c r="U43" s="107">
        <f>P64</f>
        <v>687.5137200790407</v>
      </c>
      <c r="W43" s="361">
        <v>746.6</v>
      </c>
      <c r="X43" s="361">
        <v>685.6</v>
      </c>
      <c r="AE43" s="73">
        <v>30</v>
      </c>
      <c r="AF43" s="76">
        <v>0.66500000000000004</v>
      </c>
      <c r="AG43" s="55">
        <v>25.04305055828705</v>
      </c>
      <c r="AH43" s="53">
        <v>751.29151674861146</v>
      </c>
      <c r="AI43" s="9"/>
      <c r="AJ43" s="9"/>
      <c r="AK43" s="9"/>
      <c r="AL43" s="9"/>
      <c r="AM43" s="9"/>
      <c r="AN43" s="15"/>
      <c r="AR43" s="16">
        <v>4</v>
      </c>
      <c r="AS43" s="204">
        <f>(AT$33*(AR43)^3)+(AT$34*(AR43)^2)+(AT$35*(AR43)^1)+(AT$36)</f>
        <v>49.463978436657968</v>
      </c>
    </row>
    <row r="44" spans="2:46" ht="14.1" customHeight="1" x14ac:dyDescent="0.25">
      <c r="B44" s="239">
        <v>10</v>
      </c>
      <c r="C44" s="240">
        <f t="shared" si="5"/>
        <v>284.90599999999995</v>
      </c>
      <c r="E44" s="16">
        <v>10</v>
      </c>
      <c r="F44" s="204">
        <f t="shared" si="9"/>
        <v>217.00999999999968</v>
      </c>
      <c r="G44" s="204"/>
      <c r="H44" s="16">
        <v>10</v>
      </c>
      <c r="I44" s="149">
        <f t="shared" si="2"/>
        <v>67.896000000000271</v>
      </c>
      <c r="K44" s="261">
        <v>10</v>
      </c>
      <c r="L44" s="262">
        <f>F44</f>
        <v>217.00999999999968</v>
      </c>
      <c r="M44" s="263">
        <f t="shared" si="6"/>
        <v>21.700999999999969</v>
      </c>
      <c r="N44" s="266">
        <f t="shared" si="3"/>
        <v>0.57626354437869531</v>
      </c>
      <c r="O44" s="263">
        <f t="shared" si="4"/>
        <v>21.700486145237651</v>
      </c>
      <c r="P44" s="263">
        <f t="shared" si="7"/>
        <v>217.0048614523765</v>
      </c>
      <c r="R44" s="309">
        <f>T44</f>
        <v>0.64925577596299844</v>
      </c>
      <c r="S44" s="265">
        <v>40</v>
      </c>
      <c r="T44" s="307">
        <f>N74</f>
        <v>0.64925577596299844</v>
      </c>
      <c r="U44" s="311">
        <f>P74</f>
        <v>977.96684231975519</v>
      </c>
      <c r="V44" s="316">
        <f>U32-U44</f>
        <v>3.3157680244812582E-2</v>
      </c>
      <c r="W44" s="362">
        <v>1055</v>
      </c>
      <c r="X44" s="362">
        <v>978.4</v>
      </c>
      <c r="AE44" s="73">
        <v>40</v>
      </c>
      <c r="AF44" s="77">
        <v>0.68</v>
      </c>
      <c r="AG44" s="56">
        <v>25.607931397947663</v>
      </c>
      <c r="AH44" s="80">
        <v>1024.3172559179066</v>
      </c>
      <c r="AI44" s="9"/>
      <c r="AJ44" s="9"/>
      <c r="AK44" s="9"/>
      <c r="AL44" s="9"/>
      <c r="AM44" s="9"/>
      <c r="AN44" s="15"/>
      <c r="AR44" s="16">
        <v>5</v>
      </c>
      <c r="AS44" s="204">
        <f>(AT$33*(AR44)^3)+(AT$34*(AR44)^2)+(AT$35*(AR44)^1)+(AT$36)</f>
        <v>60.732537543319509</v>
      </c>
      <c r="AT44" s="204"/>
    </row>
    <row r="45" spans="2:46" ht="14.1" customHeight="1" x14ac:dyDescent="0.25">
      <c r="B45" s="16">
        <v>11</v>
      </c>
      <c r="C45" s="238">
        <f t="shared" si="5"/>
        <v>310.63999999999993</v>
      </c>
      <c r="E45" s="16">
        <v>11</v>
      </c>
      <c r="F45" s="204">
        <f t="shared" si="9"/>
        <v>237.03999999999971</v>
      </c>
      <c r="G45" s="204"/>
      <c r="H45" s="16">
        <v>11</v>
      </c>
      <c r="I45" s="149">
        <f t="shared" si="2"/>
        <v>73.600000000000222</v>
      </c>
      <c r="K45" s="16">
        <v>11</v>
      </c>
      <c r="L45" s="204">
        <f t="shared" si="8"/>
        <v>237.03999999999971</v>
      </c>
      <c r="M45" s="149">
        <f t="shared" si="6"/>
        <v>21.549090909090882</v>
      </c>
      <c r="N45" s="267">
        <f t="shared" si="3"/>
        <v>0.57222964404458099</v>
      </c>
      <c r="O45" s="149">
        <f t="shared" si="4"/>
        <v>21.548580651361409</v>
      </c>
      <c r="P45" s="149">
        <f t="shared" si="7"/>
        <v>237.0343871649755</v>
      </c>
      <c r="S45" s="82">
        <v>50</v>
      </c>
      <c r="T45" s="306">
        <f>N84</f>
        <v>0.69321044311349089</v>
      </c>
      <c r="U45" s="107">
        <f>P84</f>
        <v>1305.2190931787243</v>
      </c>
      <c r="W45" s="361">
        <v>1348.2</v>
      </c>
      <c r="X45" s="361">
        <v>1282.8</v>
      </c>
      <c r="AE45" s="278">
        <v>50</v>
      </c>
      <c r="AF45" s="279">
        <v>0.7</v>
      </c>
      <c r="AG45" s="280">
        <v>26.361105850828469</v>
      </c>
      <c r="AH45" s="281">
        <v>1318.0552925414236</v>
      </c>
      <c r="AI45" s="3"/>
      <c r="AJ45" s="3"/>
      <c r="AK45" s="3"/>
      <c r="AL45" s="3"/>
      <c r="AM45" s="3"/>
      <c r="AN45" s="7"/>
    </row>
    <row r="46" spans="2:46" ht="14.1" customHeight="1" x14ac:dyDescent="0.2">
      <c r="B46" s="16">
        <v>12</v>
      </c>
      <c r="C46" s="238">
        <f t="shared" si="5"/>
        <v>336.37399999999991</v>
      </c>
      <c r="E46" s="16">
        <v>12</v>
      </c>
      <c r="F46" s="204">
        <f t="shared" si="9"/>
        <v>257.43799999999976</v>
      </c>
      <c r="G46" s="204"/>
      <c r="H46" s="16">
        <v>12</v>
      </c>
      <c r="I46" s="149">
        <f t="shared" si="2"/>
        <v>78.936000000000149</v>
      </c>
      <c r="K46" s="16">
        <v>12</v>
      </c>
      <c r="L46" s="204">
        <f t="shared" si="8"/>
        <v>257.43799999999976</v>
      </c>
      <c r="M46" s="149">
        <f t="shared" si="6"/>
        <v>21.453166666666647</v>
      </c>
      <c r="N46" s="267">
        <f t="shared" si="3"/>
        <v>0.56968240456569841</v>
      </c>
      <c r="O46" s="149">
        <f t="shared" si="4"/>
        <v>21.452658680313096</v>
      </c>
      <c r="P46" s="149">
        <f t="shared" si="7"/>
        <v>257.43190416375717</v>
      </c>
      <c r="S46" s="229"/>
    </row>
    <row r="47" spans="2:46" ht="14.1" customHeight="1" x14ac:dyDescent="0.2">
      <c r="B47" s="16">
        <v>13</v>
      </c>
      <c r="C47" s="238">
        <f t="shared" si="5"/>
        <v>362.10799999999995</v>
      </c>
      <c r="E47" s="16">
        <v>13</v>
      </c>
      <c r="F47" s="204">
        <f t="shared" si="9"/>
        <v>278.20399999999972</v>
      </c>
      <c r="G47" s="204"/>
      <c r="H47" s="16">
        <v>13</v>
      </c>
      <c r="I47" s="149">
        <f t="shared" si="2"/>
        <v>83.904000000000224</v>
      </c>
      <c r="K47" s="16">
        <v>13</v>
      </c>
      <c r="L47" s="204">
        <f t="shared" si="8"/>
        <v>278.20399999999972</v>
      </c>
      <c r="M47" s="149">
        <f t="shared" si="6"/>
        <v>21.40030769230767</v>
      </c>
      <c r="N47" s="267">
        <f t="shared" si="3"/>
        <v>0.56827875036007069</v>
      </c>
      <c r="O47" s="149">
        <f t="shared" si="4"/>
        <v>21.399800957593939</v>
      </c>
      <c r="P47" s="149">
        <f t="shared" si="7"/>
        <v>278.1974124487212</v>
      </c>
    </row>
    <row r="48" spans="2:46" ht="14.1" customHeight="1" x14ac:dyDescent="0.2">
      <c r="B48" s="16">
        <v>14</v>
      </c>
      <c r="C48" s="238">
        <f t="shared" si="5"/>
        <v>387.84199999999993</v>
      </c>
      <c r="E48" s="16">
        <v>14</v>
      </c>
      <c r="F48" s="204">
        <f t="shared" si="9"/>
        <v>299.33799999999974</v>
      </c>
      <c r="G48" s="204"/>
      <c r="H48" s="16">
        <v>14</v>
      </c>
      <c r="I48" s="149">
        <f t="shared" si="2"/>
        <v>88.50400000000019</v>
      </c>
      <c r="K48" s="16">
        <v>14</v>
      </c>
      <c r="L48" s="204">
        <f t="shared" si="8"/>
        <v>299.33799999999974</v>
      </c>
      <c r="M48" s="149">
        <f t="shared" si="6"/>
        <v>21.381285714285696</v>
      </c>
      <c r="N48" s="267">
        <f t="shared" si="3"/>
        <v>0.56777362744057225</v>
      </c>
      <c r="O48" s="149">
        <f t="shared" si="4"/>
        <v>21.380779429990564</v>
      </c>
      <c r="P48" s="149">
        <f t="shared" si="7"/>
        <v>299.33091201986792</v>
      </c>
    </row>
    <row r="49" spans="1:28" ht="14.1" customHeight="1" x14ac:dyDescent="0.2">
      <c r="B49" s="16">
        <v>15</v>
      </c>
      <c r="C49" s="238">
        <f t="shared" si="5"/>
        <v>413.57599999999996</v>
      </c>
      <c r="E49" s="16">
        <v>15</v>
      </c>
      <c r="F49" s="204">
        <f t="shared" si="9"/>
        <v>320.83999999999969</v>
      </c>
      <c r="G49" s="204"/>
      <c r="H49" s="16">
        <v>15</v>
      </c>
      <c r="I49" s="149">
        <f t="shared" si="2"/>
        <v>92.736000000000274</v>
      </c>
      <c r="K49" s="16">
        <v>15</v>
      </c>
      <c r="L49" s="204">
        <f t="shared" si="8"/>
        <v>320.83999999999969</v>
      </c>
      <c r="M49" s="149">
        <f t="shared" si="6"/>
        <v>21.389333333333312</v>
      </c>
      <c r="N49" s="267">
        <f t="shared" si="3"/>
        <v>0.56798732954997677</v>
      </c>
      <c r="O49" s="149">
        <f t="shared" si="4"/>
        <v>21.388826858479799</v>
      </c>
      <c r="P49" s="149">
        <f t="shared" si="7"/>
        <v>320.83240287719701</v>
      </c>
    </row>
    <row r="50" spans="1:28" ht="14.1" customHeight="1" x14ac:dyDescent="0.2">
      <c r="B50" s="16">
        <v>16</v>
      </c>
      <c r="C50" s="238">
        <f t="shared" si="5"/>
        <v>439.30999999999995</v>
      </c>
      <c r="E50" s="16">
        <v>16</v>
      </c>
      <c r="F50" s="204">
        <f t="shared" si="9"/>
        <v>342.7099999999997</v>
      </c>
      <c r="G50" s="204"/>
      <c r="H50" s="16">
        <v>16</v>
      </c>
      <c r="I50" s="149">
        <f t="shared" si="2"/>
        <v>96.60000000000025</v>
      </c>
      <c r="K50" s="16">
        <v>16</v>
      </c>
      <c r="L50" s="204">
        <f t="shared" si="8"/>
        <v>342.7099999999997</v>
      </c>
      <c r="M50" s="149">
        <f t="shared" si="6"/>
        <v>21.419374999999981</v>
      </c>
      <c r="N50" s="267">
        <f t="shared" si="3"/>
        <v>0.5687850769953654</v>
      </c>
      <c r="O50" s="149">
        <f t="shared" si="4"/>
        <v>21.418867813794296</v>
      </c>
      <c r="P50" s="149">
        <f t="shared" si="7"/>
        <v>342.70188502070874</v>
      </c>
      <c r="R50" t="s">
        <v>245</v>
      </c>
      <c r="Z50" t="s">
        <v>234</v>
      </c>
    </row>
    <row r="51" spans="1:28" ht="14.1" customHeight="1" x14ac:dyDescent="0.2">
      <c r="B51" s="16">
        <v>17</v>
      </c>
      <c r="C51" s="238">
        <f t="shared" si="5"/>
        <v>465.04399999999993</v>
      </c>
      <c r="E51" s="16">
        <v>17</v>
      </c>
      <c r="F51" s="204">
        <f t="shared" si="9"/>
        <v>364.94799999999975</v>
      </c>
      <c r="G51" s="204"/>
      <c r="H51" s="16">
        <v>17</v>
      </c>
      <c r="I51" s="149">
        <f t="shared" si="2"/>
        <v>100.09600000000017</v>
      </c>
      <c r="K51" s="16">
        <v>17</v>
      </c>
      <c r="L51" s="204">
        <f t="shared" si="8"/>
        <v>364.94799999999975</v>
      </c>
      <c r="M51" s="149">
        <f t="shared" si="6"/>
        <v>21.467529411764691</v>
      </c>
      <c r="N51" s="267">
        <f t="shared" si="3"/>
        <v>0.57006380295274073</v>
      </c>
      <c r="O51" s="149">
        <f t="shared" si="4"/>
        <v>21.467021085317825</v>
      </c>
      <c r="P51" s="149">
        <f t="shared" si="7"/>
        <v>364.93935845040301</v>
      </c>
      <c r="R51" t="s">
        <v>197</v>
      </c>
      <c r="S51" t="s">
        <v>246</v>
      </c>
      <c r="T51" s="361">
        <v>29.1</v>
      </c>
      <c r="Z51" t="s">
        <v>235</v>
      </c>
      <c r="AA51" t="s">
        <v>236</v>
      </c>
      <c r="AB51" s="361">
        <v>46.4</v>
      </c>
    </row>
    <row r="52" spans="1:28" ht="14.1" customHeight="1" x14ac:dyDescent="0.2">
      <c r="B52" s="16">
        <v>18</v>
      </c>
      <c r="C52" s="238">
        <f t="shared" si="5"/>
        <v>490.77799999999996</v>
      </c>
      <c r="E52" s="16">
        <v>18</v>
      </c>
      <c r="F52" s="204">
        <f t="shared" si="9"/>
        <v>387.55399999999975</v>
      </c>
      <c r="G52" s="204"/>
      <c r="H52" s="16">
        <v>18</v>
      </c>
      <c r="I52" s="149">
        <f t="shared" si="2"/>
        <v>103.22400000000022</v>
      </c>
      <c r="K52" s="16">
        <v>18</v>
      </c>
      <c r="L52" s="204">
        <f t="shared" si="8"/>
        <v>387.55399999999975</v>
      </c>
      <c r="M52" s="149">
        <f t="shared" si="6"/>
        <v>21.530777777777764</v>
      </c>
      <c r="N52" s="267">
        <f t="shared" si="3"/>
        <v>0.57174334433677176</v>
      </c>
      <c r="O52" s="149">
        <f t="shared" si="4"/>
        <v>21.530267953682216</v>
      </c>
      <c r="P52" s="149">
        <f t="shared" si="7"/>
        <v>387.54482316627991</v>
      </c>
      <c r="T52" s="362">
        <v>52.5</v>
      </c>
      <c r="AB52" s="362">
        <v>69.8</v>
      </c>
    </row>
    <row r="53" spans="1:28" ht="14.1" customHeight="1" x14ac:dyDescent="0.2">
      <c r="B53" s="16">
        <v>19</v>
      </c>
      <c r="C53" s="238">
        <f t="shared" si="5"/>
        <v>516.51199999999994</v>
      </c>
      <c r="E53" s="16">
        <v>19</v>
      </c>
      <c r="F53" s="204">
        <f t="shared" si="9"/>
        <v>410.52799999999979</v>
      </c>
      <c r="G53" s="204"/>
      <c r="H53" s="16">
        <v>19</v>
      </c>
      <c r="I53" s="149">
        <f t="shared" si="2"/>
        <v>105.98400000000015</v>
      </c>
      <c r="K53" s="16">
        <v>19</v>
      </c>
      <c r="L53" s="204">
        <f t="shared" si="8"/>
        <v>410.52799999999979</v>
      </c>
      <c r="M53" s="149">
        <f t="shared" si="6"/>
        <v>21.606736842105253</v>
      </c>
      <c r="N53" s="267">
        <f t="shared" si="3"/>
        <v>0.57376041450114423</v>
      </c>
      <c r="O53" s="149">
        <f t="shared" si="4"/>
        <v>21.606225219386285</v>
      </c>
      <c r="P53" s="149">
        <f t="shared" si="7"/>
        <v>410.5182791683394</v>
      </c>
      <c r="T53" s="361">
        <v>75.3</v>
      </c>
      <c r="AB53" s="361">
        <v>89.1</v>
      </c>
    </row>
    <row r="54" spans="1:28" ht="14.1" customHeight="1" x14ac:dyDescent="0.2">
      <c r="B54" s="239">
        <v>20</v>
      </c>
      <c r="C54" s="240">
        <f t="shared" si="5"/>
        <v>542.24599999999998</v>
      </c>
      <c r="E54" s="16">
        <v>20</v>
      </c>
      <c r="F54" s="204">
        <f t="shared" si="9"/>
        <v>433.86999999999978</v>
      </c>
      <c r="G54" s="204"/>
      <c r="H54" s="16">
        <v>20</v>
      </c>
      <c r="I54" s="149">
        <f t="shared" si="2"/>
        <v>108.3760000000002</v>
      </c>
      <c r="K54" s="261">
        <v>20</v>
      </c>
      <c r="L54" s="262">
        <f t="shared" si="8"/>
        <v>433.86999999999978</v>
      </c>
      <c r="M54" s="263">
        <f t="shared" si="6"/>
        <v>21.69349999999999</v>
      </c>
      <c r="N54" s="266">
        <f t="shared" si="3"/>
        <v>0.57606438412880689</v>
      </c>
      <c r="O54" s="263">
        <f t="shared" si="4"/>
        <v>21.692986322829057</v>
      </c>
      <c r="P54" s="263">
        <f t="shared" si="7"/>
        <v>433.85972645658114</v>
      </c>
      <c r="T54" s="361">
        <v>94.2</v>
      </c>
      <c r="AB54" s="361">
        <v>106.6</v>
      </c>
    </row>
    <row r="55" spans="1:28" ht="14.1" customHeight="1" x14ac:dyDescent="0.2">
      <c r="B55" s="16">
        <v>21</v>
      </c>
      <c r="C55" s="238">
        <f t="shared" si="5"/>
        <v>567.9799999999999</v>
      </c>
      <c r="E55" s="16">
        <v>21</v>
      </c>
      <c r="F55" s="204">
        <f t="shared" si="9"/>
        <v>457.57999999999981</v>
      </c>
      <c r="G55" s="204"/>
      <c r="H55" s="16">
        <v>21</v>
      </c>
      <c r="I55" s="149">
        <f t="shared" si="2"/>
        <v>110.40000000000009</v>
      </c>
      <c r="K55" s="16">
        <v>21</v>
      </c>
      <c r="L55" s="204">
        <f t="shared" si="8"/>
        <v>457.57999999999981</v>
      </c>
      <c r="M55" s="149">
        <f t="shared" si="6"/>
        <v>21.7895238095238</v>
      </c>
      <c r="N55" s="267">
        <f t="shared" si="3"/>
        <v>0.57861426758214718</v>
      </c>
      <c r="O55" s="149">
        <f t="shared" si="4"/>
        <v>21.789007858619325</v>
      </c>
      <c r="P55" s="149">
        <f t="shared" si="7"/>
        <v>457.56916503100581</v>
      </c>
      <c r="T55" s="362">
        <v>114.3</v>
      </c>
      <c r="AB55" s="362">
        <v>122.7</v>
      </c>
    </row>
    <row r="56" spans="1:28" ht="14.1" customHeight="1" x14ac:dyDescent="0.2">
      <c r="B56" s="16">
        <v>22</v>
      </c>
      <c r="C56" s="238">
        <f t="shared" si="5"/>
        <v>593.71399999999994</v>
      </c>
      <c r="E56" s="16">
        <v>22</v>
      </c>
      <c r="F56" s="204">
        <f t="shared" si="9"/>
        <v>481.65799999999979</v>
      </c>
      <c r="G56" s="204"/>
      <c r="H56" s="16">
        <v>22</v>
      </c>
      <c r="I56" s="149">
        <f t="shared" si="2"/>
        <v>112.05600000000015</v>
      </c>
      <c r="K56" s="16">
        <v>22</v>
      </c>
      <c r="L56" s="204">
        <f t="shared" si="8"/>
        <v>481.65799999999979</v>
      </c>
      <c r="M56" s="149">
        <f t="shared" si="6"/>
        <v>21.893545454545446</v>
      </c>
      <c r="N56" s="267">
        <f t="shared" si="3"/>
        <v>0.58137653115766341</v>
      </c>
      <c r="O56" s="149">
        <f t="shared" si="4"/>
        <v>21.893027040527858</v>
      </c>
      <c r="P56" s="149">
        <f t="shared" si="7"/>
        <v>481.64659489161289</v>
      </c>
      <c r="T56" s="361">
        <v>233.6</v>
      </c>
      <c r="AB56" s="361">
        <v>209.8</v>
      </c>
    </row>
    <row r="57" spans="1:28" ht="14.1" customHeight="1" x14ac:dyDescent="0.2">
      <c r="B57" s="16">
        <v>23</v>
      </c>
      <c r="C57" s="238">
        <f t="shared" si="5"/>
        <v>619.44799999999998</v>
      </c>
      <c r="E57" s="16">
        <v>23</v>
      </c>
      <c r="F57" s="204">
        <f t="shared" si="9"/>
        <v>506.10399999999981</v>
      </c>
      <c r="G57" s="204"/>
      <c r="H57" s="16">
        <v>23</v>
      </c>
      <c r="I57" s="149">
        <f t="shared" si="2"/>
        <v>113.34400000000016</v>
      </c>
      <c r="K57" s="16">
        <v>23</v>
      </c>
      <c r="L57" s="204">
        <f t="shared" si="8"/>
        <v>506.10399999999981</v>
      </c>
      <c r="M57" s="149">
        <f t="shared" si="6"/>
        <v>22.004521739130428</v>
      </c>
      <c r="N57" s="267">
        <f t="shared" si="3"/>
        <v>0.58432347310028898</v>
      </c>
      <c r="O57" s="149">
        <f t="shared" si="4"/>
        <v>22.004000697321842</v>
      </c>
      <c r="P57" s="149">
        <f t="shared" si="7"/>
        <v>506.09201603840239</v>
      </c>
      <c r="T57" s="361">
        <v>480</v>
      </c>
      <c r="AB57" s="361">
        <v>436.6</v>
      </c>
    </row>
    <row r="58" spans="1:28" ht="14.1" customHeight="1" x14ac:dyDescent="0.2">
      <c r="B58" s="16">
        <v>24</v>
      </c>
      <c r="C58" s="238">
        <f t="shared" si="5"/>
        <v>645.1819999999999</v>
      </c>
      <c r="E58" s="16">
        <v>24</v>
      </c>
      <c r="F58" s="204">
        <f t="shared" si="9"/>
        <v>530.91799999999978</v>
      </c>
      <c r="G58" s="204"/>
      <c r="H58" s="16">
        <v>24</v>
      </c>
      <c r="I58" s="149">
        <f t="shared" si="2"/>
        <v>114.26400000000012</v>
      </c>
      <c r="K58" s="16">
        <v>24</v>
      </c>
      <c r="L58" s="204">
        <f t="shared" si="8"/>
        <v>530.91799999999978</v>
      </c>
      <c r="M58" s="149">
        <f t="shared" si="6"/>
        <v>22.121583333333323</v>
      </c>
      <c r="N58" s="267">
        <f t="shared" si="3"/>
        <v>0.58743200861413536</v>
      </c>
      <c r="O58" s="149">
        <f t="shared" si="4"/>
        <v>22.121059519640596</v>
      </c>
      <c r="P58" s="149">
        <f t="shared" si="7"/>
        <v>530.90542847137431</v>
      </c>
      <c r="T58" s="361">
        <v>746.6</v>
      </c>
      <c r="AB58" s="361">
        <v>685.6</v>
      </c>
    </row>
    <row r="59" spans="1:28" ht="14.1" customHeight="1" x14ac:dyDescent="0.2">
      <c r="B59" s="228">
        <v>25</v>
      </c>
      <c r="C59" s="238">
        <f t="shared" si="5"/>
        <v>670.91599999999994</v>
      </c>
      <c r="E59" s="16">
        <v>25</v>
      </c>
      <c r="F59" s="204">
        <f t="shared" si="9"/>
        <v>556.0999999999998</v>
      </c>
      <c r="G59" s="204"/>
      <c r="H59" s="16">
        <v>25</v>
      </c>
      <c r="I59" s="149">
        <f t="shared" si="2"/>
        <v>114.81600000000014</v>
      </c>
      <c r="K59" s="16">
        <v>25</v>
      </c>
      <c r="L59" s="204">
        <f t="shared" si="8"/>
        <v>556.0999999999998</v>
      </c>
      <c r="M59" s="149">
        <f t="shared" si="6"/>
        <v>22.243999999999993</v>
      </c>
      <c r="N59" s="267">
        <f t="shared" si="3"/>
        <v>0.59068274647065644</v>
      </c>
      <c r="O59" s="149">
        <f t="shared" si="4"/>
        <v>22.243473287621171</v>
      </c>
      <c r="P59" s="149">
        <f t="shared" si="7"/>
        <v>556.08683219052932</v>
      </c>
      <c r="T59" s="362">
        <v>1055</v>
      </c>
      <c r="AB59" s="362">
        <v>978.4</v>
      </c>
    </row>
    <row r="60" spans="1:28" ht="14.1" customHeight="1" x14ac:dyDescent="0.2">
      <c r="A60" s="158"/>
      <c r="B60" s="239">
        <v>26</v>
      </c>
      <c r="C60" s="240">
        <f t="shared" si="5"/>
        <v>696.65</v>
      </c>
      <c r="D60" s="159"/>
      <c r="E60" s="239">
        <v>26</v>
      </c>
      <c r="F60" s="241">
        <f t="shared" si="9"/>
        <v>581.64999999999986</v>
      </c>
      <c r="G60" s="241"/>
      <c r="H60" s="239">
        <v>26</v>
      </c>
      <c r="I60" s="246">
        <f t="shared" si="2"/>
        <v>115.00000000000011</v>
      </c>
      <c r="J60" s="159"/>
      <c r="K60" s="239">
        <v>26</v>
      </c>
      <c r="L60" s="204">
        <f t="shared" si="8"/>
        <v>581.64999999999986</v>
      </c>
      <c r="M60" s="259">
        <f t="shared" si="6"/>
        <v>22.371153846153842</v>
      </c>
      <c r="N60" s="267">
        <f t="shared" si="3"/>
        <v>0.59405927870723529</v>
      </c>
      <c r="O60" s="149">
        <f t="shared" si="4"/>
        <v>22.370624122917935</v>
      </c>
      <c r="P60" s="149">
        <f t="shared" si="7"/>
        <v>581.63622719586635</v>
      </c>
      <c r="T60" s="361">
        <v>1348.2</v>
      </c>
      <c r="AB60" s="361">
        <v>1282.8</v>
      </c>
    </row>
    <row r="61" spans="1:28" ht="14.1" customHeight="1" x14ac:dyDescent="0.2">
      <c r="B61" s="16">
        <v>27</v>
      </c>
      <c r="C61" s="238">
        <f t="shared" si="5"/>
        <v>722.38400000000001</v>
      </c>
      <c r="E61" s="16">
        <v>27</v>
      </c>
      <c r="F61" s="204">
        <f t="shared" si="9"/>
        <v>607.56799999999987</v>
      </c>
      <c r="G61" s="204"/>
      <c r="H61" s="16">
        <v>27</v>
      </c>
      <c r="I61" s="149">
        <f t="shared" si="2"/>
        <v>114.81600000000014</v>
      </c>
      <c r="K61" s="16">
        <v>27</v>
      </c>
      <c r="L61" s="204">
        <f t="shared" si="8"/>
        <v>607.56799999999987</v>
      </c>
      <c r="M61" s="149">
        <f t="shared" si="6"/>
        <v>22.502518518518514</v>
      </c>
      <c r="N61" s="267">
        <f t="shared" si="3"/>
        <v>0.59754762817053253</v>
      </c>
      <c r="O61" s="149">
        <f t="shared" si="4"/>
        <v>22.501985684718004</v>
      </c>
      <c r="P61" s="149">
        <f t="shared" si="7"/>
        <v>607.55361348738609</v>
      </c>
    </row>
    <row r="62" spans="1:28" ht="14.1" customHeight="1" x14ac:dyDescent="0.2">
      <c r="B62" s="16">
        <v>28</v>
      </c>
      <c r="C62" s="238">
        <f t="shared" si="5"/>
        <v>748.11799999999994</v>
      </c>
      <c r="E62" s="16">
        <v>28</v>
      </c>
      <c r="F62" s="204">
        <f t="shared" si="9"/>
        <v>633.85399999999993</v>
      </c>
      <c r="G62" s="204"/>
      <c r="H62" s="16">
        <v>28</v>
      </c>
      <c r="I62" s="149">
        <f t="shared" si="2"/>
        <v>114.26400000000001</v>
      </c>
      <c r="K62" s="16">
        <v>28</v>
      </c>
      <c r="L62" s="204">
        <f t="shared" si="8"/>
        <v>633.85399999999993</v>
      </c>
      <c r="M62" s="149">
        <f t="shared" si="6"/>
        <v>22.637642857142854</v>
      </c>
      <c r="N62" s="267">
        <f t="shared" si="3"/>
        <v>0.60113581444339959</v>
      </c>
      <c r="O62" s="149">
        <f t="shared" si="4"/>
        <v>22.637106823753157</v>
      </c>
      <c r="P62" s="149">
        <f t="shared" si="7"/>
        <v>633.83899106508841</v>
      </c>
      <c r="R62" t="s">
        <v>243</v>
      </c>
      <c r="Z62" t="s">
        <v>243</v>
      </c>
    </row>
    <row r="63" spans="1:28" ht="14.1" customHeight="1" x14ac:dyDescent="0.2">
      <c r="B63" s="16">
        <v>29</v>
      </c>
      <c r="C63" s="238">
        <f t="shared" si="5"/>
        <v>773.85199999999998</v>
      </c>
      <c r="E63" s="16">
        <v>29</v>
      </c>
      <c r="F63" s="204">
        <f t="shared" si="9"/>
        <v>660.50799999999992</v>
      </c>
      <c r="G63" s="204"/>
      <c r="H63" s="16">
        <v>29</v>
      </c>
      <c r="I63" s="149">
        <f t="shared" si="2"/>
        <v>113.34400000000005</v>
      </c>
      <c r="K63" s="16">
        <v>29</v>
      </c>
      <c r="L63" s="204">
        <f t="shared" si="8"/>
        <v>660.50799999999992</v>
      </c>
      <c r="M63" s="149">
        <f t="shared" si="6"/>
        <v>22.77613793103448</v>
      </c>
      <c r="N63" s="267">
        <f t="shared" si="3"/>
        <v>0.604813509580019</v>
      </c>
      <c r="O63" s="149">
        <f t="shared" si="4"/>
        <v>22.775598618240455</v>
      </c>
      <c r="P63" s="149">
        <f t="shared" si="7"/>
        <v>660.4923599289732</v>
      </c>
      <c r="R63" t="s">
        <v>244</v>
      </c>
      <c r="Z63" t="s">
        <v>244</v>
      </c>
    </row>
    <row r="64" spans="1:28" ht="14.1" customHeight="1" x14ac:dyDescent="0.2">
      <c r="B64" s="239">
        <v>30</v>
      </c>
      <c r="C64" s="240">
        <f t="shared" si="5"/>
        <v>799.58600000000001</v>
      </c>
      <c r="E64" s="16">
        <v>30</v>
      </c>
      <c r="F64" s="204">
        <f t="shared" si="9"/>
        <v>687.52999999999986</v>
      </c>
      <c r="G64" s="204"/>
      <c r="H64" s="16">
        <v>30</v>
      </c>
      <c r="I64" s="149">
        <f t="shared" si="2"/>
        <v>112.05600000000015</v>
      </c>
      <c r="K64" s="261">
        <v>30</v>
      </c>
      <c r="L64" s="262">
        <f t="shared" si="8"/>
        <v>687.52999999999986</v>
      </c>
      <c r="M64" s="263">
        <f t="shared" si="6"/>
        <v>22.917666666666662</v>
      </c>
      <c r="N64" s="266">
        <f t="shared" si="3"/>
        <v>0.60857176269401547</v>
      </c>
      <c r="O64" s="263">
        <f t="shared" si="4"/>
        <v>22.91712400263469</v>
      </c>
      <c r="P64" s="263">
        <f t="shared" si="7"/>
        <v>687.5137200790407</v>
      </c>
    </row>
    <row r="65" spans="2:16" ht="14.1" customHeight="1" x14ac:dyDescent="0.2">
      <c r="B65" s="16">
        <v>31</v>
      </c>
      <c r="C65" s="238">
        <f t="shared" si="5"/>
        <v>825.31999999999994</v>
      </c>
      <c r="E65" s="16">
        <v>31</v>
      </c>
      <c r="F65" s="204">
        <f t="shared" si="9"/>
        <v>714.92</v>
      </c>
      <c r="G65" s="204"/>
      <c r="H65" s="16">
        <v>31</v>
      </c>
      <c r="I65" s="149">
        <f t="shared" si="2"/>
        <v>110.39999999999998</v>
      </c>
      <c r="K65" s="16">
        <v>31</v>
      </c>
      <c r="L65" s="204">
        <f t="shared" si="8"/>
        <v>714.92</v>
      </c>
      <c r="M65" s="149">
        <f t="shared" si="6"/>
        <v>23.061935483870965</v>
      </c>
      <c r="N65" s="267">
        <f t="shared" si="3"/>
        <v>0.61240277785209452</v>
      </c>
      <c r="O65" s="149">
        <f t="shared" si="4"/>
        <v>23.061389403719051</v>
      </c>
      <c r="P65" s="149">
        <f t="shared" si="7"/>
        <v>714.90307151529055</v>
      </c>
    </row>
    <row r="66" spans="2:16" ht="14.1" customHeight="1" x14ac:dyDescent="0.2">
      <c r="B66" s="16">
        <v>32</v>
      </c>
      <c r="C66" s="238">
        <f t="shared" si="5"/>
        <v>851.05399999999997</v>
      </c>
      <c r="E66" s="16">
        <v>32</v>
      </c>
      <c r="F66" s="204">
        <f t="shared" si="9"/>
        <v>742.67799999999988</v>
      </c>
      <c r="G66" s="204"/>
      <c r="H66" s="16">
        <v>32</v>
      </c>
      <c r="I66" s="149">
        <f t="shared" si="2"/>
        <v>108.37600000000009</v>
      </c>
      <c r="K66" s="16">
        <v>32</v>
      </c>
      <c r="L66" s="204">
        <f t="shared" si="8"/>
        <v>742.67799999999988</v>
      </c>
      <c r="M66" s="149">
        <f t="shared" si="6"/>
        <v>23.208687499999996</v>
      </c>
      <c r="N66" s="267">
        <f t="shared" si="3"/>
        <v>0.61629973361262336</v>
      </c>
      <c r="O66" s="149">
        <f t="shared" si="4"/>
        <v>23.208137944928851</v>
      </c>
      <c r="P66" s="149">
        <f t="shared" si="7"/>
        <v>742.66041423772322</v>
      </c>
    </row>
    <row r="67" spans="2:16" ht="14.1" customHeight="1" x14ac:dyDescent="0.2">
      <c r="B67" s="16">
        <v>33</v>
      </c>
      <c r="C67" s="238">
        <f t="shared" si="5"/>
        <v>876.78800000000001</v>
      </c>
      <c r="E67" s="16">
        <v>33</v>
      </c>
      <c r="F67" s="204">
        <f t="shared" si="9"/>
        <v>770.80399999999997</v>
      </c>
      <c r="G67" s="204"/>
      <c r="H67" s="16">
        <v>33</v>
      </c>
      <c r="I67" s="149">
        <f t="shared" si="2"/>
        <v>105.98400000000004</v>
      </c>
      <c r="K67" s="16">
        <v>33</v>
      </c>
      <c r="L67" s="204">
        <f t="shared" si="8"/>
        <v>770.80399999999997</v>
      </c>
      <c r="M67" s="149">
        <f t="shared" si="6"/>
        <v>23.357696969696971</v>
      </c>
      <c r="N67" s="267">
        <f t="shared" si="3"/>
        <v>0.62025663537537934</v>
      </c>
      <c r="O67" s="149">
        <f t="shared" si="4"/>
        <v>23.357143886252675</v>
      </c>
      <c r="P67" s="149">
        <f t="shared" si="7"/>
        <v>770.78574824633824</v>
      </c>
    </row>
    <row r="68" spans="2:16" ht="14.1" customHeight="1" x14ac:dyDescent="0.2">
      <c r="B68" s="16">
        <v>34</v>
      </c>
      <c r="C68" s="238">
        <f t="shared" si="5"/>
        <v>902.52199999999993</v>
      </c>
      <c r="E68" s="16">
        <v>34</v>
      </c>
      <c r="F68" s="204">
        <f t="shared" si="9"/>
        <v>799.29799999999989</v>
      </c>
      <c r="G68" s="204"/>
      <c r="H68" s="16">
        <v>34</v>
      </c>
      <c r="I68" s="149">
        <f t="shared" si="2"/>
        <v>103.22400000000005</v>
      </c>
      <c r="K68" s="16">
        <v>34</v>
      </c>
      <c r="L68" s="204">
        <f t="shared" si="8"/>
        <v>799.29799999999989</v>
      </c>
      <c r="M68" s="149">
        <f t="shared" si="6"/>
        <v>23.508764705882349</v>
      </c>
      <c r="N68" s="267">
        <f t="shared" si="3"/>
        <v>0.62426819378722453</v>
      </c>
      <c r="O68" s="149">
        <f t="shared" si="4"/>
        <v>23.508208045327525</v>
      </c>
      <c r="P68" s="149">
        <f t="shared" si="7"/>
        <v>799.27907354113586</v>
      </c>
    </row>
    <row r="69" spans="2:16" ht="14.1" customHeight="1" x14ac:dyDescent="0.2">
      <c r="B69" s="16">
        <v>35</v>
      </c>
      <c r="C69" s="238">
        <f t="shared" si="5"/>
        <v>928.25599999999997</v>
      </c>
      <c r="E69" s="16">
        <v>35</v>
      </c>
      <c r="F69" s="204">
        <f t="shared" si="9"/>
        <v>828.16</v>
      </c>
      <c r="G69" s="204"/>
      <c r="H69" s="16">
        <v>35</v>
      </c>
      <c r="I69" s="149">
        <f t="shared" si="2"/>
        <v>100.096</v>
      </c>
      <c r="K69" s="16">
        <v>35</v>
      </c>
      <c r="L69" s="204">
        <f t="shared" si="8"/>
        <v>828.16</v>
      </c>
      <c r="M69" s="149">
        <f t="shared" si="6"/>
        <v>23.661714285714286</v>
      </c>
      <c r="N69" s="267">
        <f t="shared" si="3"/>
        <v>0.62832972399252307</v>
      </c>
      <c r="O69" s="149">
        <f t="shared" si="4"/>
        <v>23.661154003489031</v>
      </c>
      <c r="P69" s="149">
        <f t="shared" si="7"/>
        <v>828.14039012211606</v>
      </c>
    </row>
    <row r="70" spans="2:16" ht="14.1" customHeight="1" x14ac:dyDescent="0.2">
      <c r="B70" s="16">
        <v>36</v>
      </c>
      <c r="C70" s="238">
        <f t="shared" si="5"/>
        <v>953.99</v>
      </c>
      <c r="E70" s="16">
        <v>36</v>
      </c>
      <c r="F70" s="204">
        <f t="shared" si="9"/>
        <v>857.39</v>
      </c>
      <c r="G70" s="204"/>
      <c r="H70" s="16">
        <v>36</v>
      </c>
      <c r="I70" s="149">
        <f t="shared" si="2"/>
        <v>96.600000000000023</v>
      </c>
      <c r="K70" s="16">
        <v>36</v>
      </c>
      <c r="L70" s="204">
        <f t="shared" si="8"/>
        <v>857.39</v>
      </c>
      <c r="M70" s="149">
        <f t="shared" si="6"/>
        <v>23.816388888888888</v>
      </c>
      <c r="N70" s="267">
        <f t="shared" si="3"/>
        <v>0.63243706167515357</v>
      </c>
      <c r="O70" s="149">
        <f t="shared" si="4"/>
        <v>23.81582494414663</v>
      </c>
      <c r="P70" s="149">
        <f t="shared" si="7"/>
        <v>857.36969798927873</v>
      </c>
    </row>
    <row r="71" spans="2:16" ht="14.1" customHeight="1" x14ac:dyDescent="0.2">
      <c r="B71" s="16">
        <v>37</v>
      </c>
      <c r="C71" s="238">
        <f t="shared" si="5"/>
        <v>979.72399999999993</v>
      </c>
      <c r="E71" s="16">
        <v>37</v>
      </c>
      <c r="F71" s="204">
        <f t="shared" si="9"/>
        <v>886.98800000000006</v>
      </c>
      <c r="G71" s="204"/>
      <c r="H71" s="16">
        <v>37</v>
      </c>
      <c r="I71" s="149">
        <f t="shared" si="2"/>
        <v>92.735999999999876</v>
      </c>
      <c r="K71" s="16">
        <v>37</v>
      </c>
      <c r="L71" s="204">
        <f t="shared" si="8"/>
        <v>886.98800000000006</v>
      </c>
      <c r="M71" s="149">
        <f t="shared" si="6"/>
        <v>23.972648648648651</v>
      </c>
      <c r="N71" s="267">
        <f t="shared" si="3"/>
        <v>0.63658649271533263</v>
      </c>
      <c r="O71" s="149">
        <f t="shared" si="4"/>
        <v>23.972081003854708</v>
      </c>
      <c r="P71" s="149">
        <f t="shared" si="7"/>
        <v>886.96699714262422</v>
      </c>
    </row>
    <row r="72" spans="2:16" ht="14.1" customHeight="1" x14ac:dyDescent="0.2">
      <c r="B72" s="16">
        <v>38</v>
      </c>
      <c r="C72" s="238">
        <f t="shared" si="5"/>
        <v>1005.458</v>
      </c>
      <c r="E72" s="16">
        <v>38</v>
      </c>
      <c r="F72" s="204">
        <f t="shared" si="9"/>
        <v>916.95399999999995</v>
      </c>
      <c r="G72" s="204"/>
      <c r="H72" s="16">
        <v>38</v>
      </c>
      <c r="I72" s="149">
        <f t="shared" si="2"/>
        <v>88.504000000000019</v>
      </c>
      <c r="K72" s="16">
        <v>38</v>
      </c>
      <c r="L72" s="204">
        <f t="shared" si="8"/>
        <v>916.95399999999995</v>
      </c>
      <c r="M72" s="149">
        <f t="shared" si="6"/>
        <v>24.13036842105263</v>
      </c>
      <c r="N72" s="267">
        <f t="shared" si="3"/>
        <v>0.64077469395325337</v>
      </c>
      <c r="O72" s="149">
        <f t="shared" si="4"/>
        <v>24.129797041635573</v>
      </c>
      <c r="P72" s="149">
        <f t="shared" si="7"/>
        <v>916.93228758215173</v>
      </c>
    </row>
    <row r="73" spans="2:16" ht="14.1" customHeight="1" x14ac:dyDescent="0.2">
      <c r="B73" s="16">
        <v>39</v>
      </c>
      <c r="C73" s="238">
        <f t="shared" si="5"/>
        <v>1031.192</v>
      </c>
      <c r="E73" s="16">
        <v>39</v>
      </c>
      <c r="F73" s="204">
        <f t="shared" si="9"/>
        <v>947.28800000000012</v>
      </c>
      <c r="G73" s="204"/>
      <c r="H73" s="16">
        <v>39</v>
      </c>
      <c r="I73" s="149">
        <f t="shared" si="2"/>
        <v>83.903999999999883</v>
      </c>
      <c r="K73" s="16">
        <v>39</v>
      </c>
      <c r="L73" s="204">
        <f t="shared" si="8"/>
        <v>947.28800000000012</v>
      </c>
      <c r="M73" s="149">
        <f t="shared" si="6"/>
        <v>24.289435897435901</v>
      </c>
      <c r="N73" s="267">
        <f t="shared" si="3"/>
        <v>0.64499868306601305</v>
      </c>
      <c r="O73" s="149">
        <f t="shared" si="4"/>
        <v>24.288860751483643</v>
      </c>
      <c r="P73" s="149">
        <f t="shared" si="7"/>
        <v>947.26556930786205</v>
      </c>
    </row>
    <row r="74" spans="2:16" ht="14.1" customHeight="1" x14ac:dyDescent="0.2">
      <c r="B74" s="239">
        <v>40</v>
      </c>
      <c r="C74" s="240">
        <f t="shared" si="5"/>
        <v>1056.9259999999999</v>
      </c>
      <c r="E74" s="16">
        <v>40</v>
      </c>
      <c r="F74" s="204">
        <f t="shared" si="9"/>
        <v>977.99</v>
      </c>
      <c r="G74" s="204"/>
      <c r="H74" s="16">
        <v>40</v>
      </c>
      <c r="I74" s="149">
        <f t="shared" si="2"/>
        <v>78.935999999999922</v>
      </c>
      <c r="K74" s="261">
        <v>40</v>
      </c>
      <c r="L74" s="262">
        <f t="shared" si="8"/>
        <v>977.99</v>
      </c>
      <c r="M74" s="263">
        <f t="shared" si="6"/>
        <v>24.449750000000002</v>
      </c>
      <c r="N74" s="266">
        <f t="shared" si="3"/>
        <v>0.64925577596299844</v>
      </c>
      <c r="O74" s="263">
        <f t="shared" si="4"/>
        <v>24.44917105799388</v>
      </c>
      <c r="P74" s="263">
        <f t="shared" si="7"/>
        <v>977.96684231975519</v>
      </c>
    </row>
    <row r="75" spans="2:16" ht="14.1" customHeight="1" x14ac:dyDescent="0.2">
      <c r="B75" s="16">
        <v>41</v>
      </c>
      <c r="C75" s="238">
        <f t="shared" si="5"/>
        <v>1082.6599999999999</v>
      </c>
      <c r="E75" s="16">
        <v>41</v>
      </c>
      <c r="F75" s="204">
        <f t="shared" si="9"/>
        <v>1009.0600000000001</v>
      </c>
      <c r="G75" s="204"/>
      <c r="H75" s="16">
        <v>41</v>
      </c>
      <c r="I75" s="149">
        <f t="shared" si="2"/>
        <v>73.599999999999795</v>
      </c>
      <c r="K75" s="16">
        <v>41</v>
      </c>
      <c r="L75" s="204">
        <f t="shared" si="8"/>
        <v>1009.0600000000001</v>
      </c>
      <c r="M75" s="149">
        <f t="shared" si="6"/>
        <v>24.611219512195124</v>
      </c>
      <c r="N75" s="267">
        <f t="shared" si="3"/>
        <v>0.65354355041609546</v>
      </c>
      <c r="O75" s="149">
        <f t="shared" si="4"/>
        <v>24.61063674677635</v>
      </c>
      <c r="P75" s="149">
        <f t="shared" si="7"/>
        <v>1009.0361066178303</v>
      </c>
    </row>
    <row r="76" spans="2:16" ht="14.1" customHeight="1" x14ac:dyDescent="0.2">
      <c r="B76" s="16">
        <v>42</v>
      </c>
      <c r="C76" s="238">
        <f t="shared" si="5"/>
        <v>1108.3939999999998</v>
      </c>
      <c r="E76" s="16">
        <v>42</v>
      </c>
      <c r="F76" s="204">
        <f t="shared" si="9"/>
        <v>1040.498</v>
      </c>
      <c r="G76" s="204"/>
      <c r="H76" s="16">
        <v>42</v>
      </c>
      <c r="I76" s="149">
        <f t="shared" si="2"/>
        <v>67.895999999999731</v>
      </c>
      <c r="K76" s="16">
        <v>42</v>
      </c>
      <c r="L76" s="204">
        <f t="shared" si="8"/>
        <v>1040.498</v>
      </c>
      <c r="M76" s="149">
        <f t="shared" si="6"/>
        <v>24.773761904761905</v>
      </c>
      <c r="N76" s="267">
        <f t="shared" si="3"/>
        <v>0.65785981488558198</v>
      </c>
      <c r="O76" s="149">
        <f t="shared" si="4"/>
        <v>24.773175290525916</v>
      </c>
      <c r="P76" s="149">
        <f t="shared" si="7"/>
        <v>1040.4733622020885</v>
      </c>
    </row>
    <row r="77" spans="2:16" ht="14.1" customHeight="1" x14ac:dyDescent="0.2">
      <c r="B77" s="16">
        <v>43</v>
      </c>
      <c r="C77" s="238">
        <f t="shared" si="5"/>
        <v>1134.1280000000002</v>
      </c>
      <c r="E77" s="16">
        <v>43</v>
      </c>
      <c r="F77" s="204">
        <f t="shared" si="9"/>
        <v>1072.3039999999999</v>
      </c>
      <c r="G77" s="204"/>
      <c r="H77" s="16">
        <v>43</v>
      </c>
      <c r="I77" s="149">
        <f t="shared" si="2"/>
        <v>61.824000000000296</v>
      </c>
      <c r="K77" s="16">
        <v>43</v>
      </c>
      <c r="L77" s="204">
        <f t="shared" si="8"/>
        <v>1072.3039999999999</v>
      </c>
      <c r="M77" s="149">
        <f t="shared" si="6"/>
        <v>24.937302325581392</v>
      </c>
      <c r="N77" s="267">
        <f t="shared" si="3"/>
        <v>0.66220258169589585</v>
      </c>
      <c r="O77" s="149">
        <f t="shared" si="4"/>
        <v>24.936711838896017</v>
      </c>
      <c r="P77" s="149">
        <f t="shared" si="7"/>
        <v>1072.2786090725288</v>
      </c>
    </row>
    <row r="78" spans="2:16" ht="14.1" customHeight="1" x14ac:dyDescent="0.2">
      <c r="B78" s="16">
        <v>44</v>
      </c>
      <c r="C78" s="238">
        <f t="shared" si="5"/>
        <v>1159.8620000000001</v>
      </c>
      <c r="E78" s="16">
        <v>44</v>
      </c>
      <c r="F78" s="204">
        <f t="shared" si="9"/>
        <v>1104.4779999999998</v>
      </c>
      <c r="G78" s="204"/>
      <c r="H78" s="16">
        <v>44</v>
      </c>
      <c r="I78" s="149">
        <f t="shared" si="2"/>
        <v>55.384000000000242</v>
      </c>
      <c r="K78" s="16">
        <v>44</v>
      </c>
      <c r="L78" s="204">
        <f t="shared" si="8"/>
        <v>1104.4779999999998</v>
      </c>
      <c r="M78" s="149">
        <f t="shared" si="6"/>
        <v>25.101772727272724</v>
      </c>
      <c r="N78" s="267">
        <f t="shared" si="3"/>
        <v>0.66657004386925356</v>
      </c>
      <c r="O78" s="149">
        <f t="shared" si="4"/>
        <v>25.101178346117091</v>
      </c>
      <c r="P78" s="149">
        <f t="shared" si="7"/>
        <v>1104.451847229152</v>
      </c>
    </row>
    <row r="79" spans="2:16" ht="14.1" customHeight="1" x14ac:dyDescent="0.2">
      <c r="B79" s="16">
        <v>45</v>
      </c>
      <c r="C79" s="238">
        <f t="shared" si="5"/>
        <v>1185.596</v>
      </c>
      <c r="E79" s="16">
        <v>45</v>
      </c>
      <c r="F79" s="204">
        <f t="shared" si="9"/>
        <v>1137.02</v>
      </c>
      <c r="G79" s="204"/>
      <c r="H79" s="16">
        <v>45</v>
      </c>
      <c r="I79" s="149">
        <f t="shared" si="2"/>
        <v>48.576000000000022</v>
      </c>
      <c r="K79" s="16">
        <v>45</v>
      </c>
      <c r="L79" s="204">
        <f t="shared" si="8"/>
        <v>1137.02</v>
      </c>
      <c r="M79" s="149">
        <f t="shared" si="6"/>
        <v>25.26711111111111</v>
      </c>
      <c r="N79" s="267">
        <f t="shared" si="3"/>
        <v>0.6709605550481188</v>
      </c>
      <c r="O79" s="149">
        <f t="shared" si="4"/>
        <v>25.266512814932394</v>
      </c>
      <c r="P79" s="149">
        <f t="shared" si="7"/>
        <v>1136.9930766719576</v>
      </c>
    </row>
    <row r="80" spans="2:16" ht="14.1" customHeight="1" x14ac:dyDescent="0.2">
      <c r="B80" s="16">
        <v>46</v>
      </c>
      <c r="C80" s="238">
        <f t="shared" si="5"/>
        <v>1211.33</v>
      </c>
      <c r="E80" s="16">
        <v>46</v>
      </c>
      <c r="F80" s="204">
        <f t="shared" si="9"/>
        <v>1169.93</v>
      </c>
      <c r="G80" s="204"/>
      <c r="H80" s="16">
        <v>46</v>
      </c>
      <c r="I80" s="149">
        <f t="shared" si="2"/>
        <v>41.399999999999864</v>
      </c>
      <c r="K80" s="16">
        <v>46</v>
      </c>
      <c r="L80" s="204">
        <f t="shared" si="8"/>
        <v>1169.93</v>
      </c>
      <c r="M80" s="149">
        <f t="shared" si="6"/>
        <v>25.43326086956522</v>
      </c>
      <c r="N80" s="267">
        <f t="shared" si="3"/>
        <v>0.67537261203648014</v>
      </c>
      <c r="O80" s="149">
        <f t="shared" si="4"/>
        <v>25.432658639151001</v>
      </c>
      <c r="P80" s="149">
        <f t="shared" si="7"/>
        <v>1169.9022974009461</v>
      </c>
    </row>
    <row r="81" spans="2:16" ht="14.1" customHeight="1" x14ac:dyDescent="0.2">
      <c r="B81" s="16">
        <v>47</v>
      </c>
      <c r="C81" s="238">
        <f t="shared" si="5"/>
        <v>1237.0639999999999</v>
      </c>
      <c r="E81" s="16">
        <v>47</v>
      </c>
      <c r="F81" s="204">
        <f t="shared" si="9"/>
        <v>1203.2080000000001</v>
      </c>
      <c r="G81" s="204"/>
      <c r="H81" s="16">
        <v>47</v>
      </c>
      <c r="I81" s="149">
        <f t="shared" si="2"/>
        <v>33.855999999999767</v>
      </c>
      <c r="K81" s="16">
        <v>47</v>
      </c>
      <c r="L81" s="204">
        <f t="shared" si="8"/>
        <v>1203.2080000000001</v>
      </c>
      <c r="M81" s="149">
        <f t="shared" si="6"/>
        <v>25.60017021276596</v>
      </c>
      <c r="N81" s="267">
        <f t="shared" si="3"/>
        <v>0.67980483956990156</v>
      </c>
      <c r="O81" s="149">
        <f t="shared" si="4"/>
        <v>25.599564030130143</v>
      </c>
      <c r="P81" s="149">
        <f t="shared" si="7"/>
        <v>1203.1795094161166</v>
      </c>
    </row>
    <row r="82" spans="2:16" ht="14.1" customHeight="1" x14ac:dyDescent="0.2">
      <c r="B82" s="16">
        <v>48</v>
      </c>
      <c r="C82" s="238">
        <f t="shared" si="5"/>
        <v>1262.7979999999998</v>
      </c>
      <c r="E82" s="16">
        <v>48</v>
      </c>
      <c r="F82" s="204">
        <f t="shared" si="9"/>
        <v>1236.854</v>
      </c>
      <c r="G82" s="204"/>
      <c r="H82" s="16">
        <v>48</v>
      </c>
      <c r="I82" s="149">
        <f t="shared" si="2"/>
        <v>25.943999999999733</v>
      </c>
      <c r="K82" s="16">
        <v>48</v>
      </c>
      <c r="L82" s="204">
        <f t="shared" si="8"/>
        <v>1236.854</v>
      </c>
      <c r="M82" s="149">
        <f t="shared" si="6"/>
        <v>25.767791666666668</v>
      </c>
      <c r="N82" s="267">
        <f t="shared" si="3"/>
        <v>0.68425597698931684</v>
      </c>
      <c r="O82" s="149">
        <f t="shared" si="4"/>
        <v>25.767181514947286</v>
      </c>
      <c r="P82" s="149">
        <f t="shared" si="7"/>
        <v>1236.8247127174698</v>
      </c>
    </row>
    <row r="83" spans="2:16" ht="14.1" customHeight="1" x14ac:dyDescent="0.2">
      <c r="B83" s="16">
        <v>49</v>
      </c>
      <c r="C83" s="238">
        <f t="shared" si="5"/>
        <v>1288.5320000000002</v>
      </c>
      <c r="E83" s="16">
        <v>49</v>
      </c>
      <c r="F83" s="204">
        <f t="shared" si="9"/>
        <v>1270.8680000000002</v>
      </c>
      <c r="G83" s="204"/>
      <c r="H83" s="16">
        <v>49</v>
      </c>
      <c r="I83" s="149">
        <f t="shared" si="2"/>
        <v>17.663999999999987</v>
      </c>
      <c r="K83" s="16">
        <v>49</v>
      </c>
      <c r="L83" s="204">
        <f t="shared" si="8"/>
        <v>1270.8680000000002</v>
      </c>
      <c r="M83" s="149">
        <f t="shared" si="6"/>
        <v>25.936081632653064</v>
      </c>
      <c r="N83" s="267">
        <f t="shared" si="3"/>
        <v>0.68872486654660403</v>
      </c>
      <c r="O83" s="149">
        <f t="shared" si="4"/>
        <v>25.935467496020522</v>
      </c>
      <c r="P83" s="149">
        <f t="shared" si="7"/>
        <v>1270.8379073050055</v>
      </c>
    </row>
    <row r="84" spans="2:16" ht="14.1" customHeight="1" x14ac:dyDescent="0.2">
      <c r="B84" s="16">
        <v>50</v>
      </c>
      <c r="C84" s="238">
        <f t="shared" si="5"/>
        <v>1314.2660000000001</v>
      </c>
      <c r="E84" s="16">
        <v>50</v>
      </c>
      <c r="F84" s="204">
        <f t="shared" si="9"/>
        <v>1305.2500000000002</v>
      </c>
      <c r="G84" s="204"/>
      <c r="H84" s="16">
        <v>50</v>
      </c>
      <c r="I84" s="149">
        <f t="shared" si="2"/>
        <v>9.015999999999849</v>
      </c>
      <c r="K84" s="261">
        <v>50</v>
      </c>
      <c r="L84" s="262">
        <f t="shared" si="8"/>
        <v>1305.2500000000002</v>
      </c>
      <c r="M84" s="263">
        <f t="shared" si="6"/>
        <v>26.105000000000004</v>
      </c>
      <c r="N84" s="266">
        <f t="shared" si="3"/>
        <v>0.69321044311349089</v>
      </c>
      <c r="O84" s="263">
        <f t="shared" si="4"/>
        <v>26.104381863574485</v>
      </c>
      <c r="P84" s="263">
        <f t="shared" si="7"/>
        <v>1305.2190931787243</v>
      </c>
    </row>
    <row r="85" spans="2:16" ht="14.1" customHeight="1" x14ac:dyDescent="0.2">
      <c r="B85" s="16">
        <v>51</v>
      </c>
      <c r="C85" s="238">
        <f t="shared" si="5"/>
        <v>1340</v>
      </c>
      <c r="E85" s="16">
        <v>51</v>
      </c>
      <c r="F85" s="204">
        <f t="shared" si="9"/>
        <v>1340.0000000000002</v>
      </c>
      <c r="G85" s="204"/>
      <c r="H85" s="16">
        <v>51</v>
      </c>
      <c r="I85" s="149">
        <f>C85-F85</f>
        <v>0</v>
      </c>
      <c r="K85" s="16">
        <v>51</v>
      </c>
      <c r="L85" s="204">
        <f t="shared" si="8"/>
        <v>1340.0000000000002</v>
      </c>
      <c r="M85" s="149">
        <f t="shared" si="6"/>
        <v>26.274509803921575</v>
      </c>
      <c r="N85" s="267">
        <f t="shared" si="3"/>
        <v>0.69771172510117729</v>
      </c>
      <c r="O85" s="149">
        <f t="shared" si="4"/>
        <v>26.273887653698534</v>
      </c>
      <c r="P85" s="149">
        <f t="shared" si="7"/>
        <v>1339.9682703386252</v>
      </c>
    </row>
    <row r="86" spans="2:16" ht="14.1" customHeight="1" x14ac:dyDescent="0.2">
      <c r="E86" s="16"/>
    </row>
    <row r="87" spans="2:16" ht="14.1" customHeight="1" x14ac:dyDescent="0.2">
      <c r="E87" s="16"/>
      <c r="F87" s="276"/>
    </row>
    <row r="88" spans="2:16" ht="14.1" customHeight="1" x14ac:dyDescent="0.2">
      <c r="E88" s="16"/>
    </row>
    <row r="89" spans="2:16" ht="14.1" customHeight="1" x14ac:dyDescent="0.2">
      <c r="E89" s="16"/>
    </row>
    <row r="90" spans="2:16" ht="14.1" customHeight="1" x14ac:dyDescent="0.2">
      <c r="C90" s="82" t="s">
        <v>197</v>
      </c>
      <c r="G90" s="82" t="s">
        <v>235</v>
      </c>
    </row>
    <row r="91" spans="2:16" ht="14.1" customHeight="1" x14ac:dyDescent="0.2">
      <c r="C91" s="82" t="s">
        <v>241</v>
      </c>
      <c r="G91" s="16" t="s">
        <v>236</v>
      </c>
    </row>
    <row r="92" spans="2:16" ht="14.1" customHeight="1" x14ac:dyDescent="0.2">
      <c r="B92" s="317">
        <v>0.70423064360734466</v>
      </c>
      <c r="C92" s="332" t="s">
        <v>242</v>
      </c>
      <c r="D92" s="318">
        <v>53</v>
      </c>
      <c r="F92" s="317">
        <v>0.92965349178165457</v>
      </c>
      <c r="G92" s="331" t="s">
        <v>240</v>
      </c>
      <c r="H92" s="318">
        <v>70</v>
      </c>
      <c r="J92" s="317"/>
      <c r="K92" s="11"/>
      <c r="L92" s="318"/>
      <c r="N92" s="317"/>
      <c r="O92" s="11"/>
      <c r="P92" s="318"/>
    </row>
    <row r="93" spans="2:16" ht="14.1" customHeight="1" x14ac:dyDescent="0.2">
      <c r="B93" s="319">
        <v>0.61704625261595658</v>
      </c>
      <c r="C93" s="9"/>
      <c r="D93" s="320">
        <v>1055</v>
      </c>
      <c r="F93" s="319">
        <v>0.64995283683760796</v>
      </c>
      <c r="G93" s="9"/>
      <c r="H93" s="320">
        <v>978</v>
      </c>
      <c r="J93" s="319"/>
      <c r="K93" s="9"/>
      <c r="L93" s="320"/>
      <c r="N93" s="319"/>
      <c r="O93" s="9"/>
      <c r="P93" s="320"/>
    </row>
    <row r="94" spans="2:16" ht="14.1" customHeight="1" x14ac:dyDescent="0.2">
      <c r="B94" s="319">
        <v>0.70039614492948443</v>
      </c>
      <c r="C94" s="9"/>
      <c r="D94" s="15"/>
      <c r="F94" s="319">
        <v>0.64925577596299844</v>
      </c>
      <c r="G94" s="9"/>
      <c r="H94" s="15"/>
      <c r="J94" s="319"/>
      <c r="K94" s="9"/>
      <c r="L94" s="15"/>
      <c r="N94" s="319"/>
      <c r="O94" s="9"/>
      <c r="P94" s="15"/>
    </row>
    <row r="95" spans="2:16" ht="14.1" customHeight="1" x14ac:dyDescent="0.2">
      <c r="B95" s="321"/>
      <c r="C95" s="322"/>
      <c r="D95" s="323" t="s">
        <v>15</v>
      </c>
      <c r="F95" s="321"/>
      <c r="G95" s="322"/>
      <c r="H95" s="323" t="s">
        <v>15</v>
      </c>
      <c r="J95" s="321"/>
      <c r="K95" s="322"/>
      <c r="L95" s="323"/>
      <c r="N95" s="321"/>
      <c r="O95" s="322"/>
      <c r="P95" s="323"/>
    </row>
    <row r="96" spans="2:16" ht="14.1" customHeight="1" x14ac:dyDescent="0.2">
      <c r="B96" s="321" t="s">
        <v>65</v>
      </c>
      <c r="C96" s="322" t="s">
        <v>12</v>
      </c>
      <c r="D96" s="323" t="s">
        <v>16</v>
      </c>
      <c r="F96" s="321" t="s">
        <v>65</v>
      </c>
      <c r="G96" s="322" t="s">
        <v>12</v>
      </c>
      <c r="H96" s="323" t="s">
        <v>16</v>
      </c>
      <c r="J96" s="321"/>
      <c r="K96" s="322"/>
      <c r="L96" s="323"/>
      <c r="N96" s="321"/>
      <c r="O96" s="322"/>
      <c r="P96" s="323"/>
    </row>
    <row r="97" spans="2:16" ht="14.1" customHeight="1" x14ac:dyDescent="0.2">
      <c r="B97" s="191" t="s">
        <v>221</v>
      </c>
      <c r="C97" s="163">
        <v>0.8028229337123729</v>
      </c>
      <c r="D97" s="324">
        <v>30.232084122010054</v>
      </c>
      <c r="F97" s="191" t="s">
        <v>221</v>
      </c>
      <c r="G97" s="163">
        <v>1.0598049806310861</v>
      </c>
      <c r="H97" s="324">
        <v>39.909314970869083</v>
      </c>
      <c r="J97" s="191"/>
      <c r="K97" s="163"/>
      <c r="L97" s="324"/>
      <c r="N97" s="191"/>
      <c r="O97" s="163"/>
      <c r="P97" s="324"/>
    </row>
    <row r="98" spans="2:16" ht="14.1" customHeight="1" x14ac:dyDescent="0.2">
      <c r="B98" s="325">
        <v>2</v>
      </c>
      <c r="C98" s="326">
        <v>0.70423064360734466</v>
      </c>
      <c r="D98" s="327">
        <v>53.038744073701857</v>
      </c>
      <c r="F98" s="325">
        <v>2</v>
      </c>
      <c r="G98" s="326">
        <v>0.92965349178165457</v>
      </c>
      <c r="H98" s="327">
        <v>70.016342054156283</v>
      </c>
      <c r="J98" s="325"/>
      <c r="K98" s="326"/>
      <c r="L98" s="327"/>
      <c r="N98" s="325"/>
      <c r="O98" s="326"/>
      <c r="P98" s="327"/>
    </row>
    <row r="99" spans="2:16" ht="14.1" customHeight="1" x14ac:dyDescent="0.2">
      <c r="B99" s="191">
        <v>3</v>
      </c>
      <c r="C99" s="163">
        <v>0.653103994569185</v>
      </c>
      <c r="D99" s="324">
        <v>73.782252879600705</v>
      </c>
      <c r="F99" s="191">
        <v>3</v>
      </c>
      <c r="G99" s="163">
        <v>0.77100686250344475</v>
      </c>
      <c r="H99" s="324">
        <v>87.101937477294882</v>
      </c>
      <c r="J99" s="191"/>
      <c r="K99" s="163"/>
      <c r="L99" s="324"/>
      <c r="N99" s="191"/>
      <c r="O99" s="163"/>
      <c r="P99" s="324"/>
    </row>
    <row r="100" spans="2:16" ht="14.1" customHeight="1" x14ac:dyDescent="0.2">
      <c r="B100" s="191">
        <v>4</v>
      </c>
      <c r="C100" s="163">
        <v>0.62955882724897982</v>
      </c>
      <c r="D100" s="324">
        <v>94.829754487128582</v>
      </c>
      <c r="F100" s="191">
        <v>4</v>
      </c>
      <c r="G100" s="163">
        <v>0.6941265802629778</v>
      </c>
      <c r="H100" s="324">
        <v>104.55552418661604</v>
      </c>
      <c r="J100" s="191"/>
      <c r="K100" s="163"/>
      <c r="L100" s="324"/>
      <c r="N100" s="191"/>
      <c r="O100" s="163"/>
      <c r="P100" s="324"/>
    </row>
    <row r="101" spans="2:16" ht="14.1" customHeight="1" x14ac:dyDescent="0.2">
      <c r="B101" s="325">
        <v>5</v>
      </c>
      <c r="C101" s="326">
        <v>0.61704625261595658</v>
      </c>
      <c r="D101" s="328">
        <v>116.18124889628555</v>
      </c>
      <c r="F101" s="325">
        <v>5</v>
      </c>
      <c r="G101" s="326">
        <v>0.64995283683760796</v>
      </c>
      <c r="H101" s="328">
        <v>122.37710218211974</v>
      </c>
      <c r="J101" s="325"/>
      <c r="K101" s="326"/>
      <c r="L101" s="328"/>
      <c r="N101" s="325"/>
      <c r="O101" s="326"/>
      <c r="P101" s="328"/>
    </row>
    <row r="102" spans="2:16" ht="14.1" customHeight="1" x14ac:dyDescent="0.2">
      <c r="B102" s="191">
        <v>10</v>
      </c>
      <c r="C102" s="163">
        <v>0.60413004654315849</v>
      </c>
      <c r="D102" s="324">
        <v>227.49861296650622</v>
      </c>
      <c r="F102" s="191">
        <v>10</v>
      </c>
      <c r="G102" s="163">
        <v>0.57626354437869531</v>
      </c>
      <c r="H102" s="324">
        <v>217.0048614523765</v>
      </c>
      <c r="J102" s="191"/>
      <c r="K102" s="163"/>
      <c r="L102" s="324"/>
      <c r="N102" s="191"/>
      <c r="O102" s="163"/>
      <c r="P102" s="324"/>
    </row>
    <row r="103" spans="2:16" ht="14.1" customHeight="1" x14ac:dyDescent="0.2">
      <c r="B103" s="191">
        <v>20</v>
      </c>
      <c r="C103" s="163">
        <v>0.62794430148988067</v>
      </c>
      <c r="D103" s="324">
        <v>472.93280122912711</v>
      </c>
      <c r="F103" s="191">
        <v>20</v>
      </c>
      <c r="G103" s="163">
        <v>0.57606438412880689</v>
      </c>
      <c r="H103" s="324">
        <v>433.85972645658114</v>
      </c>
      <c r="J103" s="191"/>
      <c r="K103" s="163"/>
      <c r="L103" s="324"/>
      <c r="N103" s="191"/>
      <c r="O103" s="163"/>
      <c r="P103" s="324"/>
    </row>
    <row r="104" spans="2:16" ht="14.1" customHeight="1" x14ac:dyDescent="0.2">
      <c r="B104" s="191">
        <v>30</v>
      </c>
      <c r="C104" s="163">
        <v>0.66279114912378501</v>
      </c>
      <c r="D104" s="324">
        <v>748.76626965465459</v>
      </c>
      <c r="F104" s="191">
        <v>30</v>
      </c>
      <c r="G104" s="163">
        <v>0.60857176269401547</v>
      </c>
      <c r="H104" s="324">
        <v>687.5137200790407</v>
      </c>
      <c r="J104" s="191"/>
      <c r="K104" s="163"/>
      <c r="L104" s="324"/>
      <c r="N104" s="191"/>
      <c r="O104" s="163"/>
      <c r="P104" s="324"/>
    </row>
    <row r="105" spans="2:16" ht="14.1" customHeight="1" x14ac:dyDescent="0.2">
      <c r="B105" s="325">
        <v>40</v>
      </c>
      <c r="C105" s="326">
        <v>0.70039614492948443</v>
      </c>
      <c r="D105" s="327">
        <v>1054.9990182430879</v>
      </c>
      <c r="F105" s="325">
        <v>40</v>
      </c>
      <c r="G105" s="326">
        <v>0.64925577596299844</v>
      </c>
      <c r="H105" s="327">
        <v>977.96684231975519</v>
      </c>
      <c r="J105" s="325"/>
      <c r="K105" s="326"/>
      <c r="L105" s="327"/>
      <c r="N105" s="325"/>
      <c r="O105" s="326"/>
      <c r="P105" s="327"/>
    </row>
    <row r="106" spans="2:16" ht="14.1" customHeight="1" x14ac:dyDescent="0.2">
      <c r="B106" s="194">
        <v>50</v>
      </c>
      <c r="C106" s="329">
        <v>0.7391044000039021</v>
      </c>
      <c r="D106" s="330">
        <v>1391.6310469944272</v>
      </c>
      <c r="F106" s="194">
        <v>50</v>
      </c>
      <c r="G106" s="329">
        <v>0.69321044311349089</v>
      </c>
      <c r="H106" s="330">
        <v>1305.2190931787243</v>
      </c>
      <c r="J106" s="194"/>
      <c r="K106" s="329"/>
      <c r="L106" s="330"/>
      <c r="N106" s="194"/>
      <c r="O106" s="329"/>
      <c r="P106" s="330"/>
    </row>
    <row r="107" spans="2:16" ht="14.1" customHeight="1" x14ac:dyDescent="0.2"/>
    <row r="108" spans="2:16" ht="14.1" customHeight="1" x14ac:dyDescent="0.2"/>
    <row r="109" spans="2:16" ht="14.1" customHeight="1" x14ac:dyDescent="0.2">
      <c r="B109" s="317"/>
      <c r="C109" s="331"/>
      <c r="D109" s="318"/>
      <c r="E109" s="16"/>
      <c r="F109" s="317"/>
      <c r="G109" s="332"/>
      <c r="H109" s="318"/>
      <c r="J109" s="317"/>
      <c r="K109" s="11"/>
      <c r="L109" s="318"/>
      <c r="N109" s="317"/>
      <c r="O109" s="11"/>
      <c r="P109" s="318"/>
    </row>
    <row r="110" spans="2:16" ht="14.1" customHeight="1" x14ac:dyDescent="0.2">
      <c r="B110" s="319"/>
      <c r="C110" s="9"/>
      <c r="D110" s="320"/>
      <c r="E110" s="16"/>
      <c r="F110" s="319"/>
      <c r="G110" s="9"/>
      <c r="H110" s="320"/>
      <c r="J110" s="319"/>
      <c r="K110" s="9"/>
      <c r="L110" s="320"/>
      <c r="N110" s="319"/>
      <c r="O110" s="9"/>
      <c r="P110" s="320"/>
    </row>
    <row r="111" spans="2:16" ht="14.1" customHeight="1" x14ac:dyDescent="0.2">
      <c r="B111" s="319"/>
      <c r="C111" s="9"/>
      <c r="D111" s="15"/>
      <c r="E111" s="16"/>
      <c r="F111" s="319"/>
      <c r="G111" s="9"/>
      <c r="H111" s="15"/>
      <c r="J111" s="319"/>
      <c r="K111" s="9"/>
      <c r="L111" s="15"/>
      <c r="N111" s="319"/>
      <c r="O111" s="9"/>
      <c r="P111" s="15"/>
    </row>
    <row r="112" spans="2:16" ht="14.1" customHeight="1" x14ac:dyDescent="0.2">
      <c r="B112" s="321"/>
      <c r="C112" s="322"/>
      <c r="D112" s="323"/>
      <c r="E112" s="16"/>
      <c r="F112" s="321"/>
      <c r="G112" s="322"/>
      <c r="H112" s="323"/>
      <c r="J112" s="321"/>
      <c r="K112" s="322"/>
      <c r="L112" s="323"/>
      <c r="N112" s="321"/>
      <c r="O112" s="322"/>
      <c r="P112" s="323"/>
    </row>
    <row r="113" spans="2:16" ht="14.1" customHeight="1" x14ac:dyDescent="0.2">
      <c r="B113" s="321"/>
      <c r="C113" s="322"/>
      <c r="D113" s="323"/>
      <c r="E113" s="16"/>
      <c r="F113" s="321"/>
      <c r="G113" s="322"/>
      <c r="H113" s="323"/>
      <c r="J113" s="321"/>
      <c r="K113" s="322"/>
      <c r="L113" s="323"/>
      <c r="N113" s="321"/>
      <c r="O113" s="322"/>
      <c r="P113" s="323"/>
    </row>
    <row r="114" spans="2:16" ht="14.1" customHeight="1" x14ac:dyDescent="0.2">
      <c r="B114" s="191"/>
      <c r="C114" s="163"/>
      <c r="D114" s="324"/>
      <c r="F114" s="191"/>
      <c r="G114" s="163"/>
      <c r="H114" s="324"/>
      <c r="J114" s="191"/>
      <c r="K114" s="163"/>
      <c r="L114" s="324"/>
      <c r="N114" s="191"/>
      <c r="O114" s="163"/>
      <c r="P114" s="324"/>
    </row>
    <row r="115" spans="2:16" ht="14.1" customHeight="1" x14ac:dyDescent="0.2">
      <c r="B115" s="325"/>
      <c r="C115" s="326"/>
      <c r="D115" s="327"/>
      <c r="F115" s="325"/>
      <c r="G115" s="326"/>
      <c r="H115" s="327"/>
      <c r="J115" s="325"/>
      <c r="K115" s="326"/>
      <c r="L115" s="327"/>
      <c r="N115" s="325"/>
      <c r="O115" s="326"/>
      <c r="P115" s="327"/>
    </row>
    <row r="116" spans="2:16" ht="14.1" customHeight="1" x14ac:dyDescent="0.2">
      <c r="B116" s="191"/>
      <c r="C116" s="163"/>
      <c r="D116" s="324"/>
      <c r="F116" s="191"/>
      <c r="G116" s="163"/>
      <c r="H116" s="324"/>
      <c r="J116" s="191"/>
      <c r="K116" s="163"/>
      <c r="L116" s="324"/>
      <c r="N116" s="191"/>
      <c r="O116" s="163"/>
      <c r="P116" s="324"/>
    </row>
    <row r="117" spans="2:16" ht="14.1" customHeight="1" x14ac:dyDescent="0.2">
      <c r="B117" s="191"/>
      <c r="C117" s="163"/>
      <c r="D117" s="324"/>
      <c r="F117" s="191"/>
      <c r="G117" s="163"/>
      <c r="H117" s="324"/>
      <c r="J117" s="191"/>
      <c r="K117" s="163"/>
      <c r="L117" s="324"/>
      <c r="N117" s="191"/>
      <c r="O117" s="163"/>
      <c r="P117" s="324"/>
    </row>
    <row r="118" spans="2:16" ht="14.1" customHeight="1" x14ac:dyDescent="0.2">
      <c r="B118" s="325"/>
      <c r="C118" s="326"/>
      <c r="D118" s="328"/>
      <c r="F118" s="325"/>
      <c r="G118" s="326"/>
      <c r="H118" s="328"/>
      <c r="J118" s="325"/>
      <c r="K118" s="326"/>
      <c r="L118" s="328"/>
      <c r="N118" s="325"/>
      <c r="O118" s="326"/>
      <c r="P118" s="328"/>
    </row>
    <row r="119" spans="2:16" ht="14.1" customHeight="1" x14ac:dyDescent="0.2">
      <c r="B119" s="191"/>
      <c r="C119" s="163"/>
      <c r="D119" s="324"/>
      <c r="F119" s="191"/>
      <c r="G119" s="163"/>
      <c r="H119" s="324"/>
      <c r="J119" s="191"/>
      <c r="K119" s="163"/>
      <c r="L119" s="324"/>
      <c r="N119" s="191"/>
      <c r="O119" s="163"/>
      <c r="P119" s="324"/>
    </row>
    <row r="120" spans="2:16" ht="14.1" customHeight="1" x14ac:dyDescent="0.2">
      <c r="B120" s="191"/>
      <c r="C120" s="163"/>
      <c r="D120" s="324"/>
      <c r="F120" s="191"/>
      <c r="G120" s="163"/>
      <c r="H120" s="324"/>
      <c r="J120" s="191"/>
      <c r="K120" s="163"/>
      <c r="L120" s="324"/>
      <c r="N120" s="191"/>
      <c r="O120" s="163"/>
      <c r="P120" s="324"/>
    </row>
    <row r="121" spans="2:16" ht="14.1" customHeight="1" x14ac:dyDescent="0.2">
      <c r="B121" s="191"/>
      <c r="C121" s="163"/>
      <c r="D121" s="324"/>
      <c r="F121" s="191"/>
      <c r="G121" s="163"/>
      <c r="H121" s="324"/>
      <c r="J121" s="191"/>
      <c r="K121" s="163"/>
      <c r="L121" s="324"/>
      <c r="N121" s="191"/>
      <c r="O121" s="163"/>
      <c r="P121" s="324"/>
    </row>
    <row r="122" spans="2:16" ht="14.1" customHeight="1" x14ac:dyDescent="0.2">
      <c r="B122" s="325"/>
      <c r="C122" s="326"/>
      <c r="D122" s="327"/>
      <c r="F122" s="325"/>
      <c r="G122" s="326"/>
      <c r="H122" s="327"/>
      <c r="J122" s="325"/>
      <c r="K122" s="326"/>
      <c r="L122" s="327"/>
      <c r="N122" s="325"/>
      <c r="O122" s="326"/>
      <c r="P122" s="327"/>
    </row>
    <row r="123" spans="2:16" ht="14.1" customHeight="1" x14ac:dyDescent="0.2">
      <c r="B123" s="194"/>
      <c r="C123" s="329"/>
      <c r="D123" s="330"/>
      <c r="F123" s="194"/>
      <c r="G123" s="329"/>
      <c r="H123" s="330"/>
      <c r="J123" s="194"/>
      <c r="K123" s="329"/>
      <c r="L123" s="330"/>
      <c r="N123" s="194"/>
      <c r="O123" s="329"/>
      <c r="P123" s="330"/>
    </row>
    <row r="124" spans="2:16" ht="14.1" customHeight="1" x14ac:dyDescent="0.2"/>
    <row r="125" spans="2:16" ht="14.1" customHeight="1" x14ac:dyDescent="0.2"/>
    <row r="126" spans="2:16" ht="14.1" customHeight="1" x14ac:dyDescent="0.2">
      <c r="B126" s="317"/>
      <c r="C126" s="331"/>
      <c r="D126" s="318"/>
      <c r="E126" s="16"/>
      <c r="F126" s="317"/>
      <c r="G126" s="332"/>
      <c r="H126" s="318"/>
      <c r="J126" s="317"/>
      <c r="K126" s="11"/>
      <c r="L126" s="318"/>
      <c r="N126" s="317"/>
      <c r="O126" s="11"/>
      <c r="P126" s="318"/>
    </row>
    <row r="127" spans="2:16" ht="14.1" customHeight="1" x14ac:dyDescent="0.2">
      <c r="B127" s="319"/>
      <c r="C127" s="9"/>
      <c r="D127" s="320"/>
      <c r="E127" s="16"/>
      <c r="F127" s="319"/>
      <c r="G127" s="9"/>
      <c r="H127" s="320"/>
      <c r="J127" s="319"/>
      <c r="K127" s="9"/>
      <c r="L127" s="320"/>
      <c r="N127" s="319"/>
      <c r="O127" s="9"/>
      <c r="P127" s="320"/>
    </row>
    <row r="128" spans="2:16" ht="14.1" customHeight="1" x14ac:dyDescent="0.2">
      <c r="B128" s="319"/>
      <c r="C128" s="9"/>
      <c r="D128" s="15"/>
      <c r="E128" s="16"/>
      <c r="F128" s="319"/>
      <c r="G128" s="9"/>
      <c r="H128" s="15"/>
      <c r="J128" s="319"/>
      <c r="K128" s="9"/>
      <c r="L128" s="15"/>
      <c r="N128" s="319"/>
      <c r="O128" s="9"/>
      <c r="P128" s="15"/>
    </row>
    <row r="129" spans="2:16" ht="14.1" customHeight="1" x14ac:dyDescent="0.2">
      <c r="B129" s="321"/>
      <c r="C129" s="322"/>
      <c r="D129" s="323"/>
      <c r="E129" s="16"/>
      <c r="F129" s="321"/>
      <c r="G129" s="322"/>
      <c r="H129" s="323"/>
      <c r="J129" s="321"/>
      <c r="K129" s="322"/>
      <c r="L129" s="323"/>
      <c r="N129" s="321"/>
      <c r="O129" s="322"/>
      <c r="P129" s="323"/>
    </row>
    <row r="130" spans="2:16" ht="14.1" customHeight="1" x14ac:dyDescent="0.2">
      <c r="B130" s="321"/>
      <c r="C130" s="322"/>
      <c r="D130" s="323"/>
      <c r="E130" s="16"/>
      <c r="F130" s="321"/>
      <c r="G130" s="322"/>
      <c r="H130" s="323"/>
      <c r="J130" s="321"/>
      <c r="K130" s="322"/>
      <c r="L130" s="323"/>
      <c r="N130" s="321"/>
      <c r="O130" s="322"/>
      <c r="P130" s="323"/>
    </row>
    <row r="131" spans="2:16" ht="14.1" customHeight="1" x14ac:dyDescent="0.2">
      <c r="B131" s="191"/>
      <c r="C131" s="163"/>
      <c r="D131" s="324"/>
      <c r="F131" s="191"/>
      <c r="G131" s="163"/>
      <c r="H131" s="324"/>
      <c r="J131" s="191"/>
      <c r="K131" s="163"/>
      <c r="L131" s="324"/>
      <c r="N131" s="191"/>
      <c r="O131" s="163"/>
      <c r="P131" s="324"/>
    </row>
    <row r="132" spans="2:16" ht="14.1" customHeight="1" x14ac:dyDescent="0.2">
      <c r="B132" s="325"/>
      <c r="C132" s="326"/>
      <c r="D132" s="327"/>
      <c r="F132" s="325"/>
      <c r="G132" s="326"/>
      <c r="H132" s="327"/>
      <c r="J132" s="325"/>
      <c r="K132" s="326"/>
      <c r="L132" s="327"/>
      <c r="N132" s="325"/>
      <c r="O132" s="326"/>
      <c r="P132" s="327"/>
    </row>
    <row r="133" spans="2:16" ht="14.1" customHeight="1" x14ac:dyDescent="0.2">
      <c r="B133" s="191"/>
      <c r="C133" s="163"/>
      <c r="D133" s="324"/>
      <c r="F133" s="191"/>
      <c r="G133" s="163"/>
      <c r="H133" s="324"/>
      <c r="J133" s="191"/>
      <c r="K133" s="163"/>
      <c r="L133" s="324"/>
      <c r="N133" s="191"/>
      <c r="O133" s="163"/>
      <c r="P133" s="324"/>
    </row>
    <row r="134" spans="2:16" ht="14.1" customHeight="1" x14ac:dyDescent="0.2">
      <c r="B134" s="191"/>
      <c r="C134" s="163"/>
      <c r="D134" s="324"/>
      <c r="F134" s="191"/>
      <c r="G134" s="163"/>
      <c r="H134" s="324"/>
      <c r="J134" s="191"/>
      <c r="K134" s="163"/>
      <c r="L134" s="324"/>
      <c r="N134" s="191"/>
      <c r="O134" s="163"/>
      <c r="P134" s="324"/>
    </row>
    <row r="135" spans="2:16" ht="14.1" customHeight="1" x14ac:dyDescent="0.2">
      <c r="B135" s="325"/>
      <c r="C135" s="326"/>
      <c r="D135" s="328"/>
      <c r="F135" s="325"/>
      <c r="G135" s="326"/>
      <c r="H135" s="328"/>
      <c r="J135" s="325"/>
      <c r="K135" s="326"/>
      <c r="L135" s="328"/>
      <c r="N135" s="325"/>
      <c r="O135" s="326"/>
      <c r="P135" s="328"/>
    </row>
    <row r="136" spans="2:16" ht="14.1" customHeight="1" x14ac:dyDescent="0.2">
      <c r="B136" s="191"/>
      <c r="C136" s="163"/>
      <c r="D136" s="324"/>
      <c r="F136" s="191"/>
      <c r="G136" s="163"/>
      <c r="H136" s="324"/>
      <c r="J136" s="191"/>
      <c r="K136" s="163"/>
      <c r="L136" s="324"/>
      <c r="N136" s="191"/>
      <c r="O136" s="163"/>
      <c r="P136" s="324"/>
    </row>
    <row r="137" spans="2:16" ht="14.1" customHeight="1" x14ac:dyDescent="0.2">
      <c r="B137" s="191"/>
      <c r="C137" s="163"/>
      <c r="D137" s="324"/>
      <c r="F137" s="191"/>
      <c r="G137" s="163"/>
      <c r="H137" s="324"/>
      <c r="J137" s="191"/>
      <c r="K137" s="163"/>
      <c r="L137" s="324"/>
      <c r="N137" s="191"/>
      <c r="O137" s="163"/>
      <c r="P137" s="324"/>
    </row>
    <row r="138" spans="2:16" ht="14.1" customHeight="1" x14ac:dyDescent="0.2">
      <c r="B138" s="191"/>
      <c r="C138" s="163"/>
      <c r="D138" s="324"/>
      <c r="F138" s="191"/>
      <c r="G138" s="163"/>
      <c r="H138" s="324"/>
      <c r="J138" s="191"/>
      <c r="K138" s="163"/>
      <c r="L138" s="324"/>
      <c r="N138" s="191"/>
      <c r="O138" s="163"/>
      <c r="P138" s="324"/>
    </row>
    <row r="139" spans="2:16" ht="14.1" customHeight="1" x14ac:dyDescent="0.2">
      <c r="B139" s="325"/>
      <c r="C139" s="326"/>
      <c r="D139" s="327"/>
      <c r="F139" s="325"/>
      <c r="G139" s="326"/>
      <c r="H139" s="327"/>
      <c r="J139" s="325"/>
      <c r="K139" s="326"/>
      <c r="L139" s="327"/>
      <c r="N139" s="325"/>
      <c r="O139" s="326"/>
      <c r="P139" s="327"/>
    </row>
    <row r="140" spans="2:16" ht="14.1" customHeight="1" x14ac:dyDescent="0.2">
      <c r="B140" s="194"/>
      <c r="C140" s="329"/>
      <c r="D140" s="330"/>
      <c r="F140" s="194"/>
      <c r="G140" s="329"/>
      <c r="H140" s="330"/>
      <c r="J140" s="194"/>
      <c r="K140" s="329"/>
      <c r="L140" s="330"/>
      <c r="N140" s="194"/>
      <c r="O140" s="329"/>
      <c r="P140" s="330"/>
    </row>
    <row r="141" spans="2:16" ht="14.1" customHeight="1" x14ac:dyDescent="0.2"/>
    <row r="142" spans="2:16" ht="14.1" customHeight="1" x14ac:dyDescent="0.2"/>
    <row r="143" spans="2:16" ht="14.1" customHeight="1" x14ac:dyDescent="0.2"/>
    <row r="144" spans="2:16" ht="14.1" customHeight="1" x14ac:dyDescent="0.2"/>
    <row r="145" spans="27:27" ht="14.1" customHeight="1" x14ac:dyDescent="0.2"/>
    <row r="146" spans="27:27" ht="14.1" customHeight="1" x14ac:dyDescent="0.2"/>
    <row r="147" spans="27:27" ht="14.1" customHeight="1" x14ac:dyDescent="0.2"/>
    <row r="148" spans="27:27" ht="14.1" customHeight="1" x14ac:dyDescent="0.2"/>
    <row r="149" spans="27:27" ht="14.1" customHeight="1" x14ac:dyDescent="0.2"/>
    <row r="150" spans="27:27" ht="14.1" customHeight="1" x14ac:dyDescent="0.2"/>
    <row r="151" spans="27:27" ht="14.1" customHeight="1" x14ac:dyDescent="0.2"/>
    <row r="152" spans="27:27" ht="14.1" customHeight="1" x14ac:dyDescent="0.2"/>
    <row r="153" spans="27:27" ht="14.1" customHeight="1" x14ac:dyDescent="0.2"/>
    <row r="154" spans="27:27" ht="14.1" customHeight="1" x14ac:dyDescent="0.2"/>
    <row r="160" spans="27:27" x14ac:dyDescent="0.2">
      <c r="AA160" s="16"/>
    </row>
  </sheetData>
  <pageMargins left="0.7" right="0.7" top="0.25" bottom="0.2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DD84-8D05-4D34-8EC5-ABF1D5956426}">
  <sheetPr transitionEvaluation="1" transitionEntry="1">
    <pageSetUpPr fitToPage="1"/>
  </sheetPr>
  <dimension ref="A1:AU160"/>
  <sheetViews>
    <sheetView showGridLines="0" tabSelected="1" topLeftCell="A76" zoomScale="90" zoomScaleNormal="90" zoomScaleSheetLayoutView="80" workbookViewId="0">
      <selection activeCell="M98" sqref="M98"/>
    </sheetView>
  </sheetViews>
  <sheetFormatPr defaultRowHeight="12.75" x14ac:dyDescent="0.2"/>
  <cols>
    <col min="1" max="33" width="9.42578125" customWidth="1"/>
    <col min="34" max="38" width="10.7109375" customWidth="1"/>
    <col min="39" max="44" width="9.7109375" customWidth="1"/>
    <col min="45" max="48" width="10.7109375" customWidth="1"/>
    <col min="49" max="49" width="13" customWidth="1"/>
    <col min="50" max="50" width="13.5703125" customWidth="1"/>
    <col min="51" max="51" width="12.5703125" customWidth="1"/>
    <col min="52" max="52" width="10.7109375" customWidth="1"/>
    <col min="53" max="54" width="12.140625" customWidth="1"/>
    <col min="55" max="55" width="14.140625" customWidth="1"/>
    <col min="56" max="59" width="10.7109375" customWidth="1"/>
    <col min="60" max="63" width="12.7109375" customWidth="1"/>
    <col min="64" max="73" width="10.7109375" customWidth="1"/>
  </cols>
  <sheetData>
    <row r="1" spans="1:47" x14ac:dyDescent="0.2">
      <c r="Q1" s="312" t="s">
        <v>27</v>
      </c>
      <c r="R1" s="313"/>
      <c r="S1" s="313"/>
      <c r="T1" s="314" t="s">
        <v>195</v>
      </c>
      <c r="U1" s="313"/>
      <c r="V1" s="313"/>
      <c r="W1" s="313"/>
      <c r="X1" s="313"/>
      <c r="Y1" s="315"/>
      <c r="AU1" t="s">
        <v>7</v>
      </c>
    </row>
    <row r="2" spans="1:47" ht="14.1" customHeight="1" x14ac:dyDescent="0.2">
      <c r="A2" t="s">
        <v>198</v>
      </c>
    </row>
    <row r="3" spans="1:47" ht="14.1" customHeight="1" x14ac:dyDescent="0.2"/>
    <row r="4" spans="1:47" ht="14.1" customHeight="1" x14ac:dyDescent="0.2">
      <c r="Q4" s="284">
        <v>2.5150000000000001</v>
      </c>
      <c r="R4" s="285" t="s">
        <v>10</v>
      </c>
      <c r="S4" s="286"/>
      <c r="T4" s="286"/>
      <c r="U4" s="287"/>
      <c r="V4" s="208" t="s">
        <v>186</v>
      </c>
    </row>
    <row r="5" spans="1:47" ht="14.1" customHeight="1" x14ac:dyDescent="0.2">
      <c r="Q5" s="288">
        <v>4.55</v>
      </c>
      <c r="R5" s="157" t="s">
        <v>0</v>
      </c>
      <c r="S5" s="9"/>
      <c r="T5" s="9"/>
      <c r="U5" s="289"/>
      <c r="V5" t="s">
        <v>177</v>
      </c>
    </row>
    <row r="6" spans="1:47" ht="14.1" customHeight="1" x14ac:dyDescent="0.2">
      <c r="Q6" s="288">
        <v>85</v>
      </c>
      <c r="R6" s="156" t="s">
        <v>1</v>
      </c>
      <c r="S6" s="9"/>
      <c r="T6" s="9"/>
      <c r="U6" s="289"/>
      <c r="V6" s="271" t="s">
        <v>178</v>
      </c>
    </row>
    <row r="7" spans="1:47" ht="14.1" customHeight="1" x14ac:dyDescent="0.25">
      <c r="Q7" s="290">
        <f>(Q5*2.20462*25.4*12)</f>
        <v>3057.4552007999996</v>
      </c>
      <c r="R7" s="58" t="s">
        <v>14</v>
      </c>
      <c r="S7" s="9"/>
      <c r="T7" s="9"/>
      <c r="U7" s="289"/>
      <c r="V7" s="88" t="s">
        <v>179</v>
      </c>
      <c r="W7" s="88"/>
    </row>
    <row r="8" spans="1:47" ht="14.1" customHeight="1" x14ac:dyDescent="0.2">
      <c r="Q8" s="291"/>
      <c r="R8" s="9"/>
      <c r="S8" s="9"/>
      <c r="T8" s="9"/>
      <c r="U8" s="289"/>
    </row>
    <row r="9" spans="1:47" ht="14.1" customHeight="1" x14ac:dyDescent="0.2">
      <c r="Q9" s="292" t="s">
        <v>3</v>
      </c>
      <c r="R9" s="18" t="s">
        <v>2</v>
      </c>
      <c r="S9" s="18" t="s">
        <v>3</v>
      </c>
      <c r="T9" s="21" t="s">
        <v>5</v>
      </c>
      <c r="U9" s="293" t="s">
        <v>4</v>
      </c>
      <c r="V9" s="88" t="s">
        <v>171</v>
      </c>
      <c r="W9" s="88"/>
    </row>
    <row r="10" spans="1:47" ht="14.1" customHeight="1" x14ac:dyDescent="0.2">
      <c r="Q10" s="294"/>
      <c r="R10" s="16">
        <v>1</v>
      </c>
      <c r="S10" s="140">
        <v>33.561842105263182</v>
      </c>
      <c r="T10" s="27">
        <f>S10/R10</f>
        <v>33.561842105263182</v>
      </c>
      <c r="U10" s="295">
        <f t="shared" ref="U10:U19" si="0">SQRT(12*32.2*T10^2/(4*$Q$6*($Q$5*56)*$Q$4^2))</f>
        <v>0.89122464805571744</v>
      </c>
      <c r="V10" s="271" t="s">
        <v>172</v>
      </c>
      <c r="W10" s="88"/>
    </row>
    <row r="11" spans="1:47" ht="14.1" customHeight="1" x14ac:dyDescent="0.2">
      <c r="Q11" s="296"/>
      <c r="R11" s="26">
        <v>2</v>
      </c>
      <c r="S11" s="141">
        <v>55.500000000000021</v>
      </c>
      <c r="T11" s="28">
        <f t="shared" ref="T11:T19" si="1">S11/R11</f>
        <v>27.750000000000011</v>
      </c>
      <c r="U11" s="302">
        <f t="shared" si="0"/>
        <v>0.73689292458913536</v>
      </c>
      <c r="V11" s="88"/>
      <c r="W11" s="271" t="s">
        <v>176</v>
      </c>
    </row>
    <row r="12" spans="1:47" ht="14.1" customHeight="1" x14ac:dyDescent="0.2">
      <c r="A12" t="s">
        <v>198</v>
      </c>
      <c r="Q12" s="294"/>
      <c r="R12" s="16">
        <v>3</v>
      </c>
      <c r="S12" s="140">
        <v>77.438157894736861</v>
      </c>
      <c r="T12" s="27">
        <f t="shared" si="1"/>
        <v>25.812719298245622</v>
      </c>
      <c r="U12" s="295">
        <f t="shared" si="0"/>
        <v>0.68544901676694137</v>
      </c>
      <c r="V12" s="88"/>
      <c r="W12" s="271" t="s">
        <v>175</v>
      </c>
    </row>
    <row r="13" spans="1:47" ht="14.1" customHeight="1" x14ac:dyDescent="0.2">
      <c r="B13" s="1" t="s">
        <v>230</v>
      </c>
      <c r="K13" s="347" t="s">
        <v>225</v>
      </c>
      <c r="L13" s="348"/>
      <c r="M13" s="349"/>
      <c r="Q13" s="294"/>
      <c r="R13" s="16">
        <v>4</v>
      </c>
      <c r="S13" s="140">
        <v>99.376315789473708</v>
      </c>
      <c r="T13" s="27">
        <f t="shared" si="1"/>
        <v>24.844078947368427</v>
      </c>
      <c r="U13" s="295">
        <f t="shared" si="0"/>
        <v>0.65972706285584437</v>
      </c>
      <c r="V13" s="88"/>
      <c r="W13" s="88" t="s">
        <v>173</v>
      </c>
    </row>
    <row r="14" spans="1:47" ht="14.1" customHeight="1" x14ac:dyDescent="0.2">
      <c r="B14" s="339" t="s">
        <v>231</v>
      </c>
      <c r="K14" s="356" t="s">
        <v>229</v>
      </c>
      <c r="L14" s="6">
        <v>0.56999999999999995</v>
      </c>
      <c r="M14" s="355" t="s">
        <v>228</v>
      </c>
      <c r="Q14" s="296"/>
      <c r="R14" s="26">
        <v>5</v>
      </c>
      <c r="S14" s="141">
        <v>121.31447368421055</v>
      </c>
      <c r="T14" s="28">
        <f t="shared" si="1"/>
        <v>24.26289473684211</v>
      </c>
      <c r="U14" s="302">
        <f t="shared" si="0"/>
        <v>0.64429389050918606</v>
      </c>
      <c r="V14" s="88"/>
      <c r="W14" s="88" t="s">
        <v>174</v>
      </c>
    </row>
    <row r="15" spans="1:47" ht="14.1" customHeight="1" x14ac:dyDescent="0.2">
      <c r="B15" s="339" t="s">
        <v>224</v>
      </c>
      <c r="K15" s="350">
        <v>47</v>
      </c>
      <c r="L15" s="346">
        <f>K15*L$14</f>
        <v>26.79</v>
      </c>
      <c r="M15" s="351">
        <v>27</v>
      </c>
      <c r="Q15" s="294"/>
      <c r="R15" s="16">
        <v>10</v>
      </c>
      <c r="S15" s="140">
        <v>231.00526315789477</v>
      </c>
      <c r="T15" s="27">
        <f t="shared" si="1"/>
        <v>23.100526315789477</v>
      </c>
      <c r="U15" s="295">
        <f t="shared" si="0"/>
        <v>0.61342754581586967</v>
      </c>
    </row>
    <row r="16" spans="1:47" ht="14.1" customHeight="1" x14ac:dyDescent="0.2">
      <c r="B16" s="339" t="s">
        <v>227</v>
      </c>
      <c r="K16" s="350">
        <v>51</v>
      </c>
      <c r="L16" s="346">
        <f>K16*L$14</f>
        <v>29.069999999999997</v>
      </c>
      <c r="M16" s="351">
        <v>29</v>
      </c>
      <c r="Q16" s="294"/>
      <c r="R16" s="16">
        <v>20</v>
      </c>
      <c r="S16" s="140">
        <v>450.38684210526321</v>
      </c>
      <c r="T16" s="27">
        <f t="shared" si="1"/>
        <v>22.51934210526316</v>
      </c>
      <c r="U16" s="295">
        <f t="shared" si="0"/>
        <v>0.59799437346921147</v>
      </c>
      <c r="V16" s="1" t="s">
        <v>169</v>
      </c>
      <c r="W16" s="1"/>
    </row>
    <row r="17" spans="1:45" ht="14.1" customHeight="1" x14ac:dyDescent="0.2">
      <c r="B17" s="339" t="s">
        <v>226</v>
      </c>
      <c r="K17" s="350">
        <v>55</v>
      </c>
      <c r="L17" s="346">
        <f>K17*L$14</f>
        <v>31.349999999999998</v>
      </c>
      <c r="M17" s="351">
        <v>31</v>
      </c>
      <c r="Q17" s="294"/>
      <c r="R17" s="16">
        <v>30</v>
      </c>
      <c r="S17" s="140">
        <v>669.76842105263165</v>
      </c>
      <c r="T17" s="27">
        <f t="shared" si="1"/>
        <v>22.325614035087721</v>
      </c>
      <c r="U17" s="295">
        <f t="shared" si="0"/>
        <v>0.59284998268699207</v>
      </c>
      <c r="V17" s="1" t="s">
        <v>165</v>
      </c>
    </row>
    <row r="18" spans="1:45" ht="14.1" customHeight="1" x14ac:dyDescent="0.2">
      <c r="B18" s="1"/>
      <c r="K18" s="350">
        <v>59</v>
      </c>
      <c r="L18" s="346">
        <f>K18*L$14</f>
        <v>33.629999999999995</v>
      </c>
      <c r="M18" s="351">
        <v>33</v>
      </c>
      <c r="Q18" s="296"/>
      <c r="R18" s="26">
        <v>40</v>
      </c>
      <c r="S18" s="141">
        <v>889.15000000000009</v>
      </c>
      <c r="T18" s="28">
        <f t="shared" si="1"/>
        <v>22.228750000000002</v>
      </c>
      <c r="U18" s="302">
        <f t="shared" si="0"/>
        <v>0.59027778729588243</v>
      </c>
      <c r="V18" s="1" t="s">
        <v>166</v>
      </c>
    </row>
    <row r="19" spans="1:45" ht="14.1" customHeight="1" x14ac:dyDescent="0.2">
      <c r="K19" s="352">
        <v>63</v>
      </c>
      <c r="L19" s="353">
        <f>K19*L$14</f>
        <v>35.909999999999997</v>
      </c>
      <c r="M19" s="354">
        <v>35</v>
      </c>
      <c r="Q19" s="297"/>
      <c r="R19" s="298">
        <v>50</v>
      </c>
      <c r="S19" s="299">
        <v>1108.5315789473684</v>
      </c>
      <c r="T19" s="300">
        <f t="shared" si="1"/>
        <v>22.170631578947368</v>
      </c>
      <c r="U19" s="301">
        <f t="shared" si="0"/>
        <v>0.58873447006121649</v>
      </c>
      <c r="V19" s="1" t="s">
        <v>167</v>
      </c>
    </row>
    <row r="20" spans="1:45" ht="14.1" customHeight="1" x14ac:dyDescent="0.2">
      <c r="L20" s="42"/>
      <c r="M20" s="16"/>
      <c r="N20" s="140"/>
      <c r="O20" s="27"/>
      <c r="P20" s="44"/>
      <c r="Q20" s="46"/>
      <c r="R20" s="163"/>
      <c r="V20" s="270" t="s">
        <v>168</v>
      </c>
    </row>
    <row r="21" spans="1:45" ht="14.1" customHeight="1" x14ac:dyDescent="0.2">
      <c r="N21" s="140"/>
      <c r="O21" s="27"/>
      <c r="P21" s="44"/>
      <c r="Q21" t="s">
        <v>187</v>
      </c>
      <c r="V21" s="1" t="s">
        <v>170</v>
      </c>
    </row>
    <row r="22" spans="1:45" ht="14.1" customHeight="1" x14ac:dyDescent="0.2">
      <c r="N22" s="140"/>
      <c r="O22" s="27"/>
      <c r="P22" s="44"/>
      <c r="Q22" s="1" t="s">
        <v>219</v>
      </c>
      <c r="T22" s="139" t="s">
        <v>217</v>
      </c>
    </row>
    <row r="23" spans="1:45" ht="14.1" customHeight="1" x14ac:dyDescent="0.2">
      <c r="A23" s="1" t="s">
        <v>190</v>
      </c>
      <c r="F23" t="s">
        <v>232</v>
      </c>
      <c r="K23" t="s">
        <v>255</v>
      </c>
      <c r="N23" s="140"/>
      <c r="O23" s="27"/>
      <c r="P23" s="44"/>
      <c r="Q23" s="1" t="s">
        <v>218</v>
      </c>
      <c r="T23" s="139" t="s">
        <v>215</v>
      </c>
    </row>
    <row r="24" spans="1:45" ht="14.1" customHeight="1" x14ac:dyDescent="0.2">
      <c r="A24" s="1" t="s">
        <v>192</v>
      </c>
      <c r="F24" s="242"/>
      <c r="K24" s="1" t="s">
        <v>256</v>
      </c>
      <c r="M24" s="16"/>
      <c r="N24" s="140"/>
      <c r="O24" s="27"/>
      <c r="P24" s="44"/>
      <c r="Q24" s="1" t="s">
        <v>216</v>
      </c>
      <c r="T24" s="340" t="s">
        <v>214</v>
      </c>
    </row>
    <row r="25" spans="1:45" ht="14.1" customHeight="1" x14ac:dyDescent="0.2">
      <c r="A25" s="1" t="s">
        <v>191</v>
      </c>
      <c r="E25" s="252"/>
      <c r="F25" s="252" t="s">
        <v>146</v>
      </c>
    </row>
    <row r="26" spans="1:45" ht="14.1" customHeight="1" x14ac:dyDescent="0.25">
      <c r="B26" s="146" t="s">
        <v>65</v>
      </c>
      <c r="C26" s="146" t="s">
        <v>66</v>
      </c>
      <c r="E26" s="23" t="s">
        <v>65</v>
      </c>
      <c r="F26" s="23" t="s">
        <v>145</v>
      </c>
      <c r="G26" s="234" t="s">
        <v>126</v>
      </c>
      <c r="H26" s="244"/>
      <c r="I26" s="243"/>
      <c r="J26" s="243"/>
      <c r="K26" s="333" t="s">
        <v>199</v>
      </c>
      <c r="L26" s="334" t="s">
        <v>202</v>
      </c>
      <c r="M26" s="334" t="s">
        <v>203</v>
      </c>
      <c r="N26" s="335" t="s">
        <v>204</v>
      </c>
      <c r="O26" s="333" t="s">
        <v>205</v>
      </c>
      <c r="P26" s="334" t="s">
        <v>206</v>
      </c>
      <c r="Q26" s="334" t="s">
        <v>207</v>
      </c>
      <c r="R26" s="335" t="s">
        <v>208</v>
      </c>
      <c r="S26" s="333" t="s">
        <v>209</v>
      </c>
      <c r="T26" s="334" t="s">
        <v>210</v>
      </c>
      <c r="U26" s="334" t="s">
        <v>211</v>
      </c>
      <c r="V26" s="335" t="s">
        <v>212</v>
      </c>
      <c r="X26" s="146" t="s">
        <v>65</v>
      </c>
      <c r="Y26" s="146" t="s">
        <v>66</v>
      </c>
    </row>
    <row r="27" spans="1:45" ht="14.1" customHeight="1" x14ac:dyDescent="0.2">
      <c r="B27" s="147">
        <v>1</v>
      </c>
      <c r="C27" s="6">
        <v>37.799999999999997</v>
      </c>
      <c r="E27" s="24">
        <v>1</v>
      </c>
      <c r="F27" s="149">
        <f>C27</f>
        <v>37.799999999999997</v>
      </c>
      <c r="G27" s="196" cm="1">
        <f t="array" ref="G27">_xlfn.SINGLE(INDEX(LINEST(F$27:F$29,(E$27:E$29)^{1,2}),1))</f>
        <v>0.12799999999999975</v>
      </c>
      <c r="H27" s="274">
        <f>C60</f>
        <v>724.4</v>
      </c>
      <c r="I27" s="253" t="s">
        <v>148</v>
      </c>
      <c r="J27" s="243"/>
      <c r="K27" s="338">
        <v>34</v>
      </c>
      <c r="L27" s="6">
        <v>32.6</v>
      </c>
      <c r="M27" s="6">
        <v>31.1</v>
      </c>
      <c r="N27" s="345">
        <v>29.6</v>
      </c>
      <c r="O27" s="338">
        <v>38.1</v>
      </c>
      <c r="P27" s="6">
        <v>36.700000000000003</v>
      </c>
      <c r="Q27" s="6">
        <v>35.200000000000003</v>
      </c>
      <c r="R27" s="345">
        <v>33.700000000000003</v>
      </c>
      <c r="S27" s="338">
        <v>42.2</v>
      </c>
      <c r="T27" s="6">
        <v>40.799999999999997</v>
      </c>
      <c r="U27" s="6">
        <v>39.299999999999997</v>
      </c>
      <c r="V27" s="345">
        <v>37.799999999999997</v>
      </c>
      <c r="X27" s="147">
        <v>2</v>
      </c>
      <c r="Y27" s="388">
        <f>U37</f>
        <v>58.990603137175931</v>
      </c>
    </row>
    <row r="28" spans="1:45" ht="14.1" customHeight="1" x14ac:dyDescent="0.2">
      <c r="B28" s="147">
        <v>51</v>
      </c>
      <c r="C28" s="6">
        <v>1411</v>
      </c>
      <c r="D28" s="155"/>
      <c r="E28" s="24">
        <v>26</v>
      </c>
      <c r="F28" s="303">
        <f>H29</f>
        <v>644.4</v>
      </c>
      <c r="G28" s="196" cm="1">
        <f t="array" ref="G28">_xlfn.SINGLE(INDEX(LINEST(F$27:F$29,(E$27:E$29)^{1,2}),2))</f>
        <v>20.808000000000018</v>
      </c>
      <c r="H28" s="304">
        <v>-80</v>
      </c>
      <c r="I28" s="253" t="s">
        <v>149</v>
      </c>
      <c r="J28" s="243"/>
      <c r="K28" s="338">
        <v>1198</v>
      </c>
      <c r="L28" s="6">
        <v>1266.4000000000001</v>
      </c>
      <c r="M28" s="6">
        <v>1339.9</v>
      </c>
      <c r="N28" s="345">
        <v>1413.4</v>
      </c>
      <c r="O28" s="338">
        <v>1196.9000000000001</v>
      </c>
      <c r="P28" s="6">
        <v>1265.2</v>
      </c>
      <c r="Q28" s="6">
        <v>1338.7</v>
      </c>
      <c r="R28" s="345">
        <v>1412.2</v>
      </c>
      <c r="S28" s="338">
        <v>1195.7</v>
      </c>
      <c r="T28" s="6">
        <v>1264</v>
      </c>
      <c r="U28" s="6">
        <v>1337.6</v>
      </c>
      <c r="V28" s="345">
        <v>1411</v>
      </c>
      <c r="X28" s="147">
        <v>40</v>
      </c>
      <c r="Y28" s="388">
        <f>U44</f>
        <v>1053.9590428690933</v>
      </c>
    </row>
    <row r="29" spans="1:45" ht="14.1" customHeight="1" x14ac:dyDescent="0.25">
      <c r="B29" s="282">
        <v>50</v>
      </c>
      <c r="C29" s="283">
        <f>C84</f>
        <v>1383.5359999999998</v>
      </c>
      <c r="D29" s="102"/>
      <c r="E29" s="24">
        <v>51</v>
      </c>
      <c r="F29" s="149">
        <f>C28</f>
        <v>1411</v>
      </c>
      <c r="G29" s="196" cm="1">
        <f t="array" ref="G29">_xlfn.SINGLE(INDEX(LINEST(F$27:F$29,(E$27:E$29)^{1,2}),3))</f>
        <v>16.863999999999663</v>
      </c>
      <c r="H29" s="305">
        <f>SUM(H27:H28)</f>
        <v>644.4</v>
      </c>
      <c r="I29" s="243"/>
      <c r="J29" s="243"/>
      <c r="K29" s="360">
        <v>-80</v>
      </c>
      <c r="L29" s="363">
        <v>-80</v>
      </c>
      <c r="M29" s="363">
        <v>-80</v>
      </c>
      <c r="N29" s="364">
        <v>-80</v>
      </c>
      <c r="O29" s="360">
        <v>-80</v>
      </c>
      <c r="P29" s="363">
        <v>-80</v>
      </c>
      <c r="Q29" s="363">
        <v>-80</v>
      </c>
      <c r="R29" s="364">
        <v>-80</v>
      </c>
      <c r="S29" s="360">
        <v>-80</v>
      </c>
      <c r="T29" s="363">
        <v>-80</v>
      </c>
      <c r="U29" s="363">
        <v>-80</v>
      </c>
      <c r="V29" s="364">
        <v>-80</v>
      </c>
      <c r="AQ29" t="s">
        <v>152</v>
      </c>
    </row>
    <row r="30" spans="1:45" ht="14.1" customHeight="1" x14ac:dyDescent="0.2">
      <c r="B30" s="82"/>
      <c r="D30" s="82"/>
      <c r="J30" s="88"/>
      <c r="O30" s="82"/>
      <c r="P30" s="82"/>
      <c r="AE30" s="10" t="s">
        <v>177</v>
      </c>
      <c r="AF30" s="11"/>
      <c r="AG30" s="11"/>
      <c r="AH30" s="11"/>
      <c r="AI30" s="11"/>
      <c r="AJ30" s="11"/>
      <c r="AK30" s="11"/>
      <c r="AL30" s="11"/>
      <c r="AM30" s="11"/>
      <c r="AN30" s="12"/>
    </row>
    <row r="31" spans="1:45" ht="14.1" customHeight="1" x14ac:dyDescent="0.2">
      <c r="B31" s="82"/>
      <c r="D31" s="82"/>
      <c r="J31" s="88"/>
      <c r="O31" s="82"/>
      <c r="P31" s="82"/>
      <c r="S31" s="102">
        <f>T37</f>
        <v>0.7832574307632798</v>
      </c>
      <c r="T31" s="334" t="s">
        <v>212</v>
      </c>
      <c r="U31" s="34">
        <v>59</v>
      </c>
      <c r="AE31" s="13" t="s">
        <v>183</v>
      </c>
      <c r="AF31" s="9"/>
      <c r="AG31" s="9"/>
      <c r="AH31" s="9"/>
      <c r="AI31" s="9"/>
      <c r="AJ31" s="9"/>
      <c r="AK31" s="9"/>
      <c r="AL31" s="9"/>
      <c r="AM31" s="9"/>
      <c r="AN31" s="15"/>
    </row>
    <row r="32" spans="1:45" ht="14.1" customHeight="1" x14ac:dyDescent="0.2">
      <c r="B32" s="82"/>
      <c r="C32" s="237" cm="1">
        <f t="array" ref="C32">_xlfn.SINGLE(INDEX(LINEST(C27:C28,($B27:$B28)^{1}),1))</f>
        <v>27.463999999999999</v>
      </c>
      <c r="D32" s="82"/>
      <c r="O32" s="82"/>
      <c r="P32" s="82"/>
      <c r="S32" s="102">
        <f>T40</f>
        <v>0.65910889739250322</v>
      </c>
      <c r="T32" s="82" t="s">
        <v>284</v>
      </c>
      <c r="U32" s="34">
        <v>1054</v>
      </c>
      <c r="Y32" s="237" cm="1">
        <f t="array" ref="Y32">_xlfn.SINGLE(INDEX(LINEST(Y27:Y28,($X27:$X28)^{1}),1))</f>
        <v>26.183379992945184</v>
      </c>
      <c r="AE32" s="13" t="s">
        <v>184</v>
      </c>
      <c r="AF32" s="9"/>
      <c r="AG32" s="9"/>
      <c r="AH32" s="9"/>
      <c r="AI32" s="9"/>
      <c r="AJ32" s="9"/>
      <c r="AK32" s="9"/>
      <c r="AL32" s="9"/>
      <c r="AM32" s="9"/>
      <c r="AN32" s="15"/>
      <c r="AQ32" s="23" t="s">
        <v>65</v>
      </c>
      <c r="AR32" s="23" t="s">
        <v>66</v>
      </c>
      <c r="AS32" s="234" t="s">
        <v>127</v>
      </c>
    </row>
    <row r="33" spans="2:45" ht="14.1" customHeight="1" x14ac:dyDescent="0.2">
      <c r="C33" s="237" cm="1">
        <f t="array" ref="C33">INDEX(LINEST(C27:C28,($B27:$B28)^{1}),1,2)</f>
        <v>10.336000000000013</v>
      </c>
      <c r="E33" s="222"/>
      <c r="F33" s="255" t="s">
        <v>150</v>
      </c>
      <c r="G33" s="256"/>
      <c r="H33" s="222"/>
      <c r="I33" s="245" t="s">
        <v>151</v>
      </c>
      <c r="J33" s="222"/>
      <c r="K33" s="222"/>
      <c r="L33" s="257"/>
      <c r="M33" s="258"/>
      <c r="O33" s="82" t="s">
        <v>155</v>
      </c>
      <c r="P33" s="82" t="s">
        <v>155</v>
      </c>
      <c r="S33" s="102">
        <f>T44</f>
        <v>0.6997057227298692</v>
      </c>
      <c r="U33" s="34">
        <v>-80</v>
      </c>
      <c r="Y33" s="237" cm="1">
        <f t="array" ref="Y33">INDEX(LINEST(Y27:Y28,($X27:$X28)^{1}),1,2)</f>
        <v>6.6238431512857687</v>
      </c>
      <c r="AE33" s="32" t="s">
        <v>185</v>
      </c>
      <c r="AF33" s="9"/>
      <c r="AG33" s="9"/>
      <c r="AH33" s="9"/>
      <c r="AI33" s="9"/>
      <c r="AJ33" s="9"/>
      <c r="AK33" s="9"/>
      <c r="AL33" s="9"/>
      <c r="AM33" s="9"/>
      <c r="AN33" s="15"/>
      <c r="AQ33" s="24">
        <v>1</v>
      </c>
      <c r="AR33" s="236">
        <v>30</v>
      </c>
      <c r="AS33" s="235" cm="1">
        <f t="array" ref="AS33">_xlfn.SINGLE(INDEX(LINEST(AR$33:AR$35,(AQ$33:AQ$35)^{1,2,3}),1))</f>
        <v>-1.7664998074701597E-2</v>
      </c>
    </row>
    <row r="34" spans="2:45" ht="14.1" customHeight="1" x14ac:dyDescent="0.2">
      <c r="B34" s="248" t="s">
        <v>65</v>
      </c>
      <c r="C34" s="249" t="s">
        <v>66</v>
      </c>
      <c r="D34" s="247"/>
      <c r="E34" s="248" t="s">
        <v>65</v>
      </c>
      <c r="F34" s="250" t="s">
        <v>126</v>
      </c>
      <c r="G34" s="35"/>
      <c r="H34" s="248" t="s">
        <v>65</v>
      </c>
      <c r="I34" s="251" t="s">
        <v>147</v>
      </c>
      <c r="K34" s="248" t="s">
        <v>65</v>
      </c>
      <c r="L34" s="147" t="s">
        <v>143</v>
      </c>
      <c r="M34" s="254" t="s">
        <v>134</v>
      </c>
      <c r="N34" s="23" t="s">
        <v>4</v>
      </c>
      <c r="O34" s="260" t="s">
        <v>134</v>
      </c>
      <c r="P34" s="23" t="s">
        <v>145</v>
      </c>
      <c r="S34" s="264"/>
      <c r="T34" s="264"/>
      <c r="U34" s="275" t="s">
        <v>15</v>
      </c>
      <c r="V34" s="390" t="s">
        <v>200</v>
      </c>
      <c r="W34" s="391"/>
      <c r="X34" s="243"/>
      <c r="Y34" s="387" t="s">
        <v>66</v>
      </c>
      <c r="Z34" s="147"/>
      <c r="AA34" s="243"/>
      <c r="AE34" s="71"/>
      <c r="AF34" s="72" t="s">
        <v>19</v>
      </c>
      <c r="AG34" s="63"/>
      <c r="AH34" s="63" t="s">
        <v>15</v>
      </c>
      <c r="AI34" s="9"/>
      <c r="AJ34" s="9"/>
      <c r="AK34" s="9"/>
      <c r="AL34" s="9"/>
      <c r="AM34" s="9"/>
      <c r="AN34" s="15"/>
      <c r="AQ34" s="24">
        <v>25</v>
      </c>
      <c r="AR34" s="236">
        <v>610</v>
      </c>
      <c r="AS34" s="235" cm="1">
        <f t="array" ref="AS34">_xlfn.SINGLE(INDEX(LINEST(AR$33:AR$35,(AQ$33:AQ$35)^{1,2,3}),2))</f>
        <v>1.3717915543575927</v>
      </c>
    </row>
    <row r="35" spans="2:45" ht="14.1" customHeight="1" x14ac:dyDescent="0.2">
      <c r="B35" s="341" t="s">
        <v>220</v>
      </c>
      <c r="C35" s="342">
        <f>((C$32*B36)+C$33)*0.57</f>
        <v>37.200480000000006</v>
      </c>
      <c r="E35" s="341" t="s">
        <v>220</v>
      </c>
      <c r="F35" s="343">
        <f>((G$27*(E36)^2)+(G$28*(E36)^1)+(G$29))*0.57</f>
        <v>33.625439999999827</v>
      </c>
      <c r="H35" s="16">
        <v>1</v>
      </c>
      <c r="I35" s="149">
        <f t="shared" ref="I35:I84" si="2">C35-F35</f>
        <v>3.575040000000179</v>
      </c>
      <c r="K35" s="261">
        <v>1</v>
      </c>
      <c r="L35" s="262">
        <f>F35</f>
        <v>33.625439999999827</v>
      </c>
      <c r="M35" s="263">
        <f>L35/K35</f>
        <v>33.625439999999827</v>
      </c>
      <c r="N35" s="266">
        <f t="shared" ref="N35:N85" si="3">SQRT(12*32.2*M35^2/(4*$Q$6*($Q$5*56)*$Q$4^2))</f>
        <v>0.89291347107013896</v>
      </c>
      <c r="O35" s="263">
        <f t="shared" ref="O35:O85" si="4">(N35*$Q$4)*SQRT(4*$Q$6*$Q$7/32.2)/12</f>
        <v>33.624643788190284</v>
      </c>
      <c r="P35" s="263">
        <f>(K35*O35)</f>
        <v>33.624643788190284</v>
      </c>
      <c r="S35" s="264" t="s">
        <v>65</v>
      </c>
      <c r="T35" s="264" t="s">
        <v>12</v>
      </c>
      <c r="U35" s="275" t="s">
        <v>16</v>
      </c>
      <c r="V35" s="390" t="s">
        <v>201</v>
      </c>
      <c r="W35" s="391"/>
      <c r="X35" s="366" t="s">
        <v>65</v>
      </c>
      <c r="Y35" s="387" t="s">
        <v>269</v>
      </c>
      <c r="Z35" s="147" t="s">
        <v>270</v>
      </c>
      <c r="AA35" s="147" t="s">
        <v>271</v>
      </c>
      <c r="AE35" s="71" t="s">
        <v>2</v>
      </c>
      <c r="AF35" s="63" t="s">
        <v>12</v>
      </c>
      <c r="AG35" s="277" t="s">
        <v>17</v>
      </c>
      <c r="AH35" s="63" t="s">
        <v>16</v>
      </c>
      <c r="AI35" s="9"/>
      <c r="AJ35" s="9"/>
      <c r="AK35" s="9"/>
      <c r="AL35" s="9"/>
      <c r="AM35" s="9"/>
      <c r="AN35" s="15"/>
      <c r="AQ35" s="24">
        <v>50</v>
      </c>
      <c r="AR35" s="236">
        <v>1250</v>
      </c>
      <c r="AS35" s="235" cm="1">
        <f t="array" ref="AS35">_xlfn.SINGLE(INDEX(LINEST(AR$33:AR$35,(AQ$33:AQ$35)^{1,2,3}),3))</f>
        <v>0</v>
      </c>
    </row>
    <row r="36" spans="2:45" ht="14.1" customHeight="1" x14ac:dyDescent="0.25">
      <c r="B36" s="16">
        <v>2</v>
      </c>
      <c r="C36" s="238">
        <f t="shared" ref="C36:C85" si="5">(C$32*B36)+C$33</f>
        <v>65.26400000000001</v>
      </c>
      <c r="E36" s="16">
        <v>2</v>
      </c>
      <c r="F36" s="204">
        <f>(G$27*(E36)^2)+(G$28*(E36)^1)+(G$29)</f>
        <v>58.991999999999699</v>
      </c>
      <c r="H36" s="16">
        <v>2</v>
      </c>
      <c r="I36" s="149">
        <f t="shared" si="2"/>
        <v>6.2720000000003111</v>
      </c>
      <c r="K36" s="261">
        <v>2</v>
      </c>
      <c r="L36" s="262">
        <f>F36</f>
        <v>58.991999999999699</v>
      </c>
      <c r="M36" s="263">
        <f t="shared" ref="M36:M85" si="6">L36/K36</f>
        <v>29.495999999999849</v>
      </c>
      <c r="N36" s="266">
        <f t="shared" si="3"/>
        <v>0.7832574307632798</v>
      </c>
      <c r="O36" s="263">
        <f t="shared" si="4"/>
        <v>29.495301568587966</v>
      </c>
      <c r="P36" s="263">
        <f t="shared" ref="P36:P85" si="7">(K36*O36)</f>
        <v>58.990603137175931</v>
      </c>
      <c r="S36" s="139" t="s">
        <v>222</v>
      </c>
      <c r="T36" s="379">
        <f>N35</f>
        <v>0.89291347107013896</v>
      </c>
      <c r="U36" s="107">
        <f>P35</f>
        <v>33.624643788190284</v>
      </c>
      <c r="X36" s="139"/>
      <c r="Y36" s="110"/>
      <c r="Z36" s="82"/>
      <c r="AA36" s="82"/>
      <c r="AE36" s="73">
        <v>1</v>
      </c>
      <c r="AF36" s="65">
        <v>0.92510000000000003</v>
      </c>
      <c r="AG36" s="59">
        <v>34.838084318002032</v>
      </c>
      <c r="AH36" s="79">
        <v>34.838084318002032</v>
      </c>
      <c r="AI36" s="9" t="s">
        <v>181</v>
      </c>
      <c r="AJ36" s="9"/>
      <c r="AK36" s="9"/>
      <c r="AL36" s="9"/>
      <c r="AM36" s="9"/>
      <c r="AN36" s="15"/>
      <c r="AS36" s="235" cm="1">
        <f t="array" ref="AS36">_xlfn.SINGLE(INDEX(LINEST(AR$33:AR$35,(AQ$33:AQ$35)^{1,2,3}),4))</f>
        <v>28.645873443717392</v>
      </c>
    </row>
    <row r="37" spans="2:45" ht="14.1" customHeight="1" x14ac:dyDescent="0.25">
      <c r="B37" s="16">
        <v>3</v>
      </c>
      <c r="C37" s="238">
        <f t="shared" si="5"/>
        <v>92.728000000000009</v>
      </c>
      <c r="E37" s="16">
        <v>3</v>
      </c>
      <c r="F37" s="204">
        <f>(G$27*(E37)^2)+(G$28*(E37)^1)+(G$29)</f>
        <v>80.439999999999714</v>
      </c>
      <c r="H37" s="16">
        <v>3</v>
      </c>
      <c r="I37" s="149">
        <f t="shared" si="2"/>
        <v>12.288000000000295</v>
      </c>
      <c r="K37" s="261">
        <v>3</v>
      </c>
      <c r="L37" s="262">
        <f t="shared" ref="L37:L85" si="8">F37</f>
        <v>80.439999999999714</v>
      </c>
      <c r="M37" s="263">
        <f t="shared" si="6"/>
        <v>26.813333333333237</v>
      </c>
      <c r="N37" s="266">
        <f t="shared" si="3"/>
        <v>0.71202002226966732</v>
      </c>
      <c r="O37" s="263">
        <f t="shared" si="4"/>
        <v>26.812698424387705</v>
      </c>
      <c r="P37" s="263">
        <f t="shared" si="7"/>
        <v>80.438095273163114</v>
      </c>
      <c r="R37" s="309">
        <f>T37</f>
        <v>0.7832574307632798</v>
      </c>
      <c r="S37" s="265">
        <v>2</v>
      </c>
      <c r="T37" s="380">
        <f>N36</f>
        <v>0.7832574307632798</v>
      </c>
      <c r="U37" s="311">
        <f>P36</f>
        <v>58.990603137175931</v>
      </c>
      <c r="V37" s="316">
        <f>U31-U37</f>
        <v>9.396862824068819E-3</v>
      </c>
      <c r="X37" s="265">
        <v>2</v>
      </c>
      <c r="Y37" s="389">
        <f>(Y$32*X37)+Y$33</f>
        <v>58.990603137176137</v>
      </c>
      <c r="Z37" s="107">
        <f>U37-Y37</f>
        <v>-2.0605739337042905E-13</v>
      </c>
      <c r="AA37" s="392">
        <f>U37/Y37</f>
        <v>0.99999999999999656</v>
      </c>
      <c r="AE37" s="73">
        <v>2</v>
      </c>
      <c r="AF37" s="66">
        <v>0.81499999999999995</v>
      </c>
      <c r="AG37" s="56">
        <v>30.691858954893149</v>
      </c>
      <c r="AH37" s="80">
        <v>61.383717909786299</v>
      </c>
      <c r="AI37" s="14" t="s">
        <v>182</v>
      </c>
      <c r="AJ37" s="9"/>
      <c r="AK37" s="9"/>
      <c r="AL37" s="9"/>
      <c r="AM37" s="9"/>
      <c r="AN37" s="15"/>
    </row>
    <row r="38" spans="2:45" ht="14.1" customHeight="1" x14ac:dyDescent="0.25">
      <c r="B38" s="16">
        <v>4</v>
      </c>
      <c r="C38" s="238">
        <f t="shared" si="5"/>
        <v>120.19200000000001</v>
      </c>
      <c r="E38" s="16">
        <v>4</v>
      </c>
      <c r="F38" s="204">
        <f t="shared" ref="F38:F85" si="9">(G$27*(E38)^2)+(G$28*(E38)^1)+(G$29)</f>
        <v>102.14399999999974</v>
      </c>
      <c r="H38" s="16">
        <v>4</v>
      </c>
      <c r="I38" s="149">
        <f t="shared" si="2"/>
        <v>18.048000000000272</v>
      </c>
      <c r="K38" s="261">
        <v>4</v>
      </c>
      <c r="L38" s="262">
        <f t="shared" si="8"/>
        <v>102.14399999999974</v>
      </c>
      <c r="M38" s="263">
        <f t="shared" si="6"/>
        <v>25.535999999999934</v>
      </c>
      <c r="N38" s="266">
        <f t="shared" si="3"/>
        <v>0.67810081882191364</v>
      </c>
      <c r="O38" s="263">
        <f t="shared" si="4"/>
        <v>25.535395336841074</v>
      </c>
      <c r="P38" s="263">
        <f t="shared" si="7"/>
        <v>102.14158134736429</v>
      </c>
      <c r="R38" s="310"/>
      <c r="S38" s="82">
        <v>3</v>
      </c>
      <c r="T38" s="379">
        <f>N37</f>
        <v>0.71202002226966732</v>
      </c>
      <c r="U38" s="107">
        <f>P37</f>
        <v>80.438095273163114</v>
      </c>
      <c r="X38" s="82">
        <v>3</v>
      </c>
      <c r="Y38" s="389">
        <f t="shared" ref="Y38:Y44" si="10">(Y$32*X38)+Y$33</f>
        <v>85.173983130121314</v>
      </c>
      <c r="Z38" s="107">
        <f t="shared" ref="Z38:Z44" si="11">U38-Y38</f>
        <v>-4.7358878569582004</v>
      </c>
      <c r="AA38" s="392">
        <f t="shared" ref="AA38:AA44" si="12">U38/Y38</f>
        <v>0.94439748285901892</v>
      </c>
      <c r="AE38" s="73">
        <v>3</v>
      </c>
      <c r="AF38" s="67">
        <v>0.74</v>
      </c>
      <c r="AG38" s="55">
        <v>27.867454756590096</v>
      </c>
      <c r="AH38" s="53">
        <v>83.602364269770291</v>
      </c>
      <c r="AI38" s="9"/>
      <c r="AJ38" s="9"/>
      <c r="AK38" s="9"/>
      <c r="AL38" s="9"/>
      <c r="AM38" s="9"/>
      <c r="AN38" s="15"/>
      <c r="AS38" s="35"/>
    </row>
    <row r="39" spans="2:45" ht="14.1" customHeight="1" x14ac:dyDescent="0.25">
      <c r="B39" s="16">
        <v>5</v>
      </c>
      <c r="C39" s="238">
        <f t="shared" si="5"/>
        <v>147.65600000000001</v>
      </c>
      <c r="E39" s="16">
        <v>5</v>
      </c>
      <c r="F39" s="204">
        <f t="shared" si="9"/>
        <v>124.10399999999974</v>
      </c>
      <c r="G39" s="204"/>
      <c r="H39" s="16">
        <v>5</v>
      </c>
      <c r="I39" s="149">
        <f t="shared" si="2"/>
        <v>23.552000000000263</v>
      </c>
      <c r="K39" s="261">
        <v>5</v>
      </c>
      <c r="L39" s="262">
        <f t="shared" si="8"/>
        <v>124.10399999999974</v>
      </c>
      <c r="M39" s="263">
        <f t="shared" si="6"/>
        <v>24.820799999999949</v>
      </c>
      <c r="N39" s="266">
        <f t="shared" si="3"/>
        <v>0.65910889739250322</v>
      </c>
      <c r="O39" s="263">
        <f t="shared" si="4"/>
        <v>24.820212271955871</v>
      </c>
      <c r="P39" s="263">
        <f t="shared" si="7"/>
        <v>124.10106135977935</v>
      </c>
      <c r="R39" s="310"/>
      <c r="S39" s="82">
        <v>4</v>
      </c>
      <c r="T39" s="379">
        <f>N38</f>
        <v>0.67810081882191364</v>
      </c>
      <c r="U39" s="107">
        <f>P38</f>
        <v>102.14158134736429</v>
      </c>
      <c r="X39" s="82">
        <v>4</v>
      </c>
      <c r="Y39" s="389">
        <f t="shared" si="10"/>
        <v>111.35736312306651</v>
      </c>
      <c r="Z39" s="107">
        <f t="shared" si="11"/>
        <v>-9.2157817757022116</v>
      </c>
      <c r="AA39" s="392">
        <f t="shared" si="12"/>
        <v>0.91724137931034344</v>
      </c>
      <c r="AE39" s="73">
        <v>4</v>
      </c>
      <c r="AF39" s="67">
        <v>0.70499999999999996</v>
      </c>
      <c r="AG39" s="55">
        <v>26.549399464048673</v>
      </c>
      <c r="AH39" s="53">
        <v>106.19759785619469</v>
      </c>
      <c r="AI39" s="9"/>
      <c r="AJ39" s="9"/>
      <c r="AK39" s="9"/>
      <c r="AL39" s="9"/>
      <c r="AM39" s="9"/>
      <c r="AN39" s="15"/>
      <c r="AQ39" s="2" t="s">
        <v>65</v>
      </c>
      <c r="AR39" s="205" t="s">
        <v>127</v>
      </c>
      <c r="AS39" s="35"/>
    </row>
    <row r="40" spans="2:45" ht="14.1" customHeight="1" x14ac:dyDescent="0.25">
      <c r="B40" s="16">
        <v>6</v>
      </c>
      <c r="C40" s="238">
        <f t="shared" si="5"/>
        <v>175.12</v>
      </c>
      <c r="E40" s="16">
        <v>6</v>
      </c>
      <c r="F40" s="204">
        <f t="shared" si="9"/>
        <v>146.31999999999977</v>
      </c>
      <c r="G40" s="204"/>
      <c r="H40" s="16">
        <v>6</v>
      </c>
      <c r="I40" s="149">
        <f t="shared" si="2"/>
        <v>28.800000000000239</v>
      </c>
      <c r="K40" s="16">
        <v>6</v>
      </c>
      <c r="L40" s="204">
        <f t="shared" si="8"/>
        <v>146.31999999999977</v>
      </c>
      <c r="M40" s="149">
        <f t="shared" si="6"/>
        <v>24.386666666666628</v>
      </c>
      <c r="N40" s="267">
        <f t="shared" si="3"/>
        <v>0.64758061697226466</v>
      </c>
      <c r="O40" s="149">
        <f t="shared" si="4"/>
        <v>24.386089218401406</v>
      </c>
      <c r="P40" s="149">
        <f t="shared" si="7"/>
        <v>146.31653531040843</v>
      </c>
      <c r="R40" s="309">
        <f>T40</f>
        <v>0.65910889739250322</v>
      </c>
      <c r="S40" s="265">
        <v>5</v>
      </c>
      <c r="T40" s="380">
        <f>N39</f>
        <v>0.65910889739250322</v>
      </c>
      <c r="U40" s="308">
        <f>P39</f>
        <v>124.10106135977935</v>
      </c>
      <c r="X40" s="265">
        <v>5</v>
      </c>
      <c r="Y40" s="389">
        <f t="shared" si="10"/>
        <v>137.5407431160117</v>
      </c>
      <c r="Z40" s="107">
        <f t="shared" si="11"/>
        <v>-13.439681756232346</v>
      </c>
      <c r="AA40" s="392">
        <f t="shared" si="12"/>
        <v>0.90228581399406604</v>
      </c>
      <c r="AE40" s="73">
        <v>5</v>
      </c>
      <c r="AF40" s="66">
        <v>0.67849999999999999</v>
      </c>
      <c r="AG40" s="56">
        <v>25.551443313981597</v>
      </c>
      <c r="AH40" s="80">
        <v>127.75721656990798</v>
      </c>
      <c r="AI40" s="9"/>
      <c r="AJ40" s="9"/>
      <c r="AK40" s="9"/>
      <c r="AL40" s="9"/>
      <c r="AM40" s="9"/>
      <c r="AN40" s="15"/>
      <c r="AQ40" s="16">
        <v>1</v>
      </c>
      <c r="AR40" s="204">
        <f>(AS$33*(AQ40)^3)+(AS$34*(AQ40)^2)+(AS$35*(AQ40)^1)+(AS$36)</f>
        <v>30.000000000000284</v>
      </c>
    </row>
    <row r="41" spans="2:45" ht="14.1" customHeight="1" x14ac:dyDescent="0.25">
      <c r="B41" s="16">
        <v>7</v>
      </c>
      <c r="C41" s="238">
        <f t="shared" si="5"/>
        <v>202.584</v>
      </c>
      <c r="E41" s="16">
        <v>7</v>
      </c>
      <c r="F41" s="204">
        <f t="shared" si="9"/>
        <v>168.79199999999977</v>
      </c>
      <c r="G41" s="204"/>
      <c r="H41" s="16">
        <v>7</v>
      </c>
      <c r="I41" s="149">
        <f>C41-F41</f>
        <v>33.792000000000229</v>
      </c>
      <c r="K41" s="16">
        <v>7</v>
      </c>
      <c r="L41" s="204">
        <f t="shared" si="8"/>
        <v>168.79199999999977</v>
      </c>
      <c r="M41" s="149">
        <f t="shared" si="6"/>
        <v>24.113142857142826</v>
      </c>
      <c r="N41" s="267">
        <f t="shared" si="3"/>
        <v>0.64031727427155272</v>
      </c>
      <c r="O41" s="149">
        <f t="shared" si="4"/>
        <v>24.112571885607341</v>
      </c>
      <c r="P41" s="149">
        <f t="shared" si="7"/>
        <v>168.78800319925139</v>
      </c>
      <c r="R41" s="310"/>
      <c r="S41" s="82">
        <v>10</v>
      </c>
      <c r="T41" s="379">
        <f>N44</f>
        <v>0.63132205932799701</v>
      </c>
      <c r="U41" s="107">
        <f>P44</f>
        <v>237.73837049506398</v>
      </c>
      <c r="X41" s="82">
        <v>10</v>
      </c>
      <c r="Y41" s="389">
        <f t="shared" si="10"/>
        <v>268.45764308073763</v>
      </c>
      <c r="Z41" s="107">
        <f t="shared" si="11"/>
        <v>-30.71927258567365</v>
      </c>
      <c r="AA41" s="392">
        <f t="shared" si="12"/>
        <v>0.88557124977650592</v>
      </c>
      <c r="AE41" s="73">
        <v>10</v>
      </c>
      <c r="AF41" s="76">
        <v>0.64</v>
      </c>
      <c r="AG41" s="55">
        <v>24.101582492186029</v>
      </c>
      <c r="AH41" s="53">
        <v>241.01582492186029</v>
      </c>
      <c r="AI41" s="9"/>
      <c r="AJ41" s="9"/>
      <c r="AK41" s="9"/>
      <c r="AL41" s="9"/>
      <c r="AM41" s="9"/>
      <c r="AN41" s="15"/>
      <c r="AQ41" s="16">
        <v>2</v>
      </c>
      <c r="AR41" s="204">
        <f>(AS$33*(AQ41)^3)+(AS$34*(AQ41)^2)+(AS$35*(AQ41)^1)+(AS$36)</f>
        <v>33.991719676550147</v>
      </c>
    </row>
    <row r="42" spans="2:45" ht="14.1" customHeight="1" x14ac:dyDescent="0.25">
      <c r="B42" s="16">
        <v>8</v>
      </c>
      <c r="C42" s="238">
        <f t="shared" si="5"/>
        <v>230.048</v>
      </c>
      <c r="E42" s="16">
        <v>8</v>
      </c>
      <c r="F42" s="204">
        <f t="shared" si="9"/>
        <v>191.51999999999978</v>
      </c>
      <c r="G42" s="204"/>
      <c r="H42" s="16">
        <v>8</v>
      </c>
      <c r="I42" s="149">
        <f t="shared" si="2"/>
        <v>38.528000000000219</v>
      </c>
      <c r="K42" s="16">
        <v>8</v>
      </c>
      <c r="L42" s="204">
        <f t="shared" si="8"/>
        <v>191.51999999999978</v>
      </c>
      <c r="M42" s="149">
        <f t="shared" si="6"/>
        <v>23.939999999999973</v>
      </c>
      <c r="N42" s="267">
        <f t="shared" si="3"/>
        <v>0.63571951764554491</v>
      </c>
      <c r="O42" s="149">
        <f t="shared" si="4"/>
        <v>23.939433128288538</v>
      </c>
      <c r="P42" s="149">
        <f t="shared" si="7"/>
        <v>191.51546502630831</v>
      </c>
      <c r="R42" s="310"/>
      <c r="S42" s="82">
        <v>20</v>
      </c>
      <c r="T42" s="379">
        <f>N54</f>
        <v>0.64292115228153024</v>
      </c>
      <c r="U42" s="107">
        <f>P54</f>
        <v>484.21253413167932</v>
      </c>
      <c r="X42" s="82">
        <v>20</v>
      </c>
      <c r="Y42" s="389">
        <f t="shared" si="10"/>
        <v>530.29144301018948</v>
      </c>
      <c r="Z42" s="107">
        <f t="shared" si="11"/>
        <v>-46.078908878510163</v>
      </c>
      <c r="AA42" s="392">
        <f t="shared" si="12"/>
        <v>0.91310644460535872</v>
      </c>
      <c r="AE42" s="73">
        <v>20</v>
      </c>
      <c r="AF42" s="76">
        <v>0.65</v>
      </c>
      <c r="AG42" s="55">
        <v>24.478169718626436</v>
      </c>
      <c r="AH42" s="53">
        <v>489.56339437252871</v>
      </c>
      <c r="AI42" s="9"/>
      <c r="AJ42" s="9"/>
      <c r="AK42" s="9"/>
      <c r="AL42" s="9"/>
      <c r="AM42" s="9"/>
      <c r="AN42" s="15"/>
      <c r="AQ42" s="16">
        <v>3</v>
      </c>
      <c r="AR42" s="204">
        <f>(AS$33*(AQ42)^3)+(AS$34*(AQ42)^2)+(AS$35*(AQ42)^1)+(AS$36)</f>
        <v>40.51504248491878</v>
      </c>
    </row>
    <row r="43" spans="2:45" ht="14.1" customHeight="1" x14ac:dyDescent="0.25">
      <c r="B43" s="16">
        <v>9</v>
      </c>
      <c r="C43" s="238">
        <f t="shared" si="5"/>
        <v>257.512</v>
      </c>
      <c r="E43" s="16">
        <v>9</v>
      </c>
      <c r="F43" s="204">
        <f t="shared" si="9"/>
        <v>214.50399999999982</v>
      </c>
      <c r="G43" s="204"/>
      <c r="H43" s="16">
        <v>9</v>
      </c>
      <c r="I43" s="149">
        <f t="shared" si="2"/>
        <v>43.00800000000018</v>
      </c>
      <c r="K43" s="16">
        <v>9</v>
      </c>
      <c r="L43" s="204">
        <f t="shared" si="8"/>
        <v>214.50399999999982</v>
      </c>
      <c r="M43" s="149">
        <f t="shared" si="6"/>
        <v>23.833777777777758</v>
      </c>
      <c r="N43" s="267">
        <f t="shared" si="3"/>
        <v>0.63289881840267348</v>
      </c>
      <c r="O43" s="149">
        <f t="shared" si="4"/>
        <v>23.833213421286583</v>
      </c>
      <c r="P43" s="149">
        <f t="shared" si="7"/>
        <v>214.49892079157925</v>
      </c>
      <c r="R43" s="310"/>
      <c r="S43" s="82">
        <v>30</v>
      </c>
      <c r="T43" s="379">
        <f>N64</f>
        <v>0.66944752725340684</v>
      </c>
      <c r="U43" s="107">
        <f>P64</f>
        <v>756.28609158968914</v>
      </c>
      <c r="X43" s="82">
        <v>30</v>
      </c>
      <c r="Y43" s="389">
        <f t="shared" si="10"/>
        <v>792.12524293964134</v>
      </c>
      <c r="Z43" s="107">
        <f t="shared" si="11"/>
        <v>-35.839151349952203</v>
      </c>
      <c r="AA43" s="392">
        <f t="shared" si="12"/>
        <v>0.95475570098365992</v>
      </c>
      <c r="AE43" s="73">
        <v>30</v>
      </c>
      <c r="AF43" s="76">
        <v>0.66500000000000004</v>
      </c>
      <c r="AG43" s="55">
        <v>25.04305055828705</v>
      </c>
      <c r="AH43" s="53">
        <v>751.29151674861146</v>
      </c>
      <c r="AI43" s="9"/>
      <c r="AJ43" s="9"/>
      <c r="AK43" s="9"/>
      <c r="AL43" s="9"/>
      <c r="AM43" s="9"/>
      <c r="AN43" s="15"/>
      <c r="AQ43" s="16">
        <v>4</v>
      </c>
      <c r="AR43" s="204">
        <f>(AS$33*(AQ43)^3)+(AS$34*(AQ43)^2)+(AS$35*(AQ43)^1)+(AS$36)</f>
        <v>49.463978436657968</v>
      </c>
    </row>
    <row r="44" spans="2:45" ht="14.1" customHeight="1" x14ac:dyDescent="0.25">
      <c r="B44" s="16">
        <v>10</v>
      </c>
      <c r="C44" s="238">
        <f t="shared" si="5"/>
        <v>284.976</v>
      </c>
      <c r="E44" s="16">
        <v>10</v>
      </c>
      <c r="F44" s="204">
        <f t="shared" si="9"/>
        <v>237.74399999999983</v>
      </c>
      <c r="G44" s="204"/>
      <c r="H44" s="16">
        <v>10</v>
      </c>
      <c r="I44" s="149">
        <f t="shared" si="2"/>
        <v>47.23200000000017</v>
      </c>
      <c r="K44" s="261">
        <v>10</v>
      </c>
      <c r="L44" s="262">
        <f>F44</f>
        <v>237.74399999999983</v>
      </c>
      <c r="M44" s="263">
        <f t="shared" si="6"/>
        <v>23.774399999999982</v>
      </c>
      <c r="N44" s="266">
        <f t="shared" si="3"/>
        <v>0.63132205932799701</v>
      </c>
      <c r="O44" s="263">
        <f t="shared" si="4"/>
        <v>23.773837049506398</v>
      </c>
      <c r="P44" s="263">
        <f t="shared" si="7"/>
        <v>237.73837049506398</v>
      </c>
      <c r="R44" s="309">
        <f>T44</f>
        <v>0.6997057227298692</v>
      </c>
      <c r="S44" s="265">
        <v>40</v>
      </c>
      <c r="T44" s="380">
        <f>N74</f>
        <v>0.6997057227298692</v>
      </c>
      <c r="U44" s="311">
        <f>P74</f>
        <v>1053.9590428690933</v>
      </c>
      <c r="V44" s="316">
        <f>U32-U44</f>
        <v>4.0957130906690509E-2</v>
      </c>
      <c r="X44" s="265">
        <v>40</v>
      </c>
      <c r="Y44" s="389">
        <f t="shared" si="10"/>
        <v>1053.9590428690931</v>
      </c>
      <c r="Z44" s="107">
        <f t="shared" si="11"/>
        <v>0</v>
      </c>
      <c r="AA44" s="392">
        <f t="shared" si="12"/>
        <v>1.0000000000000002</v>
      </c>
      <c r="AE44" s="73">
        <v>40</v>
      </c>
      <c r="AF44" s="77">
        <v>0.68</v>
      </c>
      <c r="AG44" s="56">
        <v>25.607931397947663</v>
      </c>
      <c r="AH44" s="80">
        <v>1024.3172559179066</v>
      </c>
      <c r="AI44" s="9"/>
      <c r="AJ44" s="9"/>
      <c r="AK44" s="9"/>
      <c r="AL44" s="9"/>
      <c r="AM44" s="9"/>
      <c r="AN44" s="15"/>
      <c r="AQ44" s="16">
        <v>5</v>
      </c>
      <c r="AR44" s="204">
        <f>(AS$33*(AQ44)^3)+(AS$34*(AQ44)^2)+(AS$35*(AQ44)^1)+(AS$36)</f>
        <v>60.732537543319509</v>
      </c>
      <c r="AS44" s="204"/>
    </row>
    <row r="45" spans="2:45" ht="14.1" customHeight="1" x14ac:dyDescent="0.25">
      <c r="B45" s="16">
        <v>11</v>
      </c>
      <c r="C45" s="238">
        <f t="shared" si="5"/>
        <v>312.44</v>
      </c>
      <c r="E45" s="16">
        <v>11</v>
      </c>
      <c r="F45" s="204">
        <f t="shared" si="9"/>
        <v>261.23999999999984</v>
      </c>
      <c r="G45" s="204"/>
      <c r="H45" s="16">
        <v>11</v>
      </c>
      <c r="I45" s="149">
        <f t="shared" si="2"/>
        <v>51.200000000000159</v>
      </c>
      <c r="K45" s="16">
        <v>11</v>
      </c>
      <c r="L45" s="204">
        <f t="shared" si="8"/>
        <v>261.23999999999984</v>
      </c>
      <c r="M45" s="149">
        <f t="shared" si="6"/>
        <v>23.749090909090896</v>
      </c>
      <c r="N45" s="267">
        <f t="shared" si="3"/>
        <v>0.63064998401200822</v>
      </c>
      <c r="O45" s="149">
        <f t="shared" si="4"/>
        <v>23.748528557887525</v>
      </c>
      <c r="P45" s="149">
        <f t="shared" si="7"/>
        <v>261.23381413676276</v>
      </c>
      <c r="S45" s="82">
        <v>50</v>
      </c>
      <c r="T45" s="379">
        <f>N84</f>
        <v>0.73145664640816599</v>
      </c>
      <c r="U45" s="107">
        <f>P84</f>
        <v>1377.231387969892</v>
      </c>
      <c r="X45" s="82"/>
      <c r="Z45" s="82"/>
      <c r="AE45" s="278">
        <v>50</v>
      </c>
      <c r="AF45" s="279">
        <v>0.7</v>
      </c>
      <c r="AG45" s="280">
        <v>26.361105850828469</v>
      </c>
      <c r="AH45" s="281">
        <v>1318.0552925414236</v>
      </c>
      <c r="AI45" s="3"/>
      <c r="AJ45" s="3"/>
      <c r="AK45" s="3"/>
      <c r="AL45" s="3"/>
      <c r="AM45" s="3"/>
      <c r="AN45" s="7"/>
    </row>
    <row r="46" spans="2:45" ht="14.1" customHeight="1" x14ac:dyDescent="0.2">
      <c r="B46" s="16">
        <v>12</v>
      </c>
      <c r="C46" s="238">
        <f t="shared" si="5"/>
        <v>339.904</v>
      </c>
      <c r="E46" s="16">
        <v>12</v>
      </c>
      <c r="F46" s="204">
        <f t="shared" si="9"/>
        <v>284.99199999999985</v>
      </c>
      <c r="G46" s="204"/>
      <c r="H46" s="16">
        <v>12</v>
      </c>
      <c r="I46" s="149">
        <f t="shared" si="2"/>
        <v>54.912000000000148</v>
      </c>
      <c r="K46" s="16">
        <v>12</v>
      </c>
      <c r="L46" s="204">
        <f t="shared" si="8"/>
        <v>284.99199999999985</v>
      </c>
      <c r="M46" s="149">
        <f t="shared" si="6"/>
        <v>23.749333333333322</v>
      </c>
      <c r="N46" s="267">
        <f t="shared" si="3"/>
        <v>0.63065642151503509</v>
      </c>
      <c r="O46" s="149">
        <f t="shared" si="4"/>
        <v>23.748770976389626</v>
      </c>
      <c r="P46" s="149">
        <f t="shared" si="7"/>
        <v>284.98525171667552</v>
      </c>
      <c r="S46" s="229"/>
      <c r="Z46" s="82"/>
    </row>
    <row r="47" spans="2:45" ht="14.1" customHeight="1" x14ac:dyDescent="0.2">
      <c r="B47" s="16">
        <v>13</v>
      </c>
      <c r="C47" s="238">
        <f t="shared" si="5"/>
        <v>367.36799999999999</v>
      </c>
      <c r="E47" s="16">
        <v>13</v>
      </c>
      <c r="F47" s="204">
        <f t="shared" si="9"/>
        <v>308.99999999999989</v>
      </c>
      <c r="G47" s="204"/>
      <c r="H47" s="16">
        <v>13</v>
      </c>
      <c r="I47" s="149">
        <f t="shared" si="2"/>
        <v>58.368000000000109</v>
      </c>
      <c r="K47" s="16">
        <v>13</v>
      </c>
      <c r="L47" s="204">
        <f t="shared" si="8"/>
        <v>308.99999999999989</v>
      </c>
      <c r="M47" s="149">
        <f t="shared" si="6"/>
        <v>23.769230769230759</v>
      </c>
      <c r="N47" s="267">
        <f t="shared" si="3"/>
        <v>0.63118479195576616</v>
      </c>
      <c r="O47" s="149">
        <f t="shared" si="4"/>
        <v>23.768667941138631</v>
      </c>
      <c r="P47" s="149">
        <f t="shared" si="7"/>
        <v>308.9926832348022</v>
      </c>
    </row>
    <row r="48" spans="2:45" ht="14.1" customHeight="1" x14ac:dyDescent="0.2">
      <c r="B48" s="16">
        <v>14</v>
      </c>
      <c r="C48" s="238">
        <f t="shared" si="5"/>
        <v>394.83199999999999</v>
      </c>
      <c r="E48" s="16">
        <v>14</v>
      </c>
      <c r="F48" s="204">
        <f t="shared" si="9"/>
        <v>333.2639999999999</v>
      </c>
      <c r="G48" s="204"/>
      <c r="H48" s="16">
        <v>14</v>
      </c>
      <c r="I48" s="149">
        <f t="shared" si="2"/>
        <v>61.568000000000097</v>
      </c>
      <c r="K48" s="16">
        <v>14</v>
      </c>
      <c r="L48" s="204">
        <f t="shared" si="8"/>
        <v>333.2639999999999</v>
      </c>
      <c r="M48" s="149">
        <f t="shared" si="6"/>
        <v>23.804571428571421</v>
      </c>
      <c r="N48" s="267">
        <f t="shared" si="3"/>
        <v>0.63212325256183632</v>
      </c>
      <c r="O48" s="149">
        <f t="shared" si="4"/>
        <v>23.804007763653058</v>
      </c>
      <c r="P48" s="149">
        <f t="shared" si="7"/>
        <v>333.2561086911428</v>
      </c>
    </row>
    <row r="49" spans="1:21" ht="14.1" customHeight="1" x14ac:dyDescent="0.2">
      <c r="B49" s="16">
        <v>15</v>
      </c>
      <c r="C49" s="238">
        <f t="shared" si="5"/>
        <v>422.29599999999999</v>
      </c>
      <c r="E49" s="16">
        <v>15</v>
      </c>
      <c r="F49" s="204">
        <f t="shared" si="9"/>
        <v>357.78399999999988</v>
      </c>
      <c r="G49" s="204"/>
      <c r="H49" s="16">
        <v>15</v>
      </c>
      <c r="I49" s="149">
        <f t="shared" si="2"/>
        <v>64.512000000000114</v>
      </c>
      <c r="K49" s="16">
        <v>15</v>
      </c>
      <c r="L49" s="204">
        <f t="shared" si="8"/>
        <v>357.78399999999988</v>
      </c>
      <c r="M49" s="149">
        <f t="shared" si="6"/>
        <v>23.852266666666658</v>
      </c>
      <c r="N49" s="267">
        <f t="shared" si="3"/>
        <v>0.63338978530017775</v>
      </c>
      <c r="O49" s="149">
        <f t="shared" si="4"/>
        <v>23.85170187237982</v>
      </c>
      <c r="P49" s="149">
        <f t="shared" si="7"/>
        <v>357.77552808569732</v>
      </c>
      <c r="S49" s="34">
        <v>0.96</v>
      </c>
    </row>
    <row r="50" spans="1:21" ht="14.1" customHeight="1" x14ac:dyDescent="0.2">
      <c r="B50" s="16">
        <v>16</v>
      </c>
      <c r="C50" s="238">
        <f t="shared" si="5"/>
        <v>449.76</v>
      </c>
      <c r="E50" s="16">
        <v>16</v>
      </c>
      <c r="F50" s="204">
        <f t="shared" si="9"/>
        <v>382.55999999999983</v>
      </c>
      <c r="G50" s="204"/>
      <c r="H50" s="16">
        <v>16</v>
      </c>
      <c r="I50" s="149">
        <f t="shared" si="2"/>
        <v>67.200000000000159</v>
      </c>
      <c r="K50" s="16">
        <v>16</v>
      </c>
      <c r="L50" s="204">
        <f t="shared" si="8"/>
        <v>382.55999999999983</v>
      </c>
      <c r="M50" s="149">
        <f t="shared" si="6"/>
        <v>23.909999999999989</v>
      </c>
      <c r="N50" s="267">
        <f t="shared" si="3"/>
        <v>0.63492287664598956</v>
      </c>
      <c r="O50" s="149">
        <f t="shared" si="4"/>
        <v>23.90943383865411</v>
      </c>
      <c r="P50" s="149">
        <f t="shared" si="7"/>
        <v>382.55094141846575</v>
      </c>
      <c r="R50" s="248" t="s">
        <v>65</v>
      </c>
      <c r="S50" s="23" t="s">
        <v>4</v>
      </c>
      <c r="T50" s="260" t="s">
        <v>134</v>
      </c>
      <c r="U50" s="23" t="s">
        <v>145</v>
      </c>
    </row>
    <row r="51" spans="1:21" ht="14.1" customHeight="1" x14ac:dyDescent="0.2">
      <c r="B51" s="16">
        <v>17</v>
      </c>
      <c r="C51" s="238">
        <f t="shared" si="5"/>
        <v>477.22399999999999</v>
      </c>
      <c r="E51" s="16">
        <v>17</v>
      </c>
      <c r="F51" s="204">
        <f t="shared" si="9"/>
        <v>407.59199999999987</v>
      </c>
      <c r="G51" s="204"/>
      <c r="H51" s="16">
        <v>17</v>
      </c>
      <c r="I51" s="149">
        <f t="shared" si="2"/>
        <v>69.632000000000119</v>
      </c>
      <c r="K51" s="16">
        <v>17</v>
      </c>
      <c r="L51" s="204">
        <f t="shared" si="8"/>
        <v>407.59199999999987</v>
      </c>
      <c r="M51" s="149">
        <f t="shared" si="6"/>
        <v>23.975999999999992</v>
      </c>
      <c r="N51" s="267">
        <f t="shared" si="3"/>
        <v>0.63667548684501241</v>
      </c>
      <c r="O51" s="149">
        <f t="shared" si="4"/>
        <v>23.975432275849894</v>
      </c>
      <c r="P51" s="149">
        <f t="shared" si="7"/>
        <v>407.58234868944817</v>
      </c>
      <c r="R51" s="228">
        <v>1</v>
      </c>
      <c r="S51" s="384">
        <f>SQRT(12*32.2*M35^2/(4*$Q$6*($Q$5*56)*$Q$4^2))*S49</f>
        <v>0.8571969322273334</v>
      </c>
      <c r="T51" s="259">
        <f t="shared" ref="T51:T60" si="13">(S51*$Q$4)*SQRT(4*$Q$6*$Q$7/32.2)/12</f>
        <v>32.279658036662667</v>
      </c>
      <c r="U51" s="383">
        <f>(R51*T51)</f>
        <v>32.279658036662667</v>
      </c>
    </row>
    <row r="52" spans="1:21" ht="14.1" customHeight="1" x14ac:dyDescent="0.2">
      <c r="B52" s="16">
        <v>18</v>
      </c>
      <c r="C52" s="238">
        <f t="shared" si="5"/>
        <v>504.68799999999999</v>
      </c>
      <c r="E52" s="16">
        <v>18</v>
      </c>
      <c r="F52" s="204">
        <f t="shared" si="9"/>
        <v>432.87999999999988</v>
      </c>
      <c r="G52" s="204"/>
      <c r="H52" s="16">
        <v>18</v>
      </c>
      <c r="I52" s="149">
        <f t="shared" si="2"/>
        <v>71.808000000000106</v>
      </c>
      <c r="K52" s="16">
        <v>18</v>
      </c>
      <c r="L52" s="204">
        <f t="shared" si="8"/>
        <v>432.87999999999988</v>
      </c>
      <c r="M52" s="149">
        <f t="shared" si="6"/>
        <v>24.048888888888882</v>
      </c>
      <c r="N52" s="267">
        <f t="shared" si="3"/>
        <v>0.638611029421711</v>
      </c>
      <c r="O52" s="149">
        <f t="shared" si="4"/>
        <v>24.048319438813582</v>
      </c>
      <c r="P52" s="149">
        <f t="shared" si="7"/>
        <v>432.8697498986445</v>
      </c>
      <c r="R52" s="385">
        <v>2</v>
      </c>
      <c r="S52" s="386">
        <f>SQRT(12*32.2*M36^2/(4*$Q$6*($Q$5*56)*$Q$4^2))*S49</f>
        <v>0.75192713353274854</v>
      </c>
      <c r="T52" s="311">
        <f t="shared" si="13"/>
        <v>28.315489505844443</v>
      </c>
      <c r="U52" s="308">
        <f t="shared" ref="U52:U60" si="14">(R52*T52)</f>
        <v>56.630979011688886</v>
      </c>
    </row>
    <row r="53" spans="1:21" ht="14.1" customHeight="1" x14ac:dyDescent="0.2">
      <c r="B53" s="16">
        <v>19</v>
      </c>
      <c r="C53" s="238">
        <f t="shared" si="5"/>
        <v>532.15200000000004</v>
      </c>
      <c r="E53" s="16">
        <v>19</v>
      </c>
      <c r="F53" s="204">
        <f t="shared" si="9"/>
        <v>458.42399999999986</v>
      </c>
      <c r="G53" s="204"/>
      <c r="H53" s="16">
        <v>19</v>
      </c>
      <c r="I53" s="149">
        <f t="shared" si="2"/>
        <v>73.728000000000179</v>
      </c>
      <c r="K53" s="16">
        <v>19</v>
      </c>
      <c r="L53" s="204">
        <f t="shared" si="8"/>
        <v>458.42399999999986</v>
      </c>
      <c r="M53" s="149">
        <f t="shared" si="6"/>
        <v>24.127578947368413</v>
      </c>
      <c r="N53" s="267">
        <f t="shared" si="3"/>
        <v>0.64070062031645247</v>
      </c>
      <c r="O53" s="149">
        <f t="shared" si="4"/>
        <v>24.127007634002894</v>
      </c>
      <c r="P53" s="149">
        <f t="shared" si="7"/>
        <v>458.41314504605498</v>
      </c>
      <c r="R53" s="228">
        <v>3</v>
      </c>
      <c r="S53" s="384">
        <f>SQRT(12*32.2*M37^2/(4*$Q$6*($Q$5*56)*$Q$4^2))*S49</f>
        <v>0.68353922137888057</v>
      </c>
      <c r="T53" s="259">
        <f t="shared" si="13"/>
        <v>25.740190487412196</v>
      </c>
      <c r="U53" s="383">
        <f t="shared" si="14"/>
        <v>77.220571462236592</v>
      </c>
    </row>
    <row r="54" spans="1:21" ht="14.1" customHeight="1" x14ac:dyDescent="0.2">
      <c r="B54" s="16">
        <v>20</v>
      </c>
      <c r="C54" s="238">
        <f t="shared" si="5"/>
        <v>559.61599999999999</v>
      </c>
      <c r="E54" s="16">
        <v>20</v>
      </c>
      <c r="F54" s="204">
        <f t="shared" si="9"/>
        <v>484.22399999999993</v>
      </c>
      <c r="G54" s="204"/>
      <c r="H54" s="16">
        <v>20</v>
      </c>
      <c r="I54" s="149">
        <f t="shared" si="2"/>
        <v>75.392000000000053</v>
      </c>
      <c r="K54" s="261">
        <v>20</v>
      </c>
      <c r="L54" s="262">
        <f t="shared" si="8"/>
        <v>484.22399999999993</v>
      </c>
      <c r="M54" s="263">
        <f t="shared" si="6"/>
        <v>24.211199999999998</v>
      </c>
      <c r="N54" s="266">
        <f t="shared" si="3"/>
        <v>0.64292115228153024</v>
      </c>
      <c r="O54" s="263">
        <f t="shared" si="4"/>
        <v>24.210626706583966</v>
      </c>
      <c r="P54" s="263">
        <f t="shared" si="7"/>
        <v>484.21253413167932</v>
      </c>
      <c r="R54" s="228">
        <v>4</v>
      </c>
      <c r="S54" s="384">
        <f>SQRT(12*32.2*M38^2/(4*$Q$6*($Q$5*56)*$Q$4^2))*S49</f>
        <v>0.65097678606903708</v>
      </c>
      <c r="T54" s="259">
        <f t="shared" si="13"/>
        <v>24.513979523367428</v>
      </c>
      <c r="U54" s="383">
        <f t="shared" si="14"/>
        <v>98.055918093469714</v>
      </c>
    </row>
    <row r="55" spans="1:21" ht="14.1" customHeight="1" x14ac:dyDescent="0.2">
      <c r="B55" s="16">
        <v>21</v>
      </c>
      <c r="C55" s="238">
        <f t="shared" si="5"/>
        <v>587.07999999999993</v>
      </c>
      <c r="E55" s="16">
        <v>21</v>
      </c>
      <c r="F55" s="204">
        <f t="shared" si="9"/>
        <v>510.28</v>
      </c>
      <c r="G55" s="204"/>
      <c r="H55" s="16">
        <v>21</v>
      </c>
      <c r="I55" s="149">
        <f t="shared" si="2"/>
        <v>76.799999999999955</v>
      </c>
      <c r="K55" s="16">
        <v>21</v>
      </c>
      <c r="L55" s="204">
        <f t="shared" si="8"/>
        <v>510.28</v>
      </c>
      <c r="M55" s="149">
        <f t="shared" si="6"/>
        <v>24.299047619047617</v>
      </c>
      <c r="N55" s="267">
        <f t="shared" si="3"/>
        <v>0.64525391944975341</v>
      </c>
      <c r="O55" s="149">
        <f t="shared" si="4"/>
        <v>24.298472245500832</v>
      </c>
      <c r="P55" s="149">
        <f t="shared" si="7"/>
        <v>510.26791715551747</v>
      </c>
      <c r="R55" s="385">
        <v>5</v>
      </c>
      <c r="S55" s="386">
        <f>SQRT(12*32.2*M39^2/(4*$Q$6*($Q$5*56)*$Q$4^2))*S49</f>
        <v>0.63274454149680304</v>
      </c>
      <c r="T55" s="311">
        <f t="shared" si="13"/>
        <v>23.827403781077635</v>
      </c>
      <c r="U55" s="308">
        <f t="shared" si="14"/>
        <v>119.13701890538817</v>
      </c>
    </row>
    <row r="56" spans="1:21" ht="14.1" customHeight="1" x14ac:dyDescent="0.2">
      <c r="B56" s="16">
        <v>22</v>
      </c>
      <c r="C56" s="238">
        <f t="shared" si="5"/>
        <v>614.54399999999998</v>
      </c>
      <c r="E56" s="16">
        <v>22</v>
      </c>
      <c r="F56" s="204">
        <f t="shared" si="9"/>
        <v>536.59199999999998</v>
      </c>
      <c r="G56" s="204"/>
      <c r="H56" s="16">
        <v>22</v>
      </c>
      <c r="I56" s="149">
        <f t="shared" si="2"/>
        <v>77.951999999999998</v>
      </c>
      <c r="K56" s="16">
        <v>22</v>
      </c>
      <c r="L56" s="204">
        <f t="shared" si="8"/>
        <v>536.59199999999998</v>
      </c>
      <c r="M56" s="149">
        <f t="shared" si="6"/>
        <v>24.390545454545453</v>
      </c>
      <c r="N56" s="267">
        <f t="shared" si="3"/>
        <v>0.6476836170206931</v>
      </c>
      <c r="O56" s="149">
        <f t="shared" si="4"/>
        <v>24.389967914434987</v>
      </c>
      <c r="P56" s="149">
        <f t="shared" si="7"/>
        <v>536.5792941175697</v>
      </c>
      <c r="R56" s="228">
        <v>10</v>
      </c>
      <c r="S56" s="384">
        <f>SQRT(12*32.2*M44^2/(4*$Q$6*($Q$5*56)*$Q$4^2))*S49</f>
        <v>0.60606917695487705</v>
      </c>
      <c r="T56" s="259">
        <f t="shared" si="13"/>
        <v>22.822883567526144</v>
      </c>
      <c r="U56" s="383">
        <f t="shared" si="14"/>
        <v>228.22883567526145</v>
      </c>
    </row>
    <row r="57" spans="1:21" ht="14.1" customHeight="1" x14ac:dyDescent="0.2">
      <c r="B57" s="16">
        <v>23</v>
      </c>
      <c r="C57" s="238">
        <f t="shared" si="5"/>
        <v>642.00800000000004</v>
      </c>
      <c r="E57" s="16">
        <v>23</v>
      </c>
      <c r="F57" s="204">
        <f t="shared" si="9"/>
        <v>563.16</v>
      </c>
      <c r="G57" s="204"/>
      <c r="H57" s="16">
        <v>23</v>
      </c>
      <c r="I57" s="149">
        <f t="shared" si="2"/>
        <v>78.84800000000007</v>
      </c>
      <c r="K57" s="16">
        <v>23</v>
      </c>
      <c r="L57" s="204">
        <f t="shared" si="8"/>
        <v>563.16</v>
      </c>
      <c r="M57" s="149">
        <f t="shared" si="6"/>
        <v>24.485217391304346</v>
      </c>
      <c r="N57" s="267">
        <f t="shared" si="3"/>
        <v>0.65019760189834275</v>
      </c>
      <c r="O57" s="149">
        <f t="shared" si="4"/>
        <v>24.484637609471122</v>
      </c>
      <c r="P57" s="149">
        <f t="shared" si="7"/>
        <v>563.14666501783586</v>
      </c>
      <c r="R57" s="228">
        <v>20</v>
      </c>
      <c r="S57" s="384">
        <f>SQRT(12*32.2*M54^2/(4*$Q$6*($Q$5*56)*$Q$4^2))*S49</f>
        <v>0.617204306190269</v>
      </c>
      <c r="T57" s="259">
        <f t="shared" si="13"/>
        <v>23.242201638320605</v>
      </c>
      <c r="U57" s="383">
        <f t="shared" si="14"/>
        <v>464.84403276641211</v>
      </c>
    </row>
    <row r="58" spans="1:21" ht="14.1" customHeight="1" x14ac:dyDescent="0.2">
      <c r="B58" s="16">
        <v>24</v>
      </c>
      <c r="C58" s="238">
        <f t="shared" si="5"/>
        <v>669.47199999999998</v>
      </c>
      <c r="E58" s="16">
        <v>24</v>
      </c>
      <c r="F58" s="204">
        <f t="shared" si="9"/>
        <v>589.98399999999992</v>
      </c>
      <c r="G58" s="204"/>
      <c r="H58" s="16">
        <v>24</v>
      </c>
      <c r="I58" s="149">
        <f t="shared" si="2"/>
        <v>79.488000000000056</v>
      </c>
      <c r="K58" s="16">
        <v>24</v>
      </c>
      <c r="L58" s="204">
        <f t="shared" si="8"/>
        <v>589.98399999999992</v>
      </c>
      <c r="M58" s="149">
        <f t="shared" si="6"/>
        <v>24.582666666666665</v>
      </c>
      <c r="N58" s="267">
        <f t="shared" si="3"/>
        <v>0.65278533816936368</v>
      </c>
      <c r="O58" s="149">
        <f t="shared" si="4"/>
        <v>24.582084577346492</v>
      </c>
      <c r="P58" s="149">
        <f t="shared" si="7"/>
        <v>589.97002985631582</v>
      </c>
      <c r="R58" s="228">
        <v>30</v>
      </c>
      <c r="S58" s="384">
        <f>SQRT(12*32.2*M64^2/(4*$Q$6*($Q$5*56)*$Q$4^2))*S49</f>
        <v>0.6426696261632705</v>
      </c>
      <c r="T58" s="259">
        <f t="shared" si="13"/>
        <v>24.201154930870047</v>
      </c>
      <c r="U58" s="383">
        <f t="shared" si="14"/>
        <v>726.03464792610134</v>
      </c>
    </row>
    <row r="59" spans="1:21" ht="14.1" customHeight="1" x14ac:dyDescent="0.2">
      <c r="B59" s="228">
        <v>25</v>
      </c>
      <c r="C59" s="238">
        <f t="shared" si="5"/>
        <v>696.93599999999992</v>
      </c>
      <c r="E59" s="16">
        <v>25</v>
      </c>
      <c r="F59" s="204">
        <f t="shared" si="9"/>
        <v>617.06399999999996</v>
      </c>
      <c r="G59" s="204"/>
      <c r="H59" s="16">
        <v>25</v>
      </c>
      <c r="I59" s="149">
        <f t="shared" si="2"/>
        <v>79.871999999999957</v>
      </c>
      <c r="K59" s="16">
        <v>25</v>
      </c>
      <c r="L59" s="204">
        <f t="shared" si="8"/>
        <v>617.06399999999996</v>
      </c>
      <c r="M59" s="149">
        <f t="shared" si="6"/>
        <v>24.682559999999999</v>
      </c>
      <c r="N59" s="267">
        <f t="shared" si="3"/>
        <v>0.65543797566655138</v>
      </c>
      <c r="O59" s="149">
        <f t="shared" si="4"/>
        <v>24.681975545320395</v>
      </c>
      <c r="P59" s="149">
        <f t="shared" si="7"/>
        <v>617.04938863300981</v>
      </c>
      <c r="R59" s="385">
        <v>40</v>
      </c>
      <c r="S59" s="386">
        <f>SQRT(12*32.2*M74^2/(4*$Q$6*($Q$5*56)*$Q$4^2))*S49</f>
        <v>0.67171749382067436</v>
      </c>
      <c r="T59" s="311">
        <f t="shared" si="13"/>
        <v>25.295017028858236</v>
      </c>
      <c r="U59" s="308">
        <f t="shared" si="14"/>
        <v>1011.8006811543295</v>
      </c>
    </row>
    <row r="60" spans="1:21" ht="14.1" customHeight="1" x14ac:dyDescent="0.2">
      <c r="A60" s="158"/>
      <c r="B60" s="239">
        <v>26</v>
      </c>
      <c r="C60" s="240">
        <f t="shared" si="5"/>
        <v>724.4</v>
      </c>
      <c r="D60" s="159"/>
      <c r="E60" s="239">
        <v>26</v>
      </c>
      <c r="F60" s="241">
        <f t="shared" si="9"/>
        <v>644.4</v>
      </c>
      <c r="G60" s="241"/>
      <c r="H60" s="239">
        <v>26</v>
      </c>
      <c r="I60" s="246">
        <f t="shared" si="2"/>
        <v>80</v>
      </c>
      <c r="J60" s="159"/>
      <c r="K60" s="239">
        <v>26</v>
      </c>
      <c r="L60" s="204">
        <f t="shared" si="8"/>
        <v>644.4</v>
      </c>
      <c r="M60" s="259">
        <f t="shared" si="6"/>
        <v>24.784615384615385</v>
      </c>
      <c r="N60" s="267">
        <f t="shared" si="3"/>
        <v>0.65814802578688647</v>
      </c>
      <c r="O60" s="149">
        <f t="shared" si="4"/>
        <v>24.784028513381454</v>
      </c>
      <c r="P60" s="149">
        <f t="shared" si="7"/>
        <v>644.38474134791784</v>
      </c>
      <c r="R60" s="228">
        <v>50</v>
      </c>
      <c r="S60" s="384">
        <f>SQRT(12*32.2*M84^2/(4*$Q$6*($Q$5*56)*$Q$4^2))*S49</f>
        <v>0.70219838055183936</v>
      </c>
      <c r="T60" s="259">
        <f t="shared" si="13"/>
        <v>26.44284264902193</v>
      </c>
      <c r="U60" s="383">
        <f t="shared" si="14"/>
        <v>1322.1421324510966</v>
      </c>
    </row>
    <row r="61" spans="1:21" ht="14.1" customHeight="1" x14ac:dyDescent="0.2">
      <c r="B61" s="16">
        <v>27</v>
      </c>
      <c r="C61" s="238">
        <f t="shared" si="5"/>
        <v>751.86400000000003</v>
      </c>
      <c r="E61" s="16">
        <v>27</v>
      </c>
      <c r="F61" s="204">
        <f t="shared" si="9"/>
        <v>671.99199999999996</v>
      </c>
      <c r="G61" s="204"/>
      <c r="H61" s="16">
        <v>27</v>
      </c>
      <c r="I61" s="149">
        <f t="shared" si="2"/>
        <v>79.872000000000071</v>
      </c>
      <c r="K61" s="16">
        <v>27</v>
      </c>
      <c r="L61" s="204">
        <f t="shared" si="8"/>
        <v>671.99199999999996</v>
      </c>
      <c r="M61" s="149">
        <f t="shared" si="6"/>
        <v>24.888592592592591</v>
      </c>
      <c r="N61" s="267">
        <f t="shared" si="3"/>
        <v>0.66090910935001934</v>
      </c>
      <c r="O61" s="149">
        <f t="shared" si="4"/>
        <v>24.888003259297765</v>
      </c>
      <c r="P61" s="149">
        <f t="shared" si="7"/>
        <v>671.97608800103967</v>
      </c>
      <c r="R61" s="222"/>
    </row>
    <row r="62" spans="1:21" ht="14.1" customHeight="1" x14ac:dyDescent="0.2">
      <c r="B62" s="16">
        <v>28</v>
      </c>
      <c r="C62" s="238">
        <f t="shared" si="5"/>
        <v>779.32799999999997</v>
      </c>
      <c r="E62" s="16">
        <v>28</v>
      </c>
      <c r="F62" s="204">
        <f t="shared" si="9"/>
        <v>699.84</v>
      </c>
      <c r="G62" s="204"/>
      <c r="H62" s="16">
        <v>28</v>
      </c>
      <c r="I62" s="149">
        <f t="shared" si="2"/>
        <v>79.487999999999943</v>
      </c>
      <c r="K62" s="16">
        <v>28</v>
      </c>
      <c r="L62" s="204">
        <f t="shared" si="8"/>
        <v>699.84</v>
      </c>
      <c r="M62" s="149">
        <f t="shared" si="6"/>
        <v>24.994285714285716</v>
      </c>
      <c r="N62" s="267">
        <f t="shared" si="3"/>
        <v>0.66371575848707887</v>
      </c>
      <c r="O62" s="149">
        <f t="shared" si="4"/>
        <v>24.993693878299126</v>
      </c>
      <c r="P62" s="149">
        <f t="shared" si="7"/>
        <v>699.82342859237554</v>
      </c>
    </row>
    <row r="63" spans="1:21" ht="14.1" customHeight="1" x14ac:dyDescent="0.2">
      <c r="B63" s="16">
        <v>29</v>
      </c>
      <c r="C63" s="238">
        <f t="shared" si="5"/>
        <v>806.79199999999992</v>
      </c>
      <c r="E63" s="16">
        <v>29</v>
      </c>
      <c r="F63" s="204">
        <f t="shared" si="9"/>
        <v>727.94399999999996</v>
      </c>
      <c r="G63" s="204"/>
      <c r="H63" s="16">
        <v>29</v>
      </c>
      <c r="I63" s="149">
        <f t="shared" si="2"/>
        <v>78.847999999999956</v>
      </c>
      <c r="K63" s="16">
        <v>29</v>
      </c>
      <c r="L63" s="204">
        <f t="shared" si="8"/>
        <v>727.94399999999996</v>
      </c>
      <c r="M63" s="149">
        <f t="shared" si="6"/>
        <v>25.101517241379309</v>
      </c>
      <c r="N63" s="267">
        <f t="shared" si="3"/>
        <v>0.66656325951800344</v>
      </c>
      <c r="O63" s="149">
        <f t="shared" si="4"/>
        <v>25.100922866273283</v>
      </c>
      <c r="P63" s="149">
        <f t="shared" si="7"/>
        <v>727.92676312192521</v>
      </c>
    </row>
    <row r="64" spans="1:21" ht="14.1" customHeight="1" x14ac:dyDescent="0.2">
      <c r="B64" s="16">
        <v>30</v>
      </c>
      <c r="C64" s="238">
        <f t="shared" si="5"/>
        <v>834.25599999999997</v>
      </c>
      <c r="E64" s="16">
        <v>30</v>
      </c>
      <c r="F64" s="204">
        <f t="shared" si="9"/>
        <v>756.30400000000009</v>
      </c>
      <c r="G64" s="204"/>
      <c r="H64" s="16">
        <v>30</v>
      </c>
      <c r="I64" s="149">
        <f t="shared" si="2"/>
        <v>77.951999999999884</v>
      </c>
      <c r="K64" s="261">
        <v>30</v>
      </c>
      <c r="L64" s="262">
        <f t="shared" si="8"/>
        <v>756.30400000000009</v>
      </c>
      <c r="M64" s="263">
        <f t="shared" si="6"/>
        <v>25.210133333333335</v>
      </c>
      <c r="N64" s="266">
        <f t="shared" si="3"/>
        <v>0.66944752725340684</v>
      </c>
      <c r="O64" s="263">
        <f t="shared" si="4"/>
        <v>25.20953638632297</v>
      </c>
      <c r="P64" s="263">
        <f t="shared" si="7"/>
        <v>756.28609158968914</v>
      </c>
    </row>
    <row r="65" spans="2:16" ht="14.1" customHeight="1" x14ac:dyDescent="0.2">
      <c r="B65" s="16">
        <v>31</v>
      </c>
      <c r="C65" s="238">
        <f t="shared" si="5"/>
        <v>861.72</v>
      </c>
      <c r="E65" s="16">
        <v>31</v>
      </c>
      <c r="F65" s="204">
        <f t="shared" si="9"/>
        <v>784.92000000000007</v>
      </c>
      <c r="G65" s="204"/>
      <c r="H65" s="16">
        <v>31</v>
      </c>
      <c r="I65" s="149">
        <f t="shared" si="2"/>
        <v>76.799999999999955</v>
      </c>
      <c r="K65" s="16">
        <v>31</v>
      </c>
      <c r="L65" s="204">
        <f t="shared" si="8"/>
        <v>784.92000000000007</v>
      </c>
      <c r="M65" s="149">
        <f t="shared" si="6"/>
        <v>25.320000000000004</v>
      </c>
      <c r="N65" s="267">
        <f t="shared" si="3"/>
        <v>0.67236500362511353</v>
      </c>
      <c r="O65" s="149">
        <f t="shared" si="4"/>
        <v>25.319400451473118</v>
      </c>
      <c r="P65" s="149">
        <f t="shared" si="7"/>
        <v>784.90141399566664</v>
      </c>
    </row>
    <row r="66" spans="2:16" ht="14.1" customHeight="1" x14ac:dyDescent="0.2">
      <c r="B66" s="16">
        <v>32</v>
      </c>
      <c r="C66" s="238">
        <f t="shared" si="5"/>
        <v>889.18399999999997</v>
      </c>
      <c r="E66" s="16">
        <v>32</v>
      </c>
      <c r="F66" s="204">
        <f t="shared" si="9"/>
        <v>813.79200000000003</v>
      </c>
      <c r="G66" s="204"/>
      <c r="H66" s="16">
        <v>32</v>
      </c>
      <c r="I66" s="149">
        <f t="shared" si="2"/>
        <v>75.391999999999939</v>
      </c>
      <c r="K66" s="16">
        <v>32</v>
      </c>
      <c r="L66" s="204">
        <f t="shared" si="8"/>
        <v>813.79200000000003</v>
      </c>
      <c r="M66" s="149">
        <f t="shared" si="6"/>
        <v>25.431000000000001</v>
      </c>
      <c r="N66" s="267">
        <f t="shared" si="3"/>
        <v>0.67531257532347</v>
      </c>
      <c r="O66" s="149">
        <f t="shared" si="4"/>
        <v>25.430397823120572</v>
      </c>
      <c r="P66" s="149">
        <f t="shared" si="7"/>
        <v>813.7727303398583</v>
      </c>
    </row>
    <row r="67" spans="2:16" ht="14.1" customHeight="1" x14ac:dyDescent="0.2">
      <c r="B67" s="16">
        <v>33</v>
      </c>
      <c r="C67" s="238">
        <f t="shared" si="5"/>
        <v>916.64799999999991</v>
      </c>
      <c r="E67" s="16">
        <v>33</v>
      </c>
      <c r="F67" s="204">
        <f t="shared" si="9"/>
        <v>842.92</v>
      </c>
      <c r="G67" s="204"/>
      <c r="H67" s="16">
        <v>33</v>
      </c>
      <c r="I67" s="149">
        <f t="shared" si="2"/>
        <v>73.727999999999952</v>
      </c>
      <c r="K67" s="16">
        <v>33</v>
      </c>
      <c r="L67" s="204">
        <f t="shared" si="8"/>
        <v>842.92</v>
      </c>
      <c r="M67" s="149">
        <f t="shared" si="6"/>
        <v>25.543030303030303</v>
      </c>
      <c r="N67" s="267">
        <f t="shared" si="3"/>
        <v>0.67828750640969004</v>
      </c>
      <c r="O67" s="149">
        <f t="shared" si="4"/>
        <v>25.542425473401934</v>
      </c>
      <c r="P67" s="149">
        <f t="shared" si="7"/>
        <v>842.90004062226387</v>
      </c>
    </row>
    <row r="68" spans="2:16" ht="14.1" customHeight="1" x14ac:dyDescent="0.2">
      <c r="B68" s="16">
        <v>34</v>
      </c>
      <c r="C68" s="238">
        <f t="shared" si="5"/>
        <v>944.11199999999997</v>
      </c>
      <c r="E68" s="16">
        <v>34</v>
      </c>
      <c r="F68" s="204">
        <f t="shared" si="9"/>
        <v>872.30399999999997</v>
      </c>
      <c r="G68" s="204"/>
      <c r="H68" s="16">
        <v>34</v>
      </c>
      <c r="I68" s="149">
        <f t="shared" si="2"/>
        <v>71.807999999999993</v>
      </c>
      <c r="K68" s="16">
        <v>34</v>
      </c>
      <c r="L68" s="204">
        <f t="shared" si="8"/>
        <v>872.30399999999997</v>
      </c>
      <c r="M68" s="149">
        <f t="shared" si="6"/>
        <v>25.655999999999999</v>
      </c>
      <c r="N68" s="267">
        <f t="shared" si="3"/>
        <v>0.68128738282013868</v>
      </c>
      <c r="O68" s="149">
        <f t="shared" si="4"/>
        <v>25.655392495378923</v>
      </c>
      <c r="P68" s="149">
        <f t="shared" si="7"/>
        <v>872.28334484288337</v>
      </c>
    </row>
    <row r="69" spans="2:16" ht="14.1" customHeight="1" x14ac:dyDescent="0.2">
      <c r="B69" s="16">
        <v>35</v>
      </c>
      <c r="C69" s="238">
        <f t="shared" si="5"/>
        <v>971.57600000000002</v>
      </c>
      <c r="E69" s="16">
        <v>35</v>
      </c>
      <c r="F69" s="204">
        <f t="shared" si="9"/>
        <v>901.94400000000007</v>
      </c>
      <c r="G69" s="204"/>
      <c r="H69" s="16">
        <v>35</v>
      </c>
      <c r="I69" s="149">
        <f t="shared" si="2"/>
        <v>69.631999999999948</v>
      </c>
      <c r="K69" s="16">
        <v>35</v>
      </c>
      <c r="L69" s="204">
        <f t="shared" si="8"/>
        <v>901.94400000000007</v>
      </c>
      <c r="M69" s="149">
        <f t="shared" si="6"/>
        <v>25.769828571428572</v>
      </c>
      <c r="N69" s="267">
        <f t="shared" si="3"/>
        <v>0.68431006638416769</v>
      </c>
      <c r="O69" s="149">
        <f t="shared" si="4"/>
        <v>25.769218371477631</v>
      </c>
      <c r="P69" s="149">
        <f t="shared" si="7"/>
        <v>901.92264300171712</v>
      </c>
    </row>
    <row r="70" spans="2:16" ht="14.1" customHeight="1" x14ac:dyDescent="0.2">
      <c r="B70" s="16">
        <v>36</v>
      </c>
      <c r="C70" s="238">
        <f t="shared" si="5"/>
        <v>999.04</v>
      </c>
      <c r="E70" s="16">
        <v>36</v>
      </c>
      <c r="F70" s="204">
        <f t="shared" si="9"/>
        <v>931.84</v>
      </c>
      <c r="G70" s="204"/>
      <c r="H70" s="16">
        <v>36</v>
      </c>
      <c r="I70" s="149">
        <f t="shared" si="2"/>
        <v>67.199999999999932</v>
      </c>
      <c r="K70" s="16">
        <v>36</v>
      </c>
      <c r="L70" s="204">
        <f t="shared" si="8"/>
        <v>931.84</v>
      </c>
      <c r="M70" s="149">
        <f t="shared" si="6"/>
        <v>25.884444444444444</v>
      </c>
      <c r="N70" s="267">
        <f t="shared" si="3"/>
        <v>0.68735365650564517</v>
      </c>
      <c r="O70" s="149">
        <f t="shared" si="4"/>
        <v>25.883831530521231</v>
      </c>
      <c r="P70" s="149">
        <f t="shared" si="7"/>
        <v>931.81793509876434</v>
      </c>
    </row>
    <row r="71" spans="2:16" ht="14.1" customHeight="1" x14ac:dyDescent="0.2">
      <c r="B71" s="16">
        <v>37</v>
      </c>
      <c r="C71" s="238">
        <f t="shared" si="5"/>
        <v>1026.5039999999999</v>
      </c>
      <c r="E71" s="16">
        <v>37</v>
      </c>
      <c r="F71" s="204">
        <f t="shared" si="9"/>
        <v>961.99199999999996</v>
      </c>
      <c r="G71" s="204"/>
      <c r="H71" s="16">
        <v>37</v>
      </c>
      <c r="I71" s="149">
        <f t="shared" si="2"/>
        <v>64.511999999999944</v>
      </c>
      <c r="K71" s="16">
        <v>37</v>
      </c>
      <c r="L71" s="204">
        <f t="shared" si="8"/>
        <v>961.99199999999996</v>
      </c>
      <c r="M71" s="149">
        <f t="shared" si="6"/>
        <v>25.999783783783784</v>
      </c>
      <c r="N71" s="267">
        <f t="shared" si="3"/>
        <v>0.69041645805829188</v>
      </c>
      <c r="O71" s="149">
        <f t="shared" si="4"/>
        <v>25.999168138757451</v>
      </c>
      <c r="P71" s="149">
        <f t="shared" si="7"/>
        <v>961.9692211340257</v>
      </c>
    </row>
    <row r="72" spans="2:16" ht="14.1" customHeight="1" x14ac:dyDescent="0.2">
      <c r="B72" s="16">
        <v>38</v>
      </c>
      <c r="C72" s="238">
        <f t="shared" si="5"/>
        <v>1053.9680000000001</v>
      </c>
      <c r="E72" s="16">
        <v>38</v>
      </c>
      <c r="F72" s="204">
        <f t="shared" si="9"/>
        <v>992.4</v>
      </c>
      <c r="G72" s="204"/>
      <c r="H72" s="16">
        <v>38</v>
      </c>
      <c r="I72" s="149">
        <f t="shared" si="2"/>
        <v>61.568000000000097</v>
      </c>
      <c r="K72" s="16">
        <v>38</v>
      </c>
      <c r="L72" s="204">
        <f t="shared" si="8"/>
        <v>992.4</v>
      </c>
      <c r="M72" s="149">
        <f t="shared" si="6"/>
        <v>26.11578947368421</v>
      </c>
      <c r="N72" s="267">
        <f t="shared" si="3"/>
        <v>0.69349695435017311</v>
      </c>
      <c r="O72" s="149">
        <f t="shared" si="4"/>
        <v>26.115171081776339</v>
      </c>
      <c r="P72" s="149">
        <f t="shared" si="7"/>
        <v>992.37650110750087</v>
      </c>
    </row>
    <row r="73" spans="2:16" ht="14.1" customHeight="1" x14ac:dyDescent="0.2">
      <c r="B73" s="16">
        <v>39</v>
      </c>
      <c r="C73" s="238">
        <f t="shared" si="5"/>
        <v>1081.432</v>
      </c>
      <c r="E73" s="16">
        <v>39</v>
      </c>
      <c r="F73" s="204">
        <f t="shared" si="9"/>
        <v>1023.0640000000001</v>
      </c>
      <c r="G73" s="204"/>
      <c r="H73" s="16">
        <v>39</v>
      </c>
      <c r="I73" s="149">
        <f t="shared" si="2"/>
        <v>58.367999999999938</v>
      </c>
      <c r="K73" s="16">
        <v>39</v>
      </c>
      <c r="L73" s="204">
        <f t="shared" si="8"/>
        <v>1023.0640000000001</v>
      </c>
      <c r="M73" s="149">
        <f t="shared" si="6"/>
        <v>26.232410256410258</v>
      </c>
      <c r="N73" s="267">
        <f t="shared" si="3"/>
        <v>0.69659378424750185</v>
      </c>
      <c r="O73" s="149">
        <f t="shared" si="4"/>
        <v>26.231789103056162</v>
      </c>
      <c r="P73" s="149">
        <f t="shared" si="7"/>
        <v>1023.0397750191903</v>
      </c>
    </row>
    <row r="74" spans="2:16" ht="14.1" customHeight="1" x14ac:dyDescent="0.2">
      <c r="B74" s="16">
        <v>40</v>
      </c>
      <c r="C74" s="238">
        <f t="shared" si="5"/>
        <v>1108.896</v>
      </c>
      <c r="E74" s="16">
        <v>40</v>
      </c>
      <c r="F74" s="204">
        <f t="shared" si="9"/>
        <v>1053.9839999999999</v>
      </c>
      <c r="G74" s="204"/>
      <c r="H74" s="16">
        <v>40</v>
      </c>
      <c r="I74" s="149">
        <f t="shared" si="2"/>
        <v>54.912000000000035</v>
      </c>
      <c r="K74" s="261">
        <v>40</v>
      </c>
      <c r="L74" s="262">
        <f t="shared" si="8"/>
        <v>1053.9839999999999</v>
      </c>
      <c r="M74" s="263">
        <f t="shared" si="6"/>
        <v>26.349599999999999</v>
      </c>
      <c r="N74" s="266">
        <f t="shared" si="3"/>
        <v>0.6997057227298692</v>
      </c>
      <c r="O74" s="263">
        <f t="shared" si="4"/>
        <v>26.348976071727332</v>
      </c>
      <c r="P74" s="263">
        <f t="shared" si="7"/>
        <v>1053.9590428690933</v>
      </c>
    </row>
    <row r="75" spans="2:16" ht="14.1" customHeight="1" x14ac:dyDescent="0.2">
      <c r="B75" s="16">
        <v>41</v>
      </c>
      <c r="C75" s="238">
        <f t="shared" si="5"/>
        <v>1136.3599999999999</v>
      </c>
      <c r="E75" s="16">
        <v>41</v>
      </c>
      <c r="F75" s="204">
        <f t="shared" si="9"/>
        <v>1085.1599999999999</v>
      </c>
      <c r="G75" s="204"/>
      <c r="H75" s="16">
        <v>41</v>
      </c>
      <c r="I75" s="149">
        <f t="shared" si="2"/>
        <v>51.200000000000045</v>
      </c>
      <c r="K75" s="16">
        <v>41</v>
      </c>
      <c r="L75" s="204">
        <f t="shared" si="8"/>
        <v>1085.1599999999999</v>
      </c>
      <c r="M75" s="149">
        <f t="shared" si="6"/>
        <v>26.467317073170729</v>
      </c>
      <c r="N75" s="267">
        <f t="shared" si="3"/>
        <v>0.70283166429105315</v>
      </c>
      <c r="O75" s="149">
        <f t="shared" si="4"/>
        <v>26.466690357492936</v>
      </c>
      <c r="P75" s="149">
        <f t="shared" si="7"/>
        <v>1085.1343046572104</v>
      </c>
    </row>
    <row r="76" spans="2:16" ht="14.1" customHeight="1" x14ac:dyDescent="0.2">
      <c r="B76" s="16">
        <v>42</v>
      </c>
      <c r="C76" s="238">
        <f t="shared" si="5"/>
        <v>1163.8239999999998</v>
      </c>
      <c r="E76" s="16">
        <v>42</v>
      </c>
      <c r="F76" s="204">
        <f t="shared" si="9"/>
        <v>1116.5919999999999</v>
      </c>
      <c r="G76" s="204"/>
      <c r="H76" s="16">
        <v>42</v>
      </c>
      <c r="I76" s="149">
        <f t="shared" si="2"/>
        <v>47.231999999999971</v>
      </c>
      <c r="K76" s="16">
        <v>42</v>
      </c>
      <c r="L76" s="204">
        <f t="shared" si="8"/>
        <v>1116.5919999999999</v>
      </c>
      <c r="M76" s="149">
        <f t="shared" si="6"/>
        <v>26.585523809523806</v>
      </c>
      <c r="N76" s="267">
        <f t="shared" si="3"/>
        <v>0.70597060871113804</v>
      </c>
      <c r="O76" s="149">
        <f t="shared" si="4"/>
        <v>26.584894294846226</v>
      </c>
      <c r="P76" s="149">
        <f t="shared" si="7"/>
        <v>1116.5655603835414</v>
      </c>
    </row>
    <row r="77" spans="2:16" ht="14.1" customHeight="1" x14ac:dyDescent="0.2">
      <c r="B77" s="16">
        <v>43</v>
      </c>
      <c r="C77" s="238">
        <f t="shared" si="5"/>
        <v>1191.288</v>
      </c>
      <c r="E77" s="16">
        <v>43</v>
      </c>
      <c r="F77" s="204">
        <f t="shared" si="9"/>
        <v>1148.2799999999997</v>
      </c>
      <c r="G77" s="204"/>
      <c r="H77" s="16">
        <v>43</v>
      </c>
      <c r="I77" s="149">
        <f t="shared" si="2"/>
        <v>43.008000000000266</v>
      </c>
      <c r="K77" s="16">
        <v>43</v>
      </c>
      <c r="L77" s="204">
        <f t="shared" si="8"/>
        <v>1148.2799999999997</v>
      </c>
      <c r="M77" s="149">
        <f t="shared" si="6"/>
        <v>26.704186046511623</v>
      </c>
      <c r="N77" s="267">
        <f t="shared" si="3"/>
        <v>0.70912164881392148</v>
      </c>
      <c r="O77" s="149">
        <f t="shared" si="4"/>
        <v>26.703553722048525</v>
      </c>
      <c r="P77" s="149">
        <f t="shared" si="7"/>
        <v>1148.2528100480865</v>
      </c>
    </row>
    <row r="78" spans="2:16" ht="14.1" customHeight="1" x14ac:dyDescent="0.2">
      <c r="B78" s="16">
        <v>44</v>
      </c>
      <c r="C78" s="238">
        <f t="shared" si="5"/>
        <v>1218.752</v>
      </c>
      <c r="E78" s="16">
        <v>44</v>
      </c>
      <c r="F78" s="204">
        <f t="shared" si="9"/>
        <v>1180.2239999999999</v>
      </c>
      <c r="G78" s="204"/>
      <c r="H78" s="16">
        <v>44</v>
      </c>
      <c r="I78" s="149">
        <f t="shared" si="2"/>
        <v>38.52800000000002</v>
      </c>
      <c r="K78" s="16">
        <v>44</v>
      </c>
      <c r="L78" s="204">
        <f t="shared" si="8"/>
        <v>1180.2239999999999</v>
      </c>
      <c r="M78" s="149">
        <f t="shared" si="6"/>
        <v>26.823272727272727</v>
      </c>
      <c r="N78" s="267">
        <f t="shared" si="3"/>
        <v>0.71228395989376514</v>
      </c>
      <c r="O78" s="149">
        <f t="shared" si="4"/>
        <v>26.822637582973766</v>
      </c>
      <c r="P78" s="149">
        <f t="shared" si="7"/>
        <v>1180.1960536508457</v>
      </c>
    </row>
    <row r="79" spans="2:16" ht="14.1" customHeight="1" x14ac:dyDescent="0.2">
      <c r="B79" s="16">
        <v>45</v>
      </c>
      <c r="C79" s="238">
        <f t="shared" si="5"/>
        <v>1246.2159999999999</v>
      </c>
      <c r="E79" s="16">
        <v>45</v>
      </c>
      <c r="F79" s="204">
        <f t="shared" si="9"/>
        <v>1212.424</v>
      </c>
      <c r="G79" s="204"/>
      <c r="H79" s="16">
        <v>45</v>
      </c>
      <c r="I79" s="149">
        <f t="shared" si="2"/>
        <v>33.791999999999916</v>
      </c>
      <c r="K79" s="16">
        <v>45</v>
      </c>
      <c r="L79" s="204">
        <f t="shared" si="8"/>
        <v>1212.424</v>
      </c>
      <c r="M79" s="149">
        <f t="shared" si="6"/>
        <v>26.942755555555554</v>
      </c>
      <c r="N79" s="267">
        <f t="shared" si="3"/>
        <v>0.71545679055219813</v>
      </c>
      <c r="O79" s="149">
        <f t="shared" si="4"/>
        <v>26.94211758204041</v>
      </c>
      <c r="P79" s="149">
        <f t="shared" si="7"/>
        <v>1212.3952911918184</v>
      </c>
    </row>
    <row r="80" spans="2:16" ht="14.1" customHeight="1" x14ac:dyDescent="0.2">
      <c r="B80" s="16">
        <v>46</v>
      </c>
      <c r="C80" s="238">
        <f t="shared" si="5"/>
        <v>1273.68</v>
      </c>
      <c r="E80" s="16">
        <v>46</v>
      </c>
      <c r="F80" s="204">
        <f t="shared" si="9"/>
        <v>1244.8799999999999</v>
      </c>
      <c r="G80" s="204"/>
      <c r="H80" s="16">
        <v>46</v>
      </c>
      <c r="I80" s="149">
        <f t="shared" si="2"/>
        <v>28.800000000000182</v>
      </c>
      <c r="K80" s="16">
        <v>46</v>
      </c>
      <c r="L80" s="204">
        <f t="shared" si="8"/>
        <v>1244.8799999999999</v>
      </c>
      <c r="M80" s="149">
        <f t="shared" si="6"/>
        <v>27.06260869565217</v>
      </c>
      <c r="N80" s="267">
        <f t="shared" si="3"/>
        <v>0.71863945472974722</v>
      </c>
      <c r="O80" s="149">
        <f t="shared" si="4"/>
        <v>27.061967884152292</v>
      </c>
      <c r="P80" s="149">
        <f t="shared" si="7"/>
        <v>1244.8505226710054</v>
      </c>
    </row>
    <row r="81" spans="2:16" ht="14.1" customHeight="1" x14ac:dyDescent="0.2">
      <c r="B81" s="16">
        <v>47</v>
      </c>
      <c r="C81" s="238">
        <f t="shared" si="5"/>
        <v>1301.144</v>
      </c>
      <c r="E81" s="16">
        <v>47</v>
      </c>
      <c r="F81" s="204">
        <f t="shared" si="9"/>
        <v>1277.5919999999999</v>
      </c>
      <c r="G81" s="204"/>
      <c r="H81" s="16">
        <v>47</v>
      </c>
      <c r="I81" s="149">
        <f t="shared" si="2"/>
        <v>23.552000000000135</v>
      </c>
      <c r="K81" s="16">
        <v>47</v>
      </c>
      <c r="L81" s="204">
        <f t="shared" si="8"/>
        <v>1277.5919999999999</v>
      </c>
      <c r="M81" s="149">
        <f t="shared" si="6"/>
        <v>27.182808510638296</v>
      </c>
      <c r="N81" s="267">
        <f t="shared" si="3"/>
        <v>0.72183132475497958</v>
      </c>
      <c r="O81" s="149">
        <f t="shared" si="4"/>
        <v>27.182164852944808</v>
      </c>
      <c r="P81" s="149">
        <f t="shared" si="7"/>
        <v>1277.5617480884059</v>
      </c>
    </row>
    <row r="82" spans="2:16" ht="14.1" customHeight="1" x14ac:dyDescent="0.2">
      <c r="B82" s="16">
        <v>48</v>
      </c>
      <c r="C82" s="238">
        <f t="shared" si="5"/>
        <v>1328.6079999999999</v>
      </c>
      <c r="E82" s="16">
        <v>48</v>
      </c>
      <c r="F82" s="204">
        <f t="shared" si="9"/>
        <v>1310.5599999999997</v>
      </c>
      <c r="G82" s="204"/>
      <c r="H82" s="16">
        <v>48</v>
      </c>
      <c r="I82" s="149">
        <f t="shared" si="2"/>
        <v>18.048000000000229</v>
      </c>
      <c r="K82" s="16">
        <v>48</v>
      </c>
      <c r="L82" s="204">
        <f t="shared" si="8"/>
        <v>1310.5599999999997</v>
      </c>
      <c r="M82" s="149">
        <f t="shared" si="6"/>
        <v>27.303333333333327</v>
      </c>
      <c r="N82" s="267">
        <f t="shared" si="3"/>
        <v>0.72503182526241483</v>
      </c>
      <c r="O82" s="149">
        <f t="shared" si="4"/>
        <v>27.302686821750431</v>
      </c>
      <c r="P82" s="149">
        <f t="shared" si="7"/>
        <v>1310.5289674440207</v>
      </c>
    </row>
    <row r="83" spans="2:16" ht="14.1" customHeight="1" x14ac:dyDescent="0.2">
      <c r="B83" s="16">
        <v>49</v>
      </c>
      <c r="C83" s="238">
        <f t="shared" si="5"/>
        <v>1356.0719999999999</v>
      </c>
      <c r="E83" s="16">
        <v>49</v>
      </c>
      <c r="F83" s="204">
        <f t="shared" si="9"/>
        <v>1343.7839999999999</v>
      </c>
      <c r="G83" s="204"/>
      <c r="H83" s="16">
        <v>49</v>
      </c>
      <c r="I83" s="149">
        <f t="shared" si="2"/>
        <v>12.288000000000011</v>
      </c>
      <c r="K83" s="16">
        <v>49</v>
      </c>
      <c r="L83" s="204">
        <f t="shared" si="8"/>
        <v>1343.7839999999999</v>
      </c>
      <c r="M83" s="149">
        <f t="shared" si="6"/>
        <v>27.42416326530612</v>
      </c>
      <c r="N83" s="267">
        <f t="shared" si="3"/>
        <v>0.72824042785518384</v>
      </c>
      <c r="O83" s="149">
        <f t="shared" si="4"/>
        <v>27.423513892609179</v>
      </c>
      <c r="P83" s="149">
        <f t="shared" si="7"/>
        <v>1343.7521807378498</v>
      </c>
    </row>
    <row r="84" spans="2:16" ht="14.1" customHeight="1" x14ac:dyDescent="0.2">
      <c r="B84" s="16">
        <v>50</v>
      </c>
      <c r="C84" s="238">
        <f t="shared" si="5"/>
        <v>1383.5359999999998</v>
      </c>
      <c r="E84" s="16">
        <v>50</v>
      </c>
      <c r="F84" s="204">
        <f t="shared" si="9"/>
        <v>1377.2639999999997</v>
      </c>
      <c r="G84" s="204"/>
      <c r="H84" s="16">
        <v>50</v>
      </c>
      <c r="I84" s="149">
        <f t="shared" si="2"/>
        <v>6.2720000000001619</v>
      </c>
      <c r="K84" s="261">
        <v>50</v>
      </c>
      <c r="L84" s="262">
        <f t="shared" si="8"/>
        <v>1377.2639999999997</v>
      </c>
      <c r="M84" s="263">
        <f t="shared" si="6"/>
        <v>27.545279999999995</v>
      </c>
      <c r="N84" s="266">
        <f t="shared" si="3"/>
        <v>0.73145664640816599</v>
      </c>
      <c r="O84" s="263">
        <f t="shared" si="4"/>
        <v>27.544627759397841</v>
      </c>
      <c r="P84" s="263">
        <f t="shared" si="7"/>
        <v>1377.231387969892</v>
      </c>
    </row>
    <row r="85" spans="2:16" ht="14.1" customHeight="1" x14ac:dyDescent="0.2">
      <c r="B85" s="16">
        <v>51</v>
      </c>
      <c r="C85" s="238">
        <f t="shared" si="5"/>
        <v>1411</v>
      </c>
      <c r="E85" s="16">
        <v>51</v>
      </c>
      <c r="F85" s="204">
        <f t="shared" si="9"/>
        <v>1411</v>
      </c>
      <c r="G85" s="204"/>
      <c r="H85" s="16">
        <v>51</v>
      </c>
      <c r="I85" s="149">
        <f>C85-F85</f>
        <v>0</v>
      </c>
      <c r="K85" s="16">
        <v>51</v>
      </c>
      <c r="L85" s="204">
        <f t="shared" si="8"/>
        <v>1411</v>
      </c>
      <c r="M85" s="149">
        <f t="shared" si="6"/>
        <v>27.666666666666668</v>
      </c>
      <c r="N85" s="267">
        <f t="shared" si="3"/>
        <v>0.7346800329237021</v>
      </c>
      <c r="O85" s="149">
        <f t="shared" si="4"/>
        <v>27.666011551767625</v>
      </c>
      <c r="P85" s="149">
        <f t="shared" si="7"/>
        <v>1410.9665891401489</v>
      </c>
    </row>
    <row r="86" spans="2:16" ht="14.1" customHeight="1" x14ac:dyDescent="0.2">
      <c r="E86" s="16"/>
    </row>
    <row r="87" spans="2:16" ht="14.1" customHeight="1" x14ac:dyDescent="0.2">
      <c r="E87" s="16"/>
      <c r="F87" s="276"/>
    </row>
    <row r="88" spans="2:16" ht="14.1" customHeight="1" x14ac:dyDescent="0.2">
      <c r="E88" s="16"/>
    </row>
    <row r="89" spans="2:16" ht="14.1" customHeight="1" x14ac:dyDescent="0.2">
      <c r="E89" s="16"/>
    </row>
    <row r="90" spans="2:16" ht="14.1" customHeight="1" x14ac:dyDescent="0.2">
      <c r="E90" s="16"/>
    </row>
    <row r="91" spans="2:16" ht="14.1" customHeight="1" x14ac:dyDescent="0.2">
      <c r="B91" s="1" t="s">
        <v>286</v>
      </c>
      <c r="E91" s="16"/>
      <c r="F91" s="1" t="s">
        <v>287</v>
      </c>
      <c r="J91" s="1" t="s">
        <v>288</v>
      </c>
      <c r="N91" s="1" t="s">
        <v>289</v>
      </c>
    </row>
    <row r="92" spans="2:16" ht="14.1" customHeight="1" x14ac:dyDescent="0.2">
      <c r="B92" s="317">
        <v>0.67725106842238925</v>
      </c>
      <c r="C92" s="331" t="s">
        <v>199</v>
      </c>
      <c r="D92" s="318">
        <v>51</v>
      </c>
      <c r="E92" s="16"/>
      <c r="F92" s="317">
        <v>0.67719795902241908</v>
      </c>
      <c r="G92" s="332" t="s">
        <v>202</v>
      </c>
      <c r="H92" s="318">
        <v>51</v>
      </c>
      <c r="J92" s="317">
        <v>0.67719795902241531</v>
      </c>
      <c r="K92" s="11" t="s">
        <v>203</v>
      </c>
      <c r="L92" s="318">
        <v>51</v>
      </c>
      <c r="N92" s="317">
        <v>0.67719795902241697</v>
      </c>
      <c r="O92" s="11" t="s">
        <v>204</v>
      </c>
      <c r="P92" s="318">
        <v>51</v>
      </c>
    </row>
    <row r="93" spans="2:16" ht="14.1" customHeight="1" x14ac:dyDescent="0.2">
      <c r="B93" s="319">
        <v>0.55004343361331554</v>
      </c>
      <c r="C93" s="82" t="s">
        <v>284</v>
      </c>
      <c r="D93" s="320">
        <v>887</v>
      </c>
      <c r="E93" s="16"/>
      <c r="F93" s="319">
        <v>0.57226440656092603</v>
      </c>
      <c r="G93" s="16" t="s">
        <v>284</v>
      </c>
      <c r="H93" s="320">
        <v>940</v>
      </c>
      <c r="J93" s="319">
        <v>0.59616363654759941</v>
      </c>
      <c r="K93" s="16" t="s">
        <v>284</v>
      </c>
      <c r="L93" s="320">
        <v>997</v>
      </c>
      <c r="N93" s="319">
        <v>0.62006286653427456</v>
      </c>
      <c r="O93" s="16" t="s">
        <v>284</v>
      </c>
      <c r="P93" s="320">
        <v>1054</v>
      </c>
    </row>
    <row r="94" spans="2:16" ht="14.1" customHeight="1" x14ac:dyDescent="0.2">
      <c r="B94" s="319">
        <v>0.58885578311167519</v>
      </c>
      <c r="C94" s="9"/>
      <c r="D94" s="320">
        <v>-80</v>
      </c>
      <c r="E94" s="16"/>
      <c r="F94" s="319">
        <v>0.62406997076204107</v>
      </c>
      <c r="G94" s="9"/>
      <c r="H94" s="320">
        <v>-80</v>
      </c>
      <c r="J94" s="319">
        <v>0.66191041824094266</v>
      </c>
      <c r="K94" s="9"/>
      <c r="L94" s="320">
        <v>-80</v>
      </c>
      <c r="N94" s="319">
        <v>0.69975086571984413</v>
      </c>
      <c r="O94" s="9"/>
      <c r="P94" s="320">
        <v>-80</v>
      </c>
    </row>
    <row r="95" spans="2:16" ht="14.1" customHeight="1" x14ac:dyDescent="0.2">
      <c r="B95" s="321"/>
      <c r="C95" s="322"/>
      <c r="D95" s="323" t="s">
        <v>15</v>
      </c>
      <c r="E95" s="16"/>
      <c r="F95" s="321"/>
      <c r="G95" s="322"/>
      <c r="H95" s="323" t="s">
        <v>15</v>
      </c>
      <c r="J95" s="321"/>
      <c r="K95" s="322"/>
      <c r="L95" s="323" t="s">
        <v>15</v>
      </c>
      <c r="N95" s="321"/>
      <c r="O95" s="322"/>
      <c r="P95" s="323" t="s">
        <v>15</v>
      </c>
    </row>
    <row r="96" spans="2:16" ht="14.1" customHeight="1" x14ac:dyDescent="0.2">
      <c r="B96" s="321" t="s">
        <v>65</v>
      </c>
      <c r="C96" s="322" t="s">
        <v>12</v>
      </c>
      <c r="D96" s="323" t="s">
        <v>16</v>
      </c>
      <c r="E96" s="16"/>
      <c r="F96" s="321" t="s">
        <v>65</v>
      </c>
      <c r="G96" s="322" t="s">
        <v>12</v>
      </c>
      <c r="H96" s="323" t="s">
        <v>16</v>
      </c>
      <c r="J96" s="321" t="s">
        <v>65</v>
      </c>
      <c r="K96" s="322" t="s">
        <v>12</v>
      </c>
      <c r="L96" s="323" t="s">
        <v>16</v>
      </c>
      <c r="N96" s="321" t="s">
        <v>65</v>
      </c>
      <c r="O96" s="322" t="s">
        <v>12</v>
      </c>
      <c r="P96" s="323" t="s">
        <v>16</v>
      </c>
    </row>
    <row r="97" spans="2:17" ht="14.1" customHeight="1" x14ac:dyDescent="0.2">
      <c r="B97" s="191" t="s">
        <v>221</v>
      </c>
      <c r="C97" s="185">
        <v>0.77206621800152364</v>
      </c>
      <c r="D97" s="324">
        <v>29.07387154780341</v>
      </c>
      <c r="E97" s="382">
        <v>0.52</v>
      </c>
      <c r="F97" s="191" t="s">
        <v>221</v>
      </c>
      <c r="G97" s="185">
        <v>0.77200567328555769</v>
      </c>
      <c r="H97" s="324">
        <v>29.071591601791201</v>
      </c>
      <c r="I97" s="382">
        <v>0.54</v>
      </c>
      <c r="J97" s="191" t="s">
        <v>221</v>
      </c>
      <c r="K97" s="185">
        <v>0.77200567328555336</v>
      </c>
      <c r="L97" s="324">
        <v>29.071591601791038</v>
      </c>
      <c r="M97" s="382">
        <v>0.56000000000000005</v>
      </c>
      <c r="N97" s="191" t="s">
        <v>221</v>
      </c>
      <c r="O97" s="185">
        <v>0.77200567328555525</v>
      </c>
      <c r="P97" s="324">
        <v>29.071591601791109</v>
      </c>
      <c r="Q97" s="382">
        <v>0.56999999999999995</v>
      </c>
    </row>
    <row r="98" spans="2:17" ht="14.1" customHeight="1" x14ac:dyDescent="0.2">
      <c r="B98" s="325">
        <v>2</v>
      </c>
      <c r="C98" s="377">
        <v>0.67725106842238925</v>
      </c>
      <c r="D98" s="327">
        <v>51.006792189128795</v>
      </c>
      <c r="E98" s="382">
        <v>0.5</v>
      </c>
      <c r="F98" s="325">
        <v>2</v>
      </c>
      <c r="G98" s="377">
        <v>0.67719795902241908</v>
      </c>
      <c r="H98" s="327">
        <v>51.002792283844222</v>
      </c>
      <c r="I98" s="382">
        <v>0.53</v>
      </c>
      <c r="J98" s="325">
        <v>2</v>
      </c>
      <c r="K98" s="377">
        <v>0.67719795902241531</v>
      </c>
      <c r="L98" s="327">
        <v>51.002792283843938</v>
      </c>
      <c r="M98" s="382">
        <v>0.55000000000000004</v>
      </c>
      <c r="N98" s="325">
        <v>2</v>
      </c>
      <c r="O98" s="377">
        <v>0.67719795902241697</v>
      </c>
      <c r="P98" s="327">
        <v>51.002792283844059</v>
      </c>
      <c r="Q98" s="382">
        <v>0.57999999999999996</v>
      </c>
    </row>
    <row r="99" spans="2:17" ht="14.1" customHeight="1" x14ac:dyDescent="0.2">
      <c r="B99" s="191">
        <v>3</v>
      </c>
      <c r="C99" s="185">
        <v>0.60431415912972286</v>
      </c>
      <c r="D99" s="324">
        <v>68.2703833974318</v>
      </c>
      <c r="E99" s="382">
        <v>0.55000000000000004</v>
      </c>
      <c r="F99" s="191">
        <v>3</v>
      </c>
      <c r="G99" s="185">
        <v>0.61663553992285292</v>
      </c>
      <c r="H99" s="324">
        <v>69.66235043647012</v>
      </c>
      <c r="I99" s="382">
        <v>0.57999999999999996</v>
      </c>
      <c r="J99" s="191">
        <v>3</v>
      </c>
      <c r="K99" s="185">
        <v>0.6299128899154478</v>
      </c>
      <c r="L99" s="324">
        <v>71.162314918192223</v>
      </c>
      <c r="M99" s="382">
        <v>0.6</v>
      </c>
      <c r="N99" s="191">
        <v>3</v>
      </c>
      <c r="O99" s="185">
        <v>0.64319023990804569</v>
      </c>
      <c r="P99" s="324">
        <v>72.662279399914667</v>
      </c>
      <c r="Q99" s="382">
        <v>0.63</v>
      </c>
    </row>
    <row r="100" spans="2:17" ht="14.1" customHeight="1" x14ac:dyDescent="0.2">
      <c r="B100" s="191">
        <v>4</v>
      </c>
      <c r="C100" s="185">
        <v>0.56954520528244212</v>
      </c>
      <c r="D100" s="324">
        <v>85.789968543948746</v>
      </c>
      <c r="E100" s="143"/>
      <c r="F100" s="191">
        <v>4</v>
      </c>
      <c r="G100" s="185">
        <v>0.5880538311721224</v>
      </c>
      <c r="H100" s="324">
        <v>88.577902527310002</v>
      </c>
      <c r="I100" s="143"/>
      <c r="J100" s="191">
        <v>4</v>
      </c>
      <c r="K100" s="185">
        <v>0.6079698561610164</v>
      </c>
      <c r="L100" s="324">
        <v>91.577831490754463</v>
      </c>
      <c r="M100" s="143"/>
      <c r="N100" s="191">
        <v>4</v>
      </c>
      <c r="O100" s="185">
        <v>0.62788588114991262</v>
      </c>
      <c r="P100" s="324">
        <v>94.577760454199222</v>
      </c>
      <c r="Q100" s="143"/>
    </row>
    <row r="101" spans="2:17" ht="14.1" customHeight="1" x14ac:dyDescent="0.2">
      <c r="B101" s="325">
        <v>5</v>
      </c>
      <c r="C101" s="377">
        <v>0.55004343361331554</v>
      </c>
      <c r="D101" s="328">
        <v>103.56554762867961</v>
      </c>
      <c r="E101" s="143"/>
      <c r="F101" s="325">
        <v>5</v>
      </c>
      <c r="G101" s="377">
        <v>0.57226440656092603</v>
      </c>
      <c r="H101" s="328">
        <v>107.74944855636383</v>
      </c>
      <c r="I101" s="143"/>
      <c r="J101" s="325">
        <v>5</v>
      </c>
      <c r="K101" s="377">
        <v>0.59616363654759941</v>
      </c>
      <c r="L101" s="328">
        <v>112.24934200153059</v>
      </c>
      <c r="M101" s="143"/>
      <c r="N101" s="325">
        <v>5</v>
      </c>
      <c r="O101" s="377">
        <v>0.62006286653427456</v>
      </c>
      <c r="P101" s="328">
        <v>116.74923544669772</v>
      </c>
      <c r="Q101" s="143"/>
    </row>
    <row r="102" spans="2:17" ht="14.1" customHeight="1" x14ac:dyDescent="0.2">
      <c r="B102" s="191">
        <v>10</v>
      </c>
      <c r="C102" s="185">
        <v>0.52123689506937698</v>
      </c>
      <c r="D102" s="324">
        <v>196.28335212554327</v>
      </c>
      <c r="E102" s="143"/>
      <c r="F102" s="191">
        <v>10</v>
      </c>
      <c r="G102" s="185">
        <v>0.5508825621328477</v>
      </c>
      <c r="H102" s="324">
        <v>207.44708777484209</v>
      </c>
      <c r="I102" s="143"/>
      <c r="J102" s="191">
        <v>10</v>
      </c>
      <c r="K102" s="185">
        <v>0.58274820211508005</v>
      </c>
      <c r="L102" s="324">
        <v>219.44680362862061</v>
      </c>
      <c r="M102" s="143"/>
      <c r="N102" s="191">
        <v>10</v>
      </c>
      <c r="O102" s="185">
        <v>0.61461384209731318</v>
      </c>
      <c r="P102" s="324">
        <v>231.44651948239942</v>
      </c>
      <c r="Q102" s="143"/>
    </row>
    <row r="103" spans="2:17" ht="14.1" customHeight="1" x14ac:dyDescent="0.2">
      <c r="B103" s="191">
        <v>20</v>
      </c>
      <c r="C103" s="185">
        <v>0.53232613778319404</v>
      </c>
      <c r="D103" s="324">
        <v>400.91850648531653</v>
      </c>
      <c r="E103" s="143"/>
      <c r="F103" s="191">
        <v>20</v>
      </c>
      <c r="G103" s="185">
        <v>0.56568415190459487</v>
      </c>
      <c r="H103" s="324">
        <v>426.04191157784453</v>
      </c>
      <c r="I103" s="143"/>
      <c r="J103" s="191">
        <v>20</v>
      </c>
      <c r="K103" s="185">
        <v>0.60153299688460682</v>
      </c>
      <c r="L103" s="324">
        <v>453.04127224884667</v>
      </c>
      <c r="M103" s="143"/>
      <c r="N103" s="191">
        <v>20</v>
      </c>
      <c r="O103" s="185">
        <v>0.63738184186461888</v>
      </c>
      <c r="P103" s="324">
        <v>480.04063291984897</v>
      </c>
      <c r="Q103" s="143"/>
    </row>
    <row r="104" spans="2:17" ht="14.1" customHeight="1" x14ac:dyDescent="0.2">
      <c r="B104" s="191">
        <v>30</v>
      </c>
      <c r="C104" s="185">
        <v>0.55868256267516536</v>
      </c>
      <c r="D104" s="324">
        <v>631.15305466648442</v>
      </c>
      <c r="E104" s="143"/>
      <c r="F104" s="191">
        <v>30</v>
      </c>
      <c r="G104" s="185">
        <v>0.59327802581587608</v>
      </c>
      <c r="H104" s="324">
        <v>670.23612920224173</v>
      </c>
      <c r="I104" s="143"/>
      <c r="J104" s="191">
        <v>30</v>
      </c>
      <c r="K104" s="185">
        <v>0.63045460579514789</v>
      </c>
      <c r="L104" s="324">
        <v>712.23513469046736</v>
      </c>
      <c r="M104" s="143"/>
      <c r="N104" s="191">
        <v>30</v>
      </c>
      <c r="O104" s="185">
        <v>0.6676311857744196</v>
      </c>
      <c r="P104" s="324">
        <v>754.234140178693</v>
      </c>
      <c r="Q104" s="143"/>
    </row>
    <row r="105" spans="2:17" ht="14.1" customHeight="1" x14ac:dyDescent="0.2">
      <c r="B105" s="325">
        <v>40</v>
      </c>
      <c r="C105" s="377">
        <v>0.58885578311167519</v>
      </c>
      <c r="D105" s="327">
        <v>886.98699666904702</v>
      </c>
      <c r="E105" s="143"/>
      <c r="F105" s="325">
        <v>40</v>
      </c>
      <c r="G105" s="377">
        <v>0.62406997076204107</v>
      </c>
      <c r="H105" s="327">
        <v>940.02974064803357</v>
      </c>
      <c r="I105" s="143"/>
      <c r="J105" s="325">
        <v>40</v>
      </c>
      <c r="K105" s="377">
        <v>0.66191041824094266</v>
      </c>
      <c r="L105" s="327">
        <v>997.0283909534827</v>
      </c>
      <c r="M105" s="143"/>
      <c r="N105" s="325">
        <v>40</v>
      </c>
      <c r="O105" s="377">
        <v>0.69975086571984413</v>
      </c>
      <c r="P105" s="327">
        <v>1054.0270412589314</v>
      </c>
      <c r="Q105" s="143"/>
    </row>
    <row r="106" spans="2:17" ht="14.1" customHeight="1" x14ac:dyDescent="0.2">
      <c r="B106" s="194">
        <v>50</v>
      </c>
      <c r="C106" s="378">
        <v>0.62055572176600049</v>
      </c>
      <c r="D106" s="330">
        <v>1168.4203324930045</v>
      </c>
      <c r="E106" s="143"/>
      <c r="F106" s="194">
        <v>50</v>
      </c>
      <c r="G106" s="378">
        <v>0.6561411441221594</v>
      </c>
      <c r="H106" s="330">
        <v>1235.42274591522</v>
      </c>
      <c r="I106" s="143"/>
      <c r="J106" s="194">
        <v>50</v>
      </c>
      <c r="K106" s="378">
        <v>0.69437991210083883</v>
      </c>
      <c r="L106" s="330">
        <v>1307.4210410378923</v>
      </c>
      <c r="M106" s="143"/>
      <c r="N106" s="194">
        <v>50</v>
      </c>
      <c r="O106" s="378">
        <v>0.73261868007951825</v>
      </c>
      <c r="P106" s="330">
        <v>1379.4193361605649</v>
      </c>
      <c r="Q106" s="143"/>
    </row>
    <row r="107" spans="2:17" ht="14.1" customHeight="1" x14ac:dyDescent="0.2">
      <c r="E107" s="143"/>
      <c r="I107" s="143"/>
      <c r="M107" s="143"/>
      <c r="Q107" s="143"/>
    </row>
    <row r="108" spans="2:17" ht="14.1" customHeight="1" x14ac:dyDescent="0.2">
      <c r="B108" s="1" t="s">
        <v>290</v>
      </c>
      <c r="E108" s="143"/>
      <c r="F108" s="1" t="s">
        <v>291</v>
      </c>
      <c r="I108" s="143"/>
      <c r="J108" s="1" t="s">
        <v>292</v>
      </c>
      <c r="K108" s="381"/>
      <c r="M108" s="143"/>
      <c r="N108" s="1" t="s">
        <v>293</v>
      </c>
      <c r="Q108" s="143"/>
    </row>
    <row r="109" spans="2:17" ht="14.1" customHeight="1" x14ac:dyDescent="0.2">
      <c r="B109" s="317">
        <v>0.73030735899280508</v>
      </c>
      <c r="C109" s="331" t="s">
        <v>205</v>
      </c>
      <c r="D109" s="318">
        <v>55</v>
      </c>
      <c r="E109" s="5"/>
      <c r="F109" s="317">
        <v>0.73022769489285233</v>
      </c>
      <c r="G109" s="332" t="s">
        <v>206</v>
      </c>
      <c r="H109" s="318">
        <v>55</v>
      </c>
      <c r="I109" s="5"/>
      <c r="J109" s="317">
        <v>0.73022769489285089</v>
      </c>
      <c r="K109" s="11" t="s">
        <v>207</v>
      </c>
      <c r="L109" s="318">
        <v>55</v>
      </c>
      <c r="M109" s="5"/>
      <c r="N109" s="317">
        <v>0.73022769489285089</v>
      </c>
      <c r="O109" s="11" t="s">
        <v>208</v>
      </c>
      <c r="P109" s="318">
        <v>55</v>
      </c>
      <c r="Q109" s="5"/>
    </row>
    <row r="110" spans="2:17" ht="14.1" customHeight="1" x14ac:dyDescent="0.2">
      <c r="B110" s="319">
        <v>0.56960893656240597</v>
      </c>
      <c r="C110" s="16" t="s">
        <v>284</v>
      </c>
      <c r="D110" s="320">
        <v>887</v>
      </c>
      <c r="E110" s="5"/>
      <c r="F110" s="319">
        <v>0.59178742199004108</v>
      </c>
      <c r="G110" s="16" t="s">
        <v>284</v>
      </c>
      <c r="H110" s="320">
        <v>940</v>
      </c>
      <c r="I110" s="5"/>
      <c r="J110" s="319">
        <v>0.61568665197671524</v>
      </c>
      <c r="K110" s="16" t="s">
        <v>284</v>
      </c>
      <c r="L110" s="320">
        <v>997</v>
      </c>
      <c r="M110" s="5"/>
      <c r="N110" s="319">
        <v>0.63958588196339006</v>
      </c>
      <c r="O110" s="16" t="s">
        <v>284</v>
      </c>
      <c r="P110" s="320">
        <v>1054</v>
      </c>
      <c r="Q110" s="5"/>
    </row>
    <row r="111" spans="2:17" ht="14.1" customHeight="1" x14ac:dyDescent="0.2">
      <c r="B111" s="319">
        <v>0.588884993281659</v>
      </c>
      <c r="C111" s="9"/>
      <c r="D111" s="320">
        <v>-80</v>
      </c>
      <c r="E111" s="5"/>
      <c r="F111" s="319">
        <v>0.62404739926705377</v>
      </c>
      <c r="G111" s="9"/>
      <c r="H111" s="320">
        <v>-80</v>
      </c>
      <c r="I111" s="5"/>
      <c r="J111" s="319">
        <v>0.66188784674595524</v>
      </c>
      <c r="K111" s="9"/>
      <c r="L111" s="320">
        <v>-80</v>
      </c>
      <c r="M111" s="5"/>
      <c r="N111" s="319">
        <v>0.69972829422485683</v>
      </c>
      <c r="O111" s="9"/>
      <c r="P111" s="320">
        <v>-80</v>
      </c>
      <c r="Q111" s="5"/>
    </row>
    <row r="112" spans="2:17" ht="14.1" customHeight="1" x14ac:dyDescent="0.2">
      <c r="B112" s="321"/>
      <c r="C112" s="322"/>
      <c r="D112" s="323" t="s">
        <v>15</v>
      </c>
      <c r="E112" s="5"/>
      <c r="F112" s="321"/>
      <c r="G112" s="322"/>
      <c r="H112" s="323" t="s">
        <v>15</v>
      </c>
      <c r="I112" s="5"/>
      <c r="J112" s="321"/>
      <c r="K112" s="322"/>
      <c r="L112" s="323" t="s">
        <v>15</v>
      </c>
      <c r="M112" s="5"/>
      <c r="N112" s="321"/>
      <c r="O112" s="322"/>
      <c r="P112" s="323" t="s">
        <v>15</v>
      </c>
      <c r="Q112" s="5"/>
    </row>
    <row r="113" spans="2:17" ht="14.1" customHeight="1" x14ac:dyDescent="0.2">
      <c r="B113" s="321" t="s">
        <v>65</v>
      </c>
      <c r="C113" s="322" t="s">
        <v>12</v>
      </c>
      <c r="D113" s="323" t="s">
        <v>16</v>
      </c>
      <c r="E113" s="5"/>
      <c r="F113" s="321" t="s">
        <v>65</v>
      </c>
      <c r="G113" s="322" t="s">
        <v>12</v>
      </c>
      <c r="H113" s="323" t="s">
        <v>16</v>
      </c>
      <c r="I113" s="5"/>
      <c r="J113" s="321" t="s">
        <v>65</v>
      </c>
      <c r="K113" s="322" t="s">
        <v>12</v>
      </c>
      <c r="L113" s="323" t="s">
        <v>16</v>
      </c>
      <c r="M113" s="5"/>
      <c r="N113" s="321" t="s">
        <v>65</v>
      </c>
      <c r="O113" s="322" t="s">
        <v>12</v>
      </c>
      <c r="P113" s="323" t="s">
        <v>16</v>
      </c>
      <c r="Q113" s="5"/>
    </row>
    <row r="114" spans="2:17" ht="14.1" customHeight="1" x14ac:dyDescent="0.2">
      <c r="B114" s="191" t="s">
        <v>221</v>
      </c>
      <c r="C114" s="185">
        <v>0.8325503892517977</v>
      </c>
      <c r="D114" s="324">
        <v>31.351537614009072</v>
      </c>
      <c r="E114" s="382">
        <v>0.55000000000000004</v>
      </c>
      <c r="F114" s="191" t="s">
        <v>221</v>
      </c>
      <c r="G114" s="185">
        <v>0.83245957217785149</v>
      </c>
      <c r="H114" s="324">
        <v>31.348117694990858</v>
      </c>
      <c r="I114" s="382">
        <v>0.56999999999999995</v>
      </c>
      <c r="J114" s="191" t="s">
        <v>221</v>
      </c>
      <c r="K114" s="185">
        <v>0.83245957217785005</v>
      </c>
      <c r="L114" s="324">
        <v>31.348117694990805</v>
      </c>
      <c r="M114" s="382">
        <v>0.55000000000000004</v>
      </c>
      <c r="N114" s="191" t="s">
        <v>221</v>
      </c>
      <c r="O114" s="185">
        <v>0.83245957217785005</v>
      </c>
      <c r="P114" s="324">
        <v>31.348117694990805</v>
      </c>
      <c r="Q114" s="382">
        <v>0.6</v>
      </c>
    </row>
    <row r="115" spans="2:17" ht="14.1" customHeight="1" x14ac:dyDescent="0.2">
      <c r="B115" s="325">
        <v>2</v>
      </c>
      <c r="C115" s="377">
        <v>0.73030735899280508</v>
      </c>
      <c r="D115" s="327">
        <v>55.002697568436965</v>
      </c>
      <c r="E115" s="382">
        <v>0.5</v>
      </c>
      <c r="F115" s="325">
        <v>2</v>
      </c>
      <c r="G115" s="377">
        <v>0.73022769489285233</v>
      </c>
      <c r="H115" s="327">
        <v>54.99669771051029</v>
      </c>
      <c r="I115" s="382">
        <v>0.53</v>
      </c>
      <c r="J115" s="325">
        <v>2</v>
      </c>
      <c r="K115" s="377">
        <v>0.73022769489285089</v>
      </c>
      <c r="L115" s="327">
        <v>54.996697710510183</v>
      </c>
      <c r="M115" s="382">
        <v>0.57999999999999996</v>
      </c>
      <c r="N115" s="325">
        <v>2</v>
      </c>
      <c r="O115" s="377">
        <v>0.73022769489285089</v>
      </c>
      <c r="P115" s="327">
        <v>54.996697710510183</v>
      </c>
      <c r="Q115" s="382">
        <v>0.59</v>
      </c>
    </row>
    <row r="116" spans="2:17" ht="14.1" customHeight="1" x14ac:dyDescent="0.2">
      <c r="B116" s="191">
        <v>3</v>
      </c>
      <c r="C116" s="185">
        <v>0.63876445657718006</v>
      </c>
      <c r="D116" s="324">
        <v>72.162291239340561</v>
      </c>
      <c r="E116" s="382">
        <v>0.55000000000000004</v>
      </c>
      <c r="F116" s="191">
        <v>3</v>
      </c>
      <c r="G116" s="185">
        <v>0.65105043110366501</v>
      </c>
      <c r="H116" s="324">
        <v>73.550258373094508</v>
      </c>
      <c r="I116" s="382">
        <v>0.57999999999999996</v>
      </c>
      <c r="J116" s="191">
        <v>3</v>
      </c>
      <c r="K116" s="185">
        <v>0.66432778109626134</v>
      </c>
      <c r="L116" s="324">
        <v>75.050222854816766</v>
      </c>
      <c r="M116" s="382">
        <v>0.6</v>
      </c>
      <c r="N116" s="191">
        <v>3</v>
      </c>
      <c r="O116" s="185">
        <v>0.67760513108885834</v>
      </c>
      <c r="P116" s="324">
        <v>76.550187336539096</v>
      </c>
      <c r="Q116" s="382">
        <v>0.63</v>
      </c>
    </row>
    <row r="117" spans="2:17" ht="14.1" customHeight="1" x14ac:dyDescent="0.2">
      <c r="B117" s="191">
        <v>4</v>
      </c>
      <c r="C117" s="185">
        <v>0.59469250616841995</v>
      </c>
      <c r="D117" s="324">
        <v>89.57787884845807</v>
      </c>
      <c r="E117" s="143"/>
      <c r="F117" s="191">
        <v>4</v>
      </c>
      <c r="G117" s="185">
        <v>0.61316130000812386</v>
      </c>
      <c r="H117" s="324">
        <v>92.359812973892659</v>
      </c>
      <c r="I117" s="143"/>
      <c r="J117" s="191">
        <v>4</v>
      </c>
      <c r="K117" s="185">
        <v>0.63307732499701885</v>
      </c>
      <c r="L117" s="324">
        <v>95.359741937337276</v>
      </c>
      <c r="M117" s="143"/>
      <c r="N117" s="191">
        <v>4</v>
      </c>
      <c r="O117" s="185">
        <v>0.65299334998591441</v>
      </c>
      <c r="P117" s="324">
        <v>98.35967090078195</v>
      </c>
      <c r="Q117" s="143"/>
    </row>
    <row r="118" spans="2:17" ht="14.1" customHeight="1" x14ac:dyDescent="0.2">
      <c r="B118" s="325">
        <v>5</v>
      </c>
      <c r="C118" s="377">
        <v>0.56960893656240597</v>
      </c>
      <c r="D118" s="328">
        <v>107.2494603957896</v>
      </c>
      <c r="E118" s="143"/>
      <c r="F118" s="325">
        <v>5</v>
      </c>
      <c r="G118" s="377">
        <v>0.59178742199004108</v>
      </c>
      <c r="H118" s="328">
        <v>111.42536151290479</v>
      </c>
      <c r="I118" s="143"/>
      <c r="J118" s="325">
        <v>5</v>
      </c>
      <c r="K118" s="377">
        <v>0.61568665197671524</v>
      </c>
      <c r="L118" s="328">
        <v>115.92525495807172</v>
      </c>
      <c r="M118" s="143"/>
      <c r="N118" s="325">
        <v>5</v>
      </c>
      <c r="O118" s="377">
        <v>0.63958588196339006</v>
      </c>
      <c r="P118" s="328">
        <v>120.42514840323875</v>
      </c>
      <c r="Q118" s="143"/>
    </row>
    <row r="119" spans="2:17" ht="14.1" customHeight="1" x14ac:dyDescent="0.2">
      <c r="B119" s="191">
        <v>10</v>
      </c>
      <c r="C119" s="185">
        <v>0.52963880214469228</v>
      </c>
      <c r="D119" s="324">
        <v>199.44727720565621</v>
      </c>
      <c r="E119" s="143"/>
      <c r="F119" s="191">
        <v>10</v>
      </c>
      <c r="G119" s="185">
        <v>0.55923667074819006</v>
      </c>
      <c r="H119" s="324">
        <v>210.59301328117454</v>
      </c>
      <c r="I119" s="143"/>
      <c r="J119" s="191">
        <v>10</v>
      </c>
      <c r="K119" s="185">
        <v>0.59110231073042274</v>
      </c>
      <c r="L119" s="324">
        <v>222.5927291349532</v>
      </c>
      <c r="M119" s="143"/>
      <c r="N119" s="191">
        <v>10</v>
      </c>
      <c r="O119" s="185">
        <v>0.62296795071265565</v>
      </c>
      <c r="P119" s="324">
        <v>234.59244498873193</v>
      </c>
      <c r="Q119" s="143"/>
    </row>
    <row r="120" spans="2:17" ht="14.1" customHeight="1" x14ac:dyDescent="0.2">
      <c r="B120" s="191">
        <v>20</v>
      </c>
      <c r="C120" s="185">
        <v>0.53514624692162172</v>
      </c>
      <c r="D120" s="324">
        <v>403.04245619143535</v>
      </c>
      <c r="E120" s="143"/>
      <c r="F120" s="191">
        <v>20</v>
      </c>
      <c r="G120" s="185">
        <v>0.56845380711305071</v>
      </c>
      <c r="H120" s="324">
        <v>428.12786218375982</v>
      </c>
      <c r="I120" s="143"/>
      <c r="J120" s="191">
        <v>20</v>
      </c>
      <c r="K120" s="185">
        <v>0.60430265209306289</v>
      </c>
      <c r="L120" s="324">
        <v>455.12722285476224</v>
      </c>
      <c r="M120" s="143"/>
      <c r="N120" s="191">
        <v>20</v>
      </c>
      <c r="O120" s="185">
        <v>0.64015149707307473</v>
      </c>
      <c r="P120" s="324">
        <v>482.12658352576426</v>
      </c>
      <c r="Q120" s="143"/>
    </row>
    <row r="121" spans="2:17" ht="14.1" customHeight="1" x14ac:dyDescent="0.2">
      <c r="B121" s="191">
        <v>30</v>
      </c>
      <c r="C121" s="185">
        <v>0.55964207250129716</v>
      </c>
      <c r="D121" s="324">
        <v>632.23702899860928</v>
      </c>
      <c r="E121" s="143"/>
      <c r="F121" s="191">
        <v>30</v>
      </c>
      <c r="G121" s="185">
        <v>0.59418619655537008</v>
      </c>
      <c r="H121" s="324">
        <v>671.26210490774019</v>
      </c>
      <c r="I121" s="143"/>
      <c r="J121" s="191">
        <v>30</v>
      </c>
      <c r="K121" s="185">
        <v>0.63136277653464168</v>
      </c>
      <c r="L121" s="324">
        <v>713.2611103959656</v>
      </c>
      <c r="M121" s="143"/>
      <c r="N121" s="191">
        <v>30</v>
      </c>
      <c r="O121" s="185">
        <v>0.66853935651391327</v>
      </c>
      <c r="P121" s="324">
        <v>755.26011588419112</v>
      </c>
      <c r="Q121" s="143"/>
    </row>
    <row r="122" spans="2:17" ht="14.1" customHeight="1" x14ac:dyDescent="0.2">
      <c r="B122" s="325">
        <v>40</v>
      </c>
      <c r="C122" s="377">
        <v>0.588884993281659</v>
      </c>
      <c r="D122" s="327">
        <v>887.0309956271775</v>
      </c>
      <c r="E122" s="143"/>
      <c r="F122" s="325">
        <v>40</v>
      </c>
      <c r="G122" s="377">
        <v>0.62404739926705377</v>
      </c>
      <c r="H122" s="327">
        <v>939.99574145311487</v>
      </c>
      <c r="I122" s="143"/>
      <c r="J122" s="325">
        <v>40</v>
      </c>
      <c r="K122" s="377">
        <v>0.66188784674595524</v>
      </c>
      <c r="L122" s="327">
        <v>996.99439175856367</v>
      </c>
      <c r="M122" s="143"/>
      <c r="N122" s="325">
        <v>40</v>
      </c>
      <c r="O122" s="377">
        <v>0.69972829422485683</v>
      </c>
      <c r="P122" s="327">
        <v>1053.9930420640126</v>
      </c>
      <c r="Q122" s="143"/>
    </row>
    <row r="123" spans="2:17" ht="14.1" customHeight="1" x14ac:dyDescent="0.2">
      <c r="B123" s="194">
        <v>50</v>
      </c>
      <c r="C123" s="378">
        <v>0.6200267521422953</v>
      </c>
      <c r="D123" s="330">
        <v>1167.4243560771404</v>
      </c>
      <c r="E123" s="143"/>
      <c r="F123" s="194">
        <v>50</v>
      </c>
      <c r="G123" s="378">
        <v>0.65556012728648327</v>
      </c>
      <c r="H123" s="330">
        <v>1234.3287718198837</v>
      </c>
      <c r="I123" s="143"/>
      <c r="J123" s="194">
        <v>50</v>
      </c>
      <c r="K123" s="378">
        <v>0.6937988952651627</v>
      </c>
      <c r="L123" s="330">
        <v>1306.327066942556</v>
      </c>
      <c r="M123" s="143"/>
      <c r="N123" s="194">
        <v>50</v>
      </c>
      <c r="O123" s="378">
        <v>0.73203766324384223</v>
      </c>
      <c r="P123" s="330">
        <v>1378.3253620652288</v>
      </c>
      <c r="Q123" s="143"/>
    </row>
    <row r="124" spans="2:17" ht="14.1" customHeight="1" x14ac:dyDescent="0.2">
      <c r="E124" s="143"/>
      <c r="I124" s="143"/>
      <c r="M124" s="143"/>
      <c r="Q124" s="143"/>
    </row>
    <row r="125" spans="2:17" ht="14.1" customHeight="1" x14ac:dyDescent="0.2">
      <c r="B125" s="1" t="s">
        <v>294</v>
      </c>
      <c r="E125" s="143"/>
      <c r="F125" s="1" t="s">
        <v>296</v>
      </c>
      <c r="I125" s="143"/>
      <c r="J125" s="1" t="s">
        <v>297</v>
      </c>
      <c r="M125" s="143"/>
      <c r="N125" s="1" t="s">
        <v>298</v>
      </c>
      <c r="Q125" s="143"/>
    </row>
    <row r="126" spans="2:17" ht="14.1" customHeight="1" x14ac:dyDescent="0.2">
      <c r="B126" s="317">
        <v>0.78333709486324044</v>
      </c>
      <c r="C126" s="331" t="s">
        <v>209</v>
      </c>
      <c r="D126" s="318">
        <v>59</v>
      </c>
      <c r="E126" s="5"/>
      <c r="F126" s="317">
        <v>0.78325743076328214</v>
      </c>
      <c r="G126" s="332" t="s">
        <v>210</v>
      </c>
      <c r="H126" s="318">
        <v>59</v>
      </c>
      <c r="I126" s="5"/>
      <c r="J126" s="317">
        <v>0.78328398546326794</v>
      </c>
      <c r="K126" s="11" t="s">
        <v>211</v>
      </c>
      <c r="L126" s="318">
        <v>59</v>
      </c>
      <c r="M126" s="5"/>
      <c r="N126" s="317">
        <v>0.7832574307632798</v>
      </c>
      <c r="O126" s="11" t="s">
        <v>212</v>
      </c>
      <c r="P126" s="318">
        <v>59</v>
      </c>
      <c r="Q126" s="5"/>
    </row>
    <row r="127" spans="2:17" ht="14.1" customHeight="1" x14ac:dyDescent="0.2">
      <c r="B127" s="319">
        <v>0.58913195199152169</v>
      </c>
      <c r="C127" s="16" t="s">
        <v>284</v>
      </c>
      <c r="D127" s="320">
        <v>887</v>
      </c>
      <c r="E127" s="5"/>
      <c r="F127" s="319">
        <v>0.61131043741915481</v>
      </c>
      <c r="G127" s="16" t="s">
        <v>284</v>
      </c>
      <c r="H127" s="320">
        <v>940</v>
      </c>
      <c r="I127" s="5"/>
      <c r="J127" s="319">
        <v>0.635252154925806</v>
      </c>
      <c r="K127" s="16" t="s">
        <v>284</v>
      </c>
      <c r="L127" s="320">
        <v>997</v>
      </c>
      <c r="M127" s="5"/>
      <c r="N127" s="319">
        <v>0.65910889739250322</v>
      </c>
      <c r="O127" s="16" t="s">
        <v>284</v>
      </c>
      <c r="P127" s="320">
        <v>1054</v>
      </c>
      <c r="Q127" s="5"/>
    </row>
    <row r="128" spans="2:17" ht="14.1" customHeight="1" x14ac:dyDescent="0.2">
      <c r="B128" s="319">
        <v>0.58886242178667159</v>
      </c>
      <c r="C128" s="9"/>
      <c r="D128" s="320">
        <v>-80</v>
      </c>
      <c r="E128" s="5"/>
      <c r="F128" s="319">
        <v>0.62402482777206614</v>
      </c>
      <c r="G128" s="9"/>
      <c r="H128" s="320">
        <v>-80</v>
      </c>
      <c r="I128" s="5"/>
      <c r="J128" s="319">
        <v>0.66191705691593883</v>
      </c>
      <c r="K128" s="9"/>
      <c r="L128" s="320">
        <v>-80</v>
      </c>
      <c r="M128" s="5"/>
      <c r="N128" s="319">
        <v>0.6997057227298692</v>
      </c>
      <c r="O128" s="9"/>
      <c r="P128" s="320">
        <v>-80</v>
      </c>
      <c r="Q128" s="5"/>
    </row>
    <row r="129" spans="2:17" ht="14.1" customHeight="1" x14ac:dyDescent="0.2">
      <c r="B129" s="321"/>
      <c r="C129" s="322"/>
      <c r="D129" s="323" t="s">
        <v>15</v>
      </c>
      <c r="E129" s="5"/>
      <c r="F129" s="321"/>
      <c r="G129" s="322"/>
      <c r="H129" s="323" t="s">
        <v>15</v>
      </c>
      <c r="I129" s="5"/>
      <c r="J129" s="321"/>
      <c r="K129" s="322"/>
      <c r="L129" s="323" t="s">
        <v>15</v>
      </c>
      <c r="M129" s="5"/>
      <c r="N129" s="321"/>
      <c r="O129" s="322"/>
      <c r="P129" s="323" t="s">
        <v>15</v>
      </c>
      <c r="Q129" s="5"/>
    </row>
    <row r="130" spans="2:17" ht="14.1" customHeight="1" x14ac:dyDescent="0.2">
      <c r="B130" s="321" t="s">
        <v>65</v>
      </c>
      <c r="C130" s="322" t="s">
        <v>12</v>
      </c>
      <c r="D130" s="323" t="s">
        <v>16</v>
      </c>
      <c r="E130" s="5"/>
      <c r="F130" s="321" t="s">
        <v>65</v>
      </c>
      <c r="G130" s="322" t="s">
        <v>12</v>
      </c>
      <c r="H130" s="323" t="s">
        <v>16</v>
      </c>
      <c r="I130" s="5"/>
      <c r="J130" s="321" t="s">
        <v>65</v>
      </c>
      <c r="K130" s="322" t="s">
        <v>12</v>
      </c>
      <c r="L130" s="323" t="s">
        <v>16</v>
      </c>
      <c r="M130" s="5"/>
      <c r="N130" s="321" t="s">
        <v>65</v>
      </c>
      <c r="O130" s="322" t="s">
        <v>12</v>
      </c>
      <c r="P130" s="323" t="s">
        <v>16</v>
      </c>
      <c r="Q130" s="5"/>
    </row>
    <row r="131" spans="2:17" ht="14.1" customHeight="1" x14ac:dyDescent="0.2">
      <c r="B131" s="191" t="s">
        <v>221</v>
      </c>
      <c r="C131" s="185">
        <v>0.89300428814409394</v>
      </c>
      <c r="D131" s="324">
        <v>33.628063707208817</v>
      </c>
      <c r="E131" s="382">
        <v>0.59</v>
      </c>
      <c r="F131" s="191" t="s">
        <v>221</v>
      </c>
      <c r="G131" s="185">
        <v>0.89291347107014141</v>
      </c>
      <c r="H131" s="324">
        <v>33.624643788190369</v>
      </c>
      <c r="I131" s="382">
        <v>0.61</v>
      </c>
      <c r="J131" s="191" t="s">
        <v>221</v>
      </c>
      <c r="K131" s="185">
        <v>0.89294374342812532</v>
      </c>
      <c r="L131" s="324">
        <v>33.625783761196509</v>
      </c>
      <c r="M131" s="382">
        <v>0.62</v>
      </c>
      <c r="N131" s="191" t="s">
        <v>221</v>
      </c>
      <c r="O131" s="185">
        <v>0.89291347107013896</v>
      </c>
      <c r="P131" s="324">
        <v>33.624643788190284</v>
      </c>
      <c r="Q131" s="382">
        <v>0.64</v>
      </c>
    </row>
    <row r="132" spans="2:17" ht="14.1" customHeight="1" x14ac:dyDescent="0.2">
      <c r="B132" s="325">
        <v>2</v>
      </c>
      <c r="C132" s="377">
        <v>0.78333709486324044</v>
      </c>
      <c r="D132" s="327">
        <v>58.996602995103196</v>
      </c>
      <c r="E132" s="382">
        <v>0.51</v>
      </c>
      <c r="F132" s="325">
        <v>2</v>
      </c>
      <c r="G132" s="377">
        <v>0.78325743076328214</v>
      </c>
      <c r="H132" s="327">
        <v>58.990603137176116</v>
      </c>
      <c r="I132" s="382">
        <v>0.54</v>
      </c>
      <c r="J132" s="325">
        <v>2</v>
      </c>
      <c r="K132" s="377">
        <v>0.78328398546326794</v>
      </c>
      <c r="L132" s="327">
        <v>58.992603089818452</v>
      </c>
      <c r="M132" s="382">
        <v>0.56999999999999995</v>
      </c>
      <c r="N132" s="325">
        <v>2</v>
      </c>
      <c r="O132" s="377">
        <v>0.7832574307632798</v>
      </c>
      <c r="P132" s="327">
        <v>58.990603137175931</v>
      </c>
      <c r="Q132" s="382">
        <v>0.6</v>
      </c>
    </row>
    <row r="133" spans="2:17" ht="14.1" customHeight="1" x14ac:dyDescent="0.2">
      <c r="B133" s="191">
        <v>3</v>
      </c>
      <c r="C133" s="185">
        <v>0.67317934775799348</v>
      </c>
      <c r="D133" s="324">
        <v>76.050199175965076</v>
      </c>
      <c r="E133" s="382">
        <v>0.54</v>
      </c>
      <c r="F133" s="191">
        <v>3</v>
      </c>
      <c r="G133" s="185">
        <v>0.68546532228447488</v>
      </c>
      <c r="H133" s="324">
        <v>77.438166309718625</v>
      </c>
      <c r="I133" s="382">
        <v>0.57999999999999996</v>
      </c>
      <c r="J133" s="191">
        <v>3</v>
      </c>
      <c r="K133" s="185">
        <v>0.69877807854371921</v>
      </c>
      <c r="L133" s="324">
        <v>78.942130696725599</v>
      </c>
      <c r="M133" s="382">
        <v>0.61</v>
      </c>
      <c r="N133" s="191">
        <v>3</v>
      </c>
      <c r="O133" s="185">
        <v>0.71202002226966732</v>
      </c>
      <c r="P133" s="324">
        <v>80.438095273163114</v>
      </c>
      <c r="Q133" s="382">
        <v>0.64</v>
      </c>
    </row>
    <row r="134" spans="2:17" ht="14.1" customHeight="1" x14ac:dyDescent="0.2">
      <c r="B134" s="191">
        <v>4</v>
      </c>
      <c r="C134" s="185">
        <v>0.61979997500442241</v>
      </c>
      <c r="D134" s="324">
        <v>93.359789295040898</v>
      </c>
      <c r="F134" s="191">
        <v>4</v>
      </c>
      <c r="G134" s="185">
        <v>0.63826876884412354</v>
      </c>
      <c r="H134" s="324">
        <v>96.14172342047506</v>
      </c>
      <c r="J134" s="191">
        <v>4</v>
      </c>
      <c r="K134" s="185">
        <v>0.65822462588299735</v>
      </c>
      <c r="L134" s="324">
        <v>99.1476522418467</v>
      </c>
      <c r="N134" s="191">
        <v>4</v>
      </c>
      <c r="O134" s="185">
        <v>0.67810081882191364</v>
      </c>
      <c r="P134" s="324">
        <v>102.14158134736429</v>
      </c>
    </row>
    <row r="135" spans="2:17" ht="14.1" customHeight="1" x14ac:dyDescent="0.2">
      <c r="B135" s="325">
        <v>5</v>
      </c>
      <c r="C135" s="377">
        <v>0.58913195199152169</v>
      </c>
      <c r="D135" s="328">
        <v>110.92537335233067</v>
      </c>
      <c r="F135" s="325">
        <v>5</v>
      </c>
      <c r="G135" s="377">
        <v>0.61131043741915481</v>
      </c>
      <c r="H135" s="328">
        <v>115.1012744694455</v>
      </c>
      <c r="J135" s="325">
        <v>5</v>
      </c>
      <c r="K135" s="377">
        <v>0.635252154925806</v>
      </c>
      <c r="L135" s="328">
        <v>119.60916772518175</v>
      </c>
      <c r="N135" s="325">
        <v>5</v>
      </c>
      <c r="O135" s="377">
        <v>0.65910889739250322</v>
      </c>
      <c r="P135" s="328">
        <v>124.10106135977935</v>
      </c>
    </row>
    <row r="136" spans="2:17" ht="14.1" customHeight="1" x14ac:dyDescent="0.2">
      <c r="B136" s="191">
        <v>10</v>
      </c>
      <c r="C136" s="185">
        <v>0.53799291076003475</v>
      </c>
      <c r="D136" s="324">
        <v>202.59320271198871</v>
      </c>
      <c r="F136" s="191">
        <v>10</v>
      </c>
      <c r="G136" s="185">
        <v>0.56759077936353175</v>
      </c>
      <c r="H136" s="324">
        <v>213.73893878750675</v>
      </c>
      <c r="J136" s="191">
        <v>10</v>
      </c>
      <c r="K136" s="185">
        <v>0.59950421780573815</v>
      </c>
      <c r="L136" s="324">
        <v>225.75665421506616</v>
      </c>
      <c r="N136" s="191">
        <v>10</v>
      </c>
      <c r="O136" s="185">
        <v>0.63132205932799701</v>
      </c>
      <c r="P136" s="324">
        <v>237.73837049506398</v>
      </c>
    </row>
    <row r="137" spans="2:17" ht="14.1" customHeight="1" x14ac:dyDescent="0.2">
      <c r="B137" s="191">
        <v>20</v>
      </c>
      <c r="C137" s="185">
        <v>0.53791590213007756</v>
      </c>
      <c r="D137" s="324">
        <v>405.12840679735064</v>
      </c>
      <c r="F137" s="191">
        <v>20</v>
      </c>
      <c r="G137" s="185">
        <v>0.57122346232150645</v>
      </c>
      <c r="H137" s="324">
        <v>430.2138127896751</v>
      </c>
      <c r="J137" s="191">
        <v>20</v>
      </c>
      <c r="K137" s="185">
        <v>0.60712276123149023</v>
      </c>
      <c r="L137" s="324">
        <v>457.25117256088083</v>
      </c>
      <c r="N137" s="191">
        <v>20</v>
      </c>
      <c r="O137" s="185">
        <v>0.64292115228153024</v>
      </c>
      <c r="P137" s="324">
        <v>484.21253413167932</v>
      </c>
    </row>
    <row r="138" spans="2:17" ht="14.1" customHeight="1" x14ac:dyDescent="0.2">
      <c r="B138" s="191">
        <v>30</v>
      </c>
      <c r="C138" s="185">
        <v>0.56055024324079084</v>
      </c>
      <c r="D138" s="324">
        <v>633.2630047041074</v>
      </c>
      <c r="F138" s="191">
        <v>30</v>
      </c>
      <c r="G138" s="185">
        <v>0.59509436729486365</v>
      </c>
      <c r="H138" s="324">
        <v>672.28808061323809</v>
      </c>
      <c r="J138" s="191">
        <v>30</v>
      </c>
      <c r="K138" s="185">
        <v>0.63232228636077326</v>
      </c>
      <c r="L138" s="324">
        <v>714.34508472809011</v>
      </c>
      <c r="N138" s="191">
        <v>30</v>
      </c>
      <c r="O138" s="185">
        <v>0.66944752725340684</v>
      </c>
      <c r="P138" s="324">
        <v>756.28609158968914</v>
      </c>
    </row>
    <row r="139" spans="2:17" ht="14.1" customHeight="1" x14ac:dyDescent="0.2">
      <c r="B139" s="325">
        <v>40</v>
      </c>
      <c r="C139" s="377">
        <v>0.58886242178667159</v>
      </c>
      <c r="D139" s="327">
        <v>886.99699643225858</v>
      </c>
      <c r="F139" s="325">
        <v>40</v>
      </c>
      <c r="G139" s="377">
        <v>0.62402482777206614</v>
      </c>
      <c r="H139" s="327">
        <v>939.96174225819527</v>
      </c>
      <c r="J139" s="325">
        <v>40</v>
      </c>
      <c r="K139" s="377">
        <v>0.66191705691593883</v>
      </c>
      <c r="L139" s="327">
        <v>997.03839071669393</v>
      </c>
      <c r="N139" s="325">
        <v>40</v>
      </c>
      <c r="O139" s="377">
        <v>0.6997057227298692</v>
      </c>
      <c r="P139" s="327">
        <v>1053.9590428690933</v>
      </c>
    </row>
    <row r="140" spans="2:17" ht="14.1" customHeight="1" x14ac:dyDescent="0.2">
      <c r="B140" s="194">
        <v>50</v>
      </c>
      <c r="C140" s="378">
        <v>0.6194457353066195</v>
      </c>
      <c r="D140" s="330">
        <v>1166.3303819818047</v>
      </c>
      <c r="F140" s="194">
        <v>50</v>
      </c>
      <c r="G140" s="378">
        <v>0.65497911045080726</v>
      </c>
      <c r="H140" s="330">
        <v>1233.2347977245477</v>
      </c>
      <c r="J140" s="194">
        <v>50</v>
      </c>
      <c r="K140" s="378">
        <v>0.69326992564145762</v>
      </c>
      <c r="L140" s="330">
        <v>1305.3310905266926</v>
      </c>
      <c r="N140" s="194">
        <v>50</v>
      </c>
      <c r="O140" s="378">
        <v>0.73145664640816599</v>
      </c>
      <c r="P140" s="330">
        <v>1377.231387969892</v>
      </c>
    </row>
    <row r="141" spans="2:17" ht="14.1" customHeight="1" x14ac:dyDescent="0.2"/>
    <row r="142" spans="2:17" ht="14.1" customHeight="1" x14ac:dyDescent="0.2"/>
    <row r="143" spans="2:17" ht="14.1" customHeight="1" x14ac:dyDescent="0.2"/>
    <row r="144" spans="2:17" ht="14.1" customHeight="1" x14ac:dyDescent="0.2"/>
    <row r="145" spans="27:27" ht="14.1" customHeight="1" x14ac:dyDescent="0.2"/>
    <row r="146" spans="27:27" ht="14.1" customHeight="1" x14ac:dyDescent="0.2"/>
    <row r="147" spans="27:27" ht="14.1" customHeight="1" x14ac:dyDescent="0.2"/>
    <row r="148" spans="27:27" ht="14.1" customHeight="1" x14ac:dyDescent="0.2"/>
    <row r="149" spans="27:27" ht="14.1" customHeight="1" x14ac:dyDescent="0.2"/>
    <row r="150" spans="27:27" ht="14.1" customHeight="1" x14ac:dyDescent="0.2"/>
    <row r="151" spans="27:27" ht="14.1" customHeight="1" x14ac:dyDescent="0.2"/>
    <row r="152" spans="27:27" ht="14.1" customHeight="1" x14ac:dyDescent="0.2"/>
    <row r="153" spans="27:27" ht="14.1" customHeight="1" x14ac:dyDescent="0.2"/>
    <row r="154" spans="27:27" ht="14.1" customHeight="1" x14ac:dyDescent="0.2"/>
    <row r="160" spans="27:27" x14ac:dyDescent="0.2">
      <c r="AA160" s="16"/>
    </row>
  </sheetData>
  <pageMargins left="0.7" right="0.7" top="0.25" bottom="0.25" header="0.3" footer="0.3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45DB1-99A6-4BF8-B99D-34B180758BEF}">
  <sheetPr transitionEvaluation="1" transitionEntry="1">
    <pageSetUpPr fitToPage="1"/>
  </sheetPr>
  <dimension ref="A1:AU160"/>
  <sheetViews>
    <sheetView showGridLines="0" zoomScale="90" zoomScaleNormal="90" zoomScaleSheetLayoutView="80" workbookViewId="0"/>
  </sheetViews>
  <sheetFormatPr defaultRowHeight="12.75" x14ac:dyDescent="0.2"/>
  <cols>
    <col min="1" max="33" width="9.42578125" customWidth="1"/>
    <col min="34" max="38" width="10.7109375" customWidth="1"/>
    <col min="39" max="44" width="9.7109375" customWidth="1"/>
    <col min="45" max="48" width="10.7109375" customWidth="1"/>
    <col min="49" max="49" width="13" customWidth="1"/>
    <col min="50" max="50" width="13.5703125" customWidth="1"/>
    <col min="51" max="51" width="12.5703125" customWidth="1"/>
    <col min="52" max="52" width="10.7109375" customWidth="1"/>
    <col min="53" max="54" width="12.140625" customWidth="1"/>
    <col min="55" max="55" width="14.140625" customWidth="1"/>
    <col min="56" max="59" width="10.7109375" customWidth="1"/>
    <col min="60" max="63" width="12.7109375" customWidth="1"/>
    <col min="64" max="73" width="10.7109375" customWidth="1"/>
  </cols>
  <sheetData>
    <row r="1" spans="1:47" x14ac:dyDescent="0.2">
      <c r="Q1" s="312" t="s">
        <v>27</v>
      </c>
      <c r="R1" s="313"/>
      <c r="S1" s="313"/>
      <c r="T1" s="314" t="s">
        <v>195</v>
      </c>
      <c r="U1" s="313"/>
      <c r="V1" s="313"/>
      <c r="W1" s="313"/>
      <c r="X1" s="313"/>
      <c r="Y1" s="315"/>
      <c r="AU1" t="s">
        <v>7</v>
      </c>
    </row>
    <row r="2" spans="1:47" ht="14.1" customHeight="1" x14ac:dyDescent="0.2">
      <c r="A2" t="s">
        <v>198</v>
      </c>
    </row>
    <row r="3" spans="1:47" ht="14.1" customHeight="1" x14ac:dyDescent="0.2"/>
    <row r="4" spans="1:47" ht="14.1" customHeight="1" x14ac:dyDescent="0.2">
      <c r="Q4" s="284">
        <v>2.5150000000000001</v>
      </c>
      <c r="R4" s="285" t="s">
        <v>10</v>
      </c>
      <c r="S4" s="286"/>
      <c r="T4" s="286"/>
      <c r="U4" s="287"/>
      <c r="V4" s="208" t="s">
        <v>186</v>
      </c>
    </row>
    <row r="5" spans="1:47" ht="14.1" customHeight="1" x14ac:dyDescent="0.2">
      <c r="Q5" s="288">
        <v>4.55</v>
      </c>
      <c r="R5" s="157" t="s">
        <v>0</v>
      </c>
      <c r="S5" s="9"/>
      <c r="T5" s="9"/>
      <c r="U5" s="289"/>
      <c r="V5" t="s">
        <v>177</v>
      </c>
    </row>
    <row r="6" spans="1:47" ht="14.1" customHeight="1" x14ac:dyDescent="0.2">
      <c r="Q6" s="288">
        <v>85</v>
      </c>
      <c r="R6" s="156" t="s">
        <v>1</v>
      </c>
      <c r="S6" s="9"/>
      <c r="T6" s="9"/>
      <c r="U6" s="289"/>
      <c r="V6" s="271" t="s">
        <v>178</v>
      </c>
    </row>
    <row r="7" spans="1:47" ht="14.1" customHeight="1" x14ac:dyDescent="0.25">
      <c r="Q7" s="290">
        <f>(Q5*2.20462*25.4*12)</f>
        <v>3057.4552007999996</v>
      </c>
      <c r="R7" s="58" t="s">
        <v>14</v>
      </c>
      <c r="S7" s="9"/>
      <c r="T7" s="9"/>
      <c r="U7" s="289"/>
      <c r="V7" s="88" t="s">
        <v>179</v>
      </c>
      <c r="W7" s="88"/>
    </row>
    <row r="8" spans="1:47" ht="14.1" customHeight="1" x14ac:dyDescent="0.2">
      <c r="Q8" s="291"/>
      <c r="R8" s="9"/>
      <c r="S8" s="9"/>
      <c r="T8" s="9"/>
      <c r="U8" s="289"/>
    </row>
    <row r="9" spans="1:47" ht="14.1" customHeight="1" x14ac:dyDescent="0.2">
      <c r="Q9" s="292" t="s">
        <v>3</v>
      </c>
      <c r="R9" s="18" t="s">
        <v>2</v>
      </c>
      <c r="S9" s="18" t="s">
        <v>3</v>
      </c>
      <c r="T9" s="21" t="s">
        <v>5</v>
      </c>
      <c r="U9" s="293" t="s">
        <v>4</v>
      </c>
      <c r="V9" s="88" t="s">
        <v>171</v>
      </c>
      <c r="W9" s="88"/>
    </row>
    <row r="10" spans="1:47" ht="14.1" customHeight="1" x14ac:dyDescent="0.2">
      <c r="Q10" s="294"/>
      <c r="R10" s="16">
        <v>1</v>
      </c>
      <c r="S10" s="140">
        <v>33.561842105263182</v>
      </c>
      <c r="T10" s="27">
        <f>S10/R10</f>
        <v>33.561842105263182</v>
      </c>
      <c r="U10" s="295">
        <f t="shared" ref="U10:U19" si="0">SQRT(12*32.2*T10^2/(4*$Q$6*($Q$5*56)*$Q$4^2))</f>
        <v>0.89122464805571744</v>
      </c>
      <c r="V10" s="271" t="s">
        <v>172</v>
      </c>
      <c r="W10" s="88"/>
    </row>
    <row r="11" spans="1:47" ht="14.1" customHeight="1" x14ac:dyDescent="0.2">
      <c r="Q11" s="296"/>
      <c r="R11" s="26">
        <v>2</v>
      </c>
      <c r="S11" s="141">
        <v>55.500000000000021</v>
      </c>
      <c r="T11" s="28">
        <f t="shared" ref="T11:T19" si="1">S11/R11</f>
        <v>27.750000000000011</v>
      </c>
      <c r="U11" s="302">
        <f t="shared" si="0"/>
        <v>0.73689292458913536</v>
      </c>
      <c r="V11" s="88"/>
      <c r="W11" s="271" t="s">
        <v>176</v>
      </c>
    </row>
    <row r="12" spans="1:47" ht="14.1" customHeight="1" x14ac:dyDescent="0.2">
      <c r="A12" t="s">
        <v>198</v>
      </c>
      <c r="Q12" s="294"/>
      <c r="R12" s="16">
        <v>3</v>
      </c>
      <c r="S12" s="140">
        <v>77.438157894736861</v>
      </c>
      <c r="T12" s="27">
        <f t="shared" si="1"/>
        <v>25.812719298245622</v>
      </c>
      <c r="U12" s="295">
        <f t="shared" si="0"/>
        <v>0.68544901676694137</v>
      </c>
      <c r="V12" s="88"/>
      <c r="W12" s="271" t="s">
        <v>175</v>
      </c>
    </row>
    <row r="13" spans="1:47" ht="14.1" customHeight="1" x14ac:dyDescent="0.2">
      <c r="B13" s="1" t="s">
        <v>230</v>
      </c>
      <c r="K13" s="347" t="s">
        <v>225</v>
      </c>
      <c r="L13" s="348"/>
      <c r="M13" s="349"/>
      <c r="Q13" s="294"/>
      <c r="R13" s="16">
        <v>4</v>
      </c>
      <c r="S13" s="140">
        <v>99.376315789473708</v>
      </c>
      <c r="T13" s="27">
        <f t="shared" si="1"/>
        <v>24.844078947368427</v>
      </c>
      <c r="U13" s="295">
        <f t="shared" si="0"/>
        <v>0.65972706285584437</v>
      </c>
      <c r="V13" s="88"/>
      <c r="W13" s="88" t="s">
        <v>173</v>
      </c>
    </row>
    <row r="14" spans="1:47" ht="14.1" customHeight="1" x14ac:dyDescent="0.2">
      <c r="B14" s="339" t="s">
        <v>231</v>
      </c>
      <c r="K14" s="356" t="s">
        <v>229</v>
      </c>
      <c r="L14" s="6">
        <v>0.56999999999999995</v>
      </c>
      <c r="M14" s="355" t="s">
        <v>228</v>
      </c>
      <c r="Q14" s="296"/>
      <c r="R14" s="26">
        <v>5</v>
      </c>
      <c r="S14" s="141">
        <v>121.31447368421055</v>
      </c>
      <c r="T14" s="28">
        <f t="shared" si="1"/>
        <v>24.26289473684211</v>
      </c>
      <c r="U14" s="302">
        <f t="shared" si="0"/>
        <v>0.64429389050918606</v>
      </c>
      <c r="V14" s="88"/>
      <c r="W14" s="88" t="s">
        <v>174</v>
      </c>
    </row>
    <row r="15" spans="1:47" ht="14.1" customHeight="1" x14ac:dyDescent="0.2">
      <c r="B15" s="339" t="s">
        <v>224</v>
      </c>
      <c r="K15" s="350">
        <v>47</v>
      </c>
      <c r="L15" s="346">
        <f>K15*L$14</f>
        <v>26.79</v>
      </c>
      <c r="M15" s="351">
        <v>27</v>
      </c>
      <c r="Q15" s="294"/>
      <c r="R15" s="16">
        <v>10</v>
      </c>
      <c r="S15" s="140">
        <v>231.00526315789477</v>
      </c>
      <c r="T15" s="27">
        <f t="shared" si="1"/>
        <v>23.100526315789477</v>
      </c>
      <c r="U15" s="295">
        <f t="shared" si="0"/>
        <v>0.61342754581586967</v>
      </c>
    </row>
    <row r="16" spans="1:47" ht="14.1" customHeight="1" x14ac:dyDescent="0.2">
      <c r="B16" s="339" t="s">
        <v>227</v>
      </c>
      <c r="K16" s="350">
        <v>51</v>
      </c>
      <c r="L16" s="346">
        <f>K16*L$14</f>
        <v>29.069999999999997</v>
      </c>
      <c r="M16" s="351">
        <v>29</v>
      </c>
      <c r="Q16" s="294"/>
      <c r="R16" s="16">
        <v>20</v>
      </c>
      <c r="S16" s="140">
        <v>450.38684210526321</v>
      </c>
      <c r="T16" s="27">
        <f t="shared" si="1"/>
        <v>22.51934210526316</v>
      </c>
      <c r="U16" s="295">
        <f t="shared" si="0"/>
        <v>0.59799437346921147</v>
      </c>
      <c r="V16" s="1" t="s">
        <v>169</v>
      </c>
      <c r="W16" s="1"/>
    </row>
    <row r="17" spans="1:45" ht="14.1" customHeight="1" x14ac:dyDescent="0.2">
      <c r="B17" s="339" t="s">
        <v>226</v>
      </c>
      <c r="K17" s="350">
        <v>55</v>
      </c>
      <c r="L17" s="346">
        <f>K17*L$14</f>
        <v>31.349999999999998</v>
      </c>
      <c r="M17" s="351">
        <v>31</v>
      </c>
      <c r="Q17" s="294"/>
      <c r="R17" s="16">
        <v>30</v>
      </c>
      <c r="S17" s="140">
        <v>669.76842105263165</v>
      </c>
      <c r="T17" s="27">
        <f t="shared" si="1"/>
        <v>22.325614035087721</v>
      </c>
      <c r="U17" s="295">
        <f t="shared" si="0"/>
        <v>0.59284998268699207</v>
      </c>
      <c r="V17" s="1" t="s">
        <v>165</v>
      </c>
    </row>
    <row r="18" spans="1:45" ht="14.1" customHeight="1" x14ac:dyDescent="0.2">
      <c r="B18" s="1"/>
      <c r="K18" s="350">
        <v>59</v>
      </c>
      <c r="L18" s="346">
        <f>K18*L$14</f>
        <v>33.629999999999995</v>
      </c>
      <c r="M18" s="351">
        <v>33</v>
      </c>
      <c r="Q18" s="296"/>
      <c r="R18" s="26">
        <v>40</v>
      </c>
      <c r="S18" s="141">
        <v>889.15000000000009</v>
      </c>
      <c r="T18" s="28">
        <f t="shared" si="1"/>
        <v>22.228750000000002</v>
      </c>
      <c r="U18" s="302">
        <f t="shared" si="0"/>
        <v>0.59027778729588243</v>
      </c>
      <c r="V18" s="1" t="s">
        <v>166</v>
      </c>
    </row>
    <row r="19" spans="1:45" ht="14.1" customHeight="1" x14ac:dyDescent="0.2">
      <c r="K19" s="352">
        <v>63</v>
      </c>
      <c r="L19" s="353">
        <f>K19*L$14</f>
        <v>35.909999999999997</v>
      </c>
      <c r="M19" s="354">
        <v>35</v>
      </c>
      <c r="Q19" s="297"/>
      <c r="R19" s="298">
        <v>50</v>
      </c>
      <c r="S19" s="299">
        <v>1108.5315789473684</v>
      </c>
      <c r="T19" s="300">
        <f t="shared" si="1"/>
        <v>22.170631578947368</v>
      </c>
      <c r="U19" s="301">
        <f t="shared" si="0"/>
        <v>0.58873447006121649</v>
      </c>
      <c r="V19" s="1" t="s">
        <v>167</v>
      </c>
    </row>
    <row r="20" spans="1:45" ht="14.1" customHeight="1" x14ac:dyDescent="0.2">
      <c r="L20" s="42"/>
      <c r="M20" s="16"/>
      <c r="N20" s="140"/>
      <c r="O20" s="27"/>
      <c r="P20" s="44"/>
      <c r="Q20" s="46"/>
      <c r="R20" s="163"/>
      <c r="V20" s="270" t="s">
        <v>168</v>
      </c>
    </row>
    <row r="21" spans="1:45" ht="14.1" customHeight="1" x14ac:dyDescent="0.2">
      <c r="N21" s="140"/>
      <c r="O21" s="27"/>
      <c r="P21" s="44"/>
      <c r="Q21" t="s">
        <v>187</v>
      </c>
      <c r="V21" s="1" t="s">
        <v>170</v>
      </c>
    </row>
    <row r="22" spans="1:45" ht="14.1" customHeight="1" x14ac:dyDescent="0.2">
      <c r="N22" s="140"/>
      <c r="O22" s="27"/>
      <c r="P22" s="44"/>
      <c r="Q22" s="1" t="s">
        <v>219</v>
      </c>
      <c r="T22" s="139" t="s">
        <v>217</v>
      </c>
    </row>
    <row r="23" spans="1:45" ht="14.1" customHeight="1" x14ac:dyDescent="0.2">
      <c r="A23" s="1" t="s">
        <v>190</v>
      </c>
      <c r="F23" t="s">
        <v>232</v>
      </c>
      <c r="K23" t="s">
        <v>255</v>
      </c>
      <c r="N23" s="140"/>
      <c r="O23" s="27"/>
      <c r="P23" s="44"/>
      <c r="Q23" s="1" t="s">
        <v>218</v>
      </c>
      <c r="T23" s="139" t="s">
        <v>215</v>
      </c>
    </row>
    <row r="24" spans="1:45" ht="14.1" customHeight="1" x14ac:dyDescent="0.2">
      <c r="A24" s="1" t="s">
        <v>192</v>
      </c>
      <c r="F24" s="242"/>
      <c r="K24" s="1" t="s">
        <v>256</v>
      </c>
      <c r="M24" s="16"/>
      <c r="N24" s="140"/>
      <c r="O24" s="27"/>
      <c r="P24" s="44"/>
      <c r="Q24" s="1" t="s">
        <v>216</v>
      </c>
      <c r="T24" s="340" t="s">
        <v>214</v>
      </c>
    </row>
    <row r="25" spans="1:45" ht="14.1" customHeight="1" x14ac:dyDescent="0.2">
      <c r="A25" s="1" t="s">
        <v>191</v>
      </c>
      <c r="E25" s="252"/>
      <c r="F25" s="252" t="s">
        <v>146</v>
      </c>
    </row>
    <row r="26" spans="1:45" ht="14.1" customHeight="1" x14ac:dyDescent="0.25">
      <c r="B26" s="146" t="s">
        <v>65</v>
      </c>
      <c r="C26" s="146" t="s">
        <v>66</v>
      </c>
      <c r="E26" s="23" t="s">
        <v>65</v>
      </c>
      <c r="F26" s="23" t="s">
        <v>145</v>
      </c>
      <c r="G26" s="234" t="s">
        <v>126</v>
      </c>
      <c r="H26" s="244"/>
      <c r="I26" s="243"/>
      <c r="J26" s="243"/>
      <c r="K26" s="333" t="s">
        <v>199</v>
      </c>
      <c r="L26" s="334" t="s">
        <v>202</v>
      </c>
      <c r="M26" s="334" t="s">
        <v>203</v>
      </c>
      <c r="N26" s="335" t="s">
        <v>204</v>
      </c>
      <c r="O26" s="333" t="s">
        <v>205</v>
      </c>
      <c r="P26" s="334" t="s">
        <v>206</v>
      </c>
      <c r="Q26" s="334" t="s">
        <v>207</v>
      </c>
      <c r="R26" s="335" t="s">
        <v>208</v>
      </c>
      <c r="S26" s="333" t="s">
        <v>209</v>
      </c>
      <c r="T26" s="334" t="s">
        <v>210</v>
      </c>
      <c r="U26" s="334" t="s">
        <v>211</v>
      </c>
      <c r="V26" s="335" t="s">
        <v>212</v>
      </c>
      <c r="X26" s="146" t="s">
        <v>65</v>
      </c>
      <c r="Y26" s="146" t="s">
        <v>66</v>
      </c>
    </row>
    <row r="27" spans="1:45" ht="14.1" customHeight="1" x14ac:dyDescent="0.2">
      <c r="B27" s="147">
        <v>1</v>
      </c>
      <c r="C27" s="6">
        <v>32.1</v>
      </c>
      <c r="E27" s="24">
        <v>1</v>
      </c>
      <c r="F27" s="149">
        <f>C27</f>
        <v>32.1</v>
      </c>
      <c r="G27" s="196" cm="1">
        <f t="array" ref="G27">_xlfn.SINGLE(INDEX(LINEST(F$27:F$29,(E$27:E$29)^{1,2}),1))</f>
        <v>7.9999999999999724E-2</v>
      </c>
      <c r="H27" s="274">
        <f>C60</f>
        <v>602.15</v>
      </c>
      <c r="I27" s="253" t="s">
        <v>148</v>
      </c>
      <c r="J27" s="243"/>
      <c r="K27" s="338">
        <v>32.1</v>
      </c>
      <c r="L27" s="6">
        <v>30.7</v>
      </c>
      <c r="M27" s="6">
        <v>29.2</v>
      </c>
      <c r="N27" s="345">
        <v>27.7</v>
      </c>
      <c r="O27" s="338">
        <v>36.200000000000003</v>
      </c>
      <c r="P27" s="6">
        <v>34.799999999999997</v>
      </c>
      <c r="Q27" s="6">
        <v>33.299999999999997</v>
      </c>
      <c r="R27" s="345">
        <v>31.8</v>
      </c>
      <c r="S27" s="338">
        <v>40.299999999999997</v>
      </c>
      <c r="T27" s="6">
        <v>38.9</v>
      </c>
      <c r="U27" s="6">
        <v>37.4</v>
      </c>
      <c r="V27" s="345">
        <v>35.9</v>
      </c>
      <c r="X27" s="147">
        <v>2</v>
      </c>
      <c r="Y27" s="388">
        <f>U37</f>
        <v>50.980792804778808</v>
      </c>
    </row>
    <row r="28" spans="1:45" ht="14.1" customHeight="1" x14ac:dyDescent="0.2">
      <c r="B28" s="147">
        <v>51</v>
      </c>
      <c r="C28" s="6">
        <v>1172.2</v>
      </c>
      <c r="D28" s="155"/>
      <c r="E28" s="24">
        <v>26</v>
      </c>
      <c r="F28" s="303">
        <f>H29</f>
        <v>552.15</v>
      </c>
      <c r="G28" s="196" cm="1">
        <f t="array" ref="G28">_xlfn.SINGLE(INDEX(LINEST(F$27:F$29,(E$27:E$29)^{1,2}),2))</f>
        <v>18.642000000000017</v>
      </c>
      <c r="H28" s="304">
        <v>-50</v>
      </c>
      <c r="I28" s="253" t="s">
        <v>149</v>
      </c>
      <c r="J28" s="243"/>
      <c r="K28" s="338">
        <v>1172.2</v>
      </c>
      <c r="L28" s="6">
        <v>1240.5</v>
      </c>
      <c r="M28" s="6">
        <v>1314</v>
      </c>
      <c r="N28" s="345">
        <v>1387.5</v>
      </c>
      <c r="O28" s="338">
        <v>1171</v>
      </c>
      <c r="P28" s="6">
        <v>1239.4000000000001</v>
      </c>
      <c r="Q28" s="6">
        <v>1312.8</v>
      </c>
      <c r="R28" s="345">
        <v>1386.3</v>
      </c>
      <c r="S28" s="338">
        <v>1169.9000000000001</v>
      </c>
      <c r="T28" s="6">
        <v>1238.2</v>
      </c>
      <c r="U28" s="6">
        <v>1311.7</v>
      </c>
      <c r="V28" s="345">
        <v>1385.2</v>
      </c>
      <c r="X28" s="147">
        <v>40</v>
      </c>
      <c r="Y28" s="388">
        <f>U44</f>
        <v>887.0369954851044</v>
      </c>
    </row>
    <row r="29" spans="1:45" ht="14.1" customHeight="1" x14ac:dyDescent="0.25">
      <c r="B29" s="282">
        <v>50</v>
      </c>
      <c r="C29" s="283">
        <f>C84</f>
        <v>1149.3979999999999</v>
      </c>
      <c r="D29" s="102"/>
      <c r="E29" s="24">
        <v>51</v>
      </c>
      <c r="F29" s="149">
        <f>C28</f>
        <v>1172.2</v>
      </c>
      <c r="G29" s="196" cm="1">
        <f t="array" ref="G29">_xlfn.SINGLE(INDEX(LINEST(F$27:F$29,(E$27:E$29)^{1,2}),3))</f>
        <v>13.377999999999844</v>
      </c>
      <c r="H29" s="305">
        <f>SUM(H27:H28)</f>
        <v>552.15</v>
      </c>
      <c r="I29" s="243"/>
      <c r="J29" s="243"/>
      <c r="K29" s="360">
        <v>-50</v>
      </c>
      <c r="L29" s="363">
        <v>-50</v>
      </c>
      <c r="M29" s="363">
        <v>-50</v>
      </c>
      <c r="N29" s="364">
        <v>-50</v>
      </c>
      <c r="O29" s="360">
        <v>-50</v>
      </c>
      <c r="P29" s="363">
        <v>-50</v>
      </c>
      <c r="Q29" s="363">
        <v>-50</v>
      </c>
      <c r="R29" s="364">
        <v>-50</v>
      </c>
      <c r="S29" s="360">
        <v>-50</v>
      </c>
      <c r="T29" s="363">
        <v>-50</v>
      </c>
      <c r="U29" s="363">
        <v>-50</v>
      </c>
      <c r="V29" s="364">
        <v>-50</v>
      </c>
      <c r="AQ29" t="s">
        <v>152</v>
      </c>
    </row>
    <row r="30" spans="1:45" ht="14.1" customHeight="1" x14ac:dyDescent="0.2">
      <c r="B30" s="82"/>
      <c r="D30" s="82"/>
      <c r="J30" s="88"/>
      <c r="O30" s="82"/>
      <c r="P30" s="82"/>
      <c r="AE30" s="10" t="s">
        <v>177</v>
      </c>
      <c r="AF30" s="11"/>
      <c r="AG30" s="11"/>
      <c r="AH30" s="11"/>
      <c r="AI30" s="11"/>
      <c r="AJ30" s="11"/>
      <c r="AK30" s="11"/>
      <c r="AL30" s="11"/>
      <c r="AM30" s="11"/>
      <c r="AN30" s="12"/>
    </row>
    <row r="31" spans="1:45" ht="14.1" customHeight="1" x14ac:dyDescent="0.2">
      <c r="B31" s="82"/>
      <c r="D31" s="82"/>
      <c r="J31" s="88"/>
      <c r="O31" s="82"/>
      <c r="P31" s="82"/>
      <c r="S31" s="102">
        <f>T37</f>
        <v>0.67690585732258002</v>
      </c>
      <c r="T31" s="334" t="s">
        <v>199</v>
      </c>
      <c r="U31" s="34">
        <v>51</v>
      </c>
      <c r="AE31" s="13" t="s">
        <v>183</v>
      </c>
      <c r="AF31" s="9"/>
      <c r="AG31" s="9"/>
      <c r="AH31" s="9"/>
      <c r="AI31" s="9"/>
      <c r="AJ31" s="9"/>
      <c r="AK31" s="9"/>
      <c r="AL31" s="9"/>
      <c r="AM31" s="9"/>
      <c r="AN31" s="15"/>
    </row>
    <row r="32" spans="1:45" ht="14.1" customHeight="1" x14ac:dyDescent="0.2">
      <c r="B32" s="82"/>
      <c r="C32" s="237" cm="1">
        <f t="array" ref="C32">_xlfn.SINGLE(INDEX(LINEST(C27:C28,($B27:$B28)^{1}),1))</f>
        <v>22.802</v>
      </c>
      <c r="D32" s="82"/>
      <c r="O32" s="82"/>
      <c r="P32" s="82"/>
      <c r="S32" s="102">
        <f>T40</f>
        <v>0.57670435239845008</v>
      </c>
      <c r="T32" s="139" t="s">
        <v>285</v>
      </c>
      <c r="U32" s="34">
        <v>887</v>
      </c>
      <c r="Y32" s="237" cm="1">
        <f t="array" ref="Y32">_xlfn.SINGLE(INDEX(LINEST(Y27:Y28,($X27:$X28)^{1}),1))</f>
        <v>22.001479017903307</v>
      </c>
      <c r="AE32" s="13" t="s">
        <v>184</v>
      </c>
      <c r="AF32" s="9"/>
      <c r="AG32" s="9"/>
      <c r="AH32" s="9"/>
      <c r="AI32" s="9"/>
      <c r="AJ32" s="9"/>
      <c r="AK32" s="9"/>
      <c r="AL32" s="9"/>
      <c r="AM32" s="9"/>
      <c r="AN32" s="15"/>
      <c r="AQ32" s="23" t="s">
        <v>65</v>
      </c>
      <c r="AR32" s="23" t="s">
        <v>66</v>
      </c>
      <c r="AS32" s="234" t="s">
        <v>127</v>
      </c>
    </row>
    <row r="33" spans="2:45" ht="14.1" customHeight="1" x14ac:dyDescent="0.2">
      <c r="C33" s="237" cm="1">
        <f t="array" ref="C33">INDEX(LINEST(C27:C28,($B27:$B28)^{1}),1,2)</f>
        <v>9.2980000000000018</v>
      </c>
      <c r="E33" s="222"/>
      <c r="F33" s="255" t="s">
        <v>150</v>
      </c>
      <c r="G33" s="256"/>
      <c r="H33" s="222"/>
      <c r="I33" s="245" t="s">
        <v>151</v>
      </c>
      <c r="J33" s="222"/>
      <c r="K33" s="222"/>
      <c r="L33" s="257"/>
      <c r="M33" s="258"/>
      <c r="O33" s="82" t="s">
        <v>155</v>
      </c>
      <c r="P33" s="82" t="s">
        <v>155</v>
      </c>
      <c r="S33" s="102">
        <f>T44</f>
        <v>0.58888897648665672</v>
      </c>
      <c r="U33" s="34">
        <v>-50</v>
      </c>
      <c r="Y33" s="237" cm="1">
        <f t="array" ref="Y33">INDEX(LINEST(Y27:Y28,($X27:$X28)^{1}),1,2)</f>
        <v>6.9778347689721727</v>
      </c>
      <c r="AE33" s="32" t="s">
        <v>185</v>
      </c>
      <c r="AF33" s="9"/>
      <c r="AG33" s="9"/>
      <c r="AH33" s="9"/>
      <c r="AI33" s="9"/>
      <c r="AJ33" s="9"/>
      <c r="AK33" s="9"/>
      <c r="AL33" s="9"/>
      <c r="AM33" s="9"/>
      <c r="AN33" s="15"/>
      <c r="AQ33" s="24">
        <v>1</v>
      </c>
      <c r="AR33" s="236">
        <v>30</v>
      </c>
      <c r="AS33" s="235" cm="1">
        <f t="array" ref="AS33">_xlfn.SINGLE(INDEX(LINEST(AR$33:AR$35,(AQ$33:AQ$35)^{1,2,3}),1))</f>
        <v>-1.7664998074701597E-2</v>
      </c>
    </row>
    <row r="34" spans="2:45" ht="14.1" customHeight="1" x14ac:dyDescent="0.2">
      <c r="B34" s="248" t="s">
        <v>65</v>
      </c>
      <c r="C34" s="249" t="s">
        <v>66</v>
      </c>
      <c r="D34" s="247"/>
      <c r="E34" s="248" t="s">
        <v>65</v>
      </c>
      <c r="F34" s="250" t="s">
        <v>126</v>
      </c>
      <c r="G34" s="35"/>
      <c r="H34" s="248" t="s">
        <v>65</v>
      </c>
      <c r="I34" s="251" t="s">
        <v>147</v>
      </c>
      <c r="K34" s="248" t="s">
        <v>65</v>
      </c>
      <c r="L34" s="147" t="s">
        <v>143</v>
      </c>
      <c r="M34" s="254" t="s">
        <v>134</v>
      </c>
      <c r="N34" s="23" t="s">
        <v>4</v>
      </c>
      <c r="O34" s="260" t="s">
        <v>134</v>
      </c>
      <c r="P34" s="23" t="s">
        <v>145</v>
      </c>
      <c r="S34" s="264"/>
      <c r="T34" s="264"/>
      <c r="U34" s="275" t="s">
        <v>15</v>
      </c>
      <c r="V34" s="390" t="s">
        <v>200</v>
      </c>
      <c r="W34" s="391"/>
      <c r="X34" s="243"/>
      <c r="Y34" s="387" t="s">
        <v>66</v>
      </c>
      <c r="Z34" s="147"/>
      <c r="AA34" s="243"/>
      <c r="AE34" s="71"/>
      <c r="AF34" s="72" t="s">
        <v>19</v>
      </c>
      <c r="AG34" s="63"/>
      <c r="AH34" s="63" t="s">
        <v>15</v>
      </c>
      <c r="AI34" s="9"/>
      <c r="AJ34" s="9"/>
      <c r="AK34" s="9"/>
      <c r="AL34" s="9"/>
      <c r="AM34" s="9"/>
      <c r="AN34" s="15"/>
      <c r="AQ34" s="24">
        <v>25</v>
      </c>
      <c r="AR34" s="236">
        <v>610</v>
      </c>
      <c r="AS34" s="235" cm="1">
        <f t="array" ref="AS34">_xlfn.SINGLE(INDEX(LINEST(AR$33:AR$35,(AQ$33:AQ$35)^{1,2,3}),2))</f>
        <v>1.3717915543575927</v>
      </c>
    </row>
    <row r="35" spans="2:45" ht="14.1" customHeight="1" x14ac:dyDescent="0.2">
      <c r="B35" s="341" t="s">
        <v>220</v>
      </c>
      <c r="C35" s="342">
        <f>((C$32*B36)+C$33)*0.57</f>
        <v>31.294139999999999</v>
      </c>
      <c r="E35" s="341" t="s">
        <v>220</v>
      </c>
      <c r="F35" s="343">
        <f>((G$27*(E36)^2)+(G$28*(E36)^1)+(G$29))*0.57</f>
        <v>29.059739999999927</v>
      </c>
      <c r="H35" s="16">
        <v>1</v>
      </c>
      <c r="I35" s="149">
        <f t="shared" ref="I35:I84" si="2">C35-F35</f>
        <v>2.2344000000000719</v>
      </c>
      <c r="K35" s="261">
        <v>1</v>
      </c>
      <c r="L35" s="262">
        <f>F35</f>
        <v>29.059739999999927</v>
      </c>
      <c r="M35" s="263">
        <f>L35/K35</f>
        <v>29.059739999999927</v>
      </c>
      <c r="N35" s="266">
        <f t="shared" ref="N35:N85" si="3">SQRT(12*32.2*M35^2/(4*$Q$6*($Q$5*56)*$Q$4^2))</f>
        <v>0.77167267734774114</v>
      </c>
      <c r="O35" s="263">
        <f t="shared" ref="O35:O85" si="4">(N35*$Q$4)*SQRT(4*$Q$6*$Q$7/32.2)/12</f>
        <v>29.059051898723922</v>
      </c>
      <c r="P35" s="263">
        <f>(K35*O35)</f>
        <v>29.059051898723922</v>
      </c>
      <c r="S35" s="264" t="s">
        <v>65</v>
      </c>
      <c r="T35" s="264" t="s">
        <v>12</v>
      </c>
      <c r="U35" s="275" t="s">
        <v>16</v>
      </c>
      <c r="V35" s="390" t="s">
        <v>201</v>
      </c>
      <c r="W35" s="391"/>
      <c r="X35" s="366" t="s">
        <v>65</v>
      </c>
      <c r="Y35" s="387" t="s">
        <v>269</v>
      </c>
      <c r="Z35" s="393" t="s">
        <v>272</v>
      </c>
      <c r="AA35" s="147" t="s">
        <v>271</v>
      </c>
      <c r="AE35" s="71" t="s">
        <v>2</v>
      </c>
      <c r="AF35" s="63" t="s">
        <v>12</v>
      </c>
      <c r="AG35" s="277" t="s">
        <v>17</v>
      </c>
      <c r="AH35" s="63" t="s">
        <v>16</v>
      </c>
      <c r="AI35" s="9"/>
      <c r="AJ35" s="9"/>
      <c r="AK35" s="9"/>
      <c r="AL35" s="9"/>
      <c r="AM35" s="9"/>
      <c r="AN35" s="15"/>
      <c r="AQ35" s="24">
        <v>50</v>
      </c>
      <c r="AR35" s="236">
        <v>1250</v>
      </c>
      <c r="AS35" s="235" cm="1">
        <f t="array" ref="AS35">_xlfn.SINGLE(INDEX(LINEST(AR$33:AR$35,(AQ$33:AQ$35)^{1,2,3}),3))</f>
        <v>0</v>
      </c>
    </row>
    <row r="36" spans="2:45" ht="14.1" customHeight="1" x14ac:dyDescent="0.25">
      <c r="B36" s="16">
        <v>2</v>
      </c>
      <c r="C36" s="238">
        <f t="shared" ref="C36:C85" si="5">(C$32*B36)+C$33</f>
        <v>54.902000000000001</v>
      </c>
      <c r="E36" s="16">
        <v>2</v>
      </c>
      <c r="F36" s="204">
        <f>(G$27*(E36)^2)+(G$28*(E36)^1)+(G$29)</f>
        <v>50.981999999999879</v>
      </c>
      <c r="H36" s="16">
        <v>2</v>
      </c>
      <c r="I36" s="149">
        <f t="shared" si="2"/>
        <v>3.9200000000001225</v>
      </c>
      <c r="K36" s="261">
        <v>2</v>
      </c>
      <c r="L36" s="262">
        <f>F36</f>
        <v>50.981999999999879</v>
      </c>
      <c r="M36" s="263">
        <f t="shared" ref="M36:M85" si="6">L36/K36</f>
        <v>25.490999999999939</v>
      </c>
      <c r="N36" s="266">
        <f t="shared" si="3"/>
        <v>0.67690585732258002</v>
      </c>
      <c r="O36" s="263">
        <f t="shared" si="4"/>
        <v>25.490396402389404</v>
      </c>
      <c r="P36" s="263">
        <f t="shared" ref="P36:P85" si="7">(K36*O36)</f>
        <v>50.980792804778808</v>
      </c>
      <c r="S36" s="139" t="s">
        <v>222</v>
      </c>
      <c r="T36" s="379">
        <f>N35</f>
        <v>0.77167267734774114</v>
      </c>
      <c r="U36" s="107">
        <f>P35</f>
        <v>29.059051898723922</v>
      </c>
      <c r="X36" s="139"/>
      <c r="Y36" s="110"/>
      <c r="Z36" s="82"/>
      <c r="AA36" s="82"/>
      <c r="AE36" s="73">
        <v>1</v>
      </c>
      <c r="AF36" s="65">
        <v>0.92510000000000003</v>
      </c>
      <c r="AG36" s="59">
        <v>34.838084318002032</v>
      </c>
      <c r="AH36" s="79">
        <v>34.838084318002032</v>
      </c>
      <c r="AI36" s="9" t="s">
        <v>181</v>
      </c>
      <c r="AJ36" s="9"/>
      <c r="AK36" s="9"/>
      <c r="AL36" s="9"/>
      <c r="AM36" s="9"/>
      <c r="AN36" s="15"/>
      <c r="AS36" s="235" cm="1">
        <f t="array" ref="AS36">_xlfn.SINGLE(INDEX(LINEST(AR$33:AR$35,(AQ$33:AQ$35)^{1,2,3}),4))</f>
        <v>28.645873443717392</v>
      </c>
    </row>
    <row r="37" spans="2:45" ht="14.1" customHeight="1" x14ac:dyDescent="0.25">
      <c r="B37" s="16">
        <v>3</v>
      </c>
      <c r="C37" s="238">
        <f t="shared" si="5"/>
        <v>77.704000000000008</v>
      </c>
      <c r="E37" s="16">
        <v>3</v>
      </c>
      <c r="F37" s="204">
        <f>(G$27*(E37)^2)+(G$28*(E37)^1)+(G$29)</f>
        <v>70.023999999999887</v>
      </c>
      <c r="H37" s="16">
        <v>3</v>
      </c>
      <c r="I37" s="149">
        <f t="shared" si="2"/>
        <v>7.6800000000001205</v>
      </c>
      <c r="K37" s="261">
        <v>3</v>
      </c>
      <c r="L37" s="262">
        <f t="shared" ref="L37:L85" si="8">F37</f>
        <v>70.023999999999887</v>
      </c>
      <c r="M37" s="263">
        <f t="shared" si="6"/>
        <v>23.341333333333296</v>
      </c>
      <c r="N37" s="266">
        <f t="shared" si="3"/>
        <v>0.61982210392107517</v>
      </c>
      <c r="O37" s="263">
        <f t="shared" si="4"/>
        <v>23.340780637361121</v>
      </c>
      <c r="P37" s="263">
        <f t="shared" si="7"/>
        <v>70.022341912083363</v>
      </c>
      <c r="R37" s="309">
        <f>T37</f>
        <v>0.67690585732258002</v>
      </c>
      <c r="S37" s="265">
        <v>2</v>
      </c>
      <c r="T37" s="380">
        <f>N36</f>
        <v>0.67690585732258002</v>
      </c>
      <c r="U37" s="311">
        <f>P36</f>
        <v>50.980792804778808</v>
      </c>
      <c r="V37" s="316">
        <f>U31-U37</f>
        <v>1.9207195221191853E-2</v>
      </c>
      <c r="X37" s="265">
        <v>2</v>
      </c>
      <c r="Y37" s="389">
        <f>(Y$32*X37)+Y$33</f>
        <v>50.980792804778787</v>
      </c>
      <c r="Z37" s="107">
        <f>U37-Y37</f>
        <v>0</v>
      </c>
      <c r="AA37" s="392">
        <f>U37/Y37</f>
        <v>1.0000000000000004</v>
      </c>
      <c r="AE37" s="73">
        <v>2</v>
      </c>
      <c r="AF37" s="66">
        <v>0.81499999999999995</v>
      </c>
      <c r="AG37" s="56">
        <v>30.691858954893149</v>
      </c>
      <c r="AH37" s="80">
        <v>61.383717909786299</v>
      </c>
      <c r="AI37" s="14" t="s">
        <v>182</v>
      </c>
      <c r="AJ37" s="9"/>
      <c r="AK37" s="9"/>
      <c r="AL37" s="9"/>
      <c r="AM37" s="9"/>
      <c r="AN37" s="15"/>
    </row>
    <row r="38" spans="2:45" ht="14.1" customHeight="1" x14ac:dyDescent="0.25">
      <c r="B38" s="16">
        <v>4</v>
      </c>
      <c r="C38" s="238">
        <f t="shared" si="5"/>
        <v>100.506</v>
      </c>
      <c r="E38" s="16">
        <v>4</v>
      </c>
      <c r="F38" s="204">
        <f t="shared" ref="F38:F85" si="9">(G$27*(E38)^2)+(G$28*(E38)^1)+(G$29)</f>
        <v>89.225999999999914</v>
      </c>
      <c r="H38" s="16">
        <v>4</v>
      </c>
      <c r="I38" s="149">
        <f t="shared" si="2"/>
        <v>11.280000000000086</v>
      </c>
      <c r="K38" s="261">
        <v>4</v>
      </c>
      <c r="L38" s="262">
        <f t="shared" si="8"/>
        <v>89.225999999999914</v>
      </c>
      <c r="M38" s="263">
        <f t="shared" si="6"/>
        <v>22.306499999999978</v>
      </c>
      <c r="N38" s="266">
        <f t="shared" si="3"/>
        <v>0.59234241521973063</v>
      </c>
      <c r="O38" s="263">
        <f t="shared" si="4"/>
        <v>22.305971807692913</v>
      </c>
      <c r="P38" s="263">
        <f t="shared" si="7"/>
        <v>89.223887230771652</v>
      </c>
      <c r="R38" s="310"/>
      <c r="S38" s="82">
        <v>3</v>
      </c>
      <c r="T38" s="379">
        <f>N37</f>
        <v>0.61982210392107517</v>
      </c>
      <c r="U38" s="107">
        <f>P37</f>
        <v>70.022341912083363</v>
      </c>
      <c r="X38" s="82">
        <v>3</v>
      </c>
      <c r="Y38" s="389">
        <f t="shared" ref="Y38:Y44" si="10">(Y$32*X38)+Y$33</f>
        <v>72.982271822682094</v>
      </c>
      <c r="Z38" s="107">
        <f t="shared" ref="Z38:Z44" si="11">U38-Y38</f>
        <v>-2.9599299105987313</v>
      </c>
      <c r="AA38" s="392">
        <f t="shared" ref="AA38:AA44" si="12">U38/Y38</f>
        <v>0.95944316562534271</v>
      </c>
      <c r="AE38" s="73">
        <v>3</v>
      </c>
      <c r="AF38" s="67">
        <v>0.74</v>
      </c>
      <c r="AG38" s="55">
        <v>27.867454756590096</v>
      </c>
      <c r="AH38" s="53">
        <v>83.602364269770291</v>
      </c>
      <c r="AI38" s="9"/>
      <c r="AJ38" s="9"/>
      <c r="AK38" s="9"/>
      <c r="AL38" s="9"/>
      <c r="AM38" s="9"/>
      <c r="AN38" s="15"/>
      <c r="AS38" s="35"/>
    </row>
    <row r="39" spans="2:45" ht="14.1" customHeight="1" x14ac:dyDescent="0.25">
      <c r="B39" s="16">
        <v>5</v>
      </c>
      <c r="C39" s="238">
        <f t="shared" si="5"/>
        <v>123.30799999999999</v>
      </c>
      <c r="E39" s="16">
        <v>5</v>
      </c>
      <c r="F39" s="204">
        <f t="shared" si="9"/>
        <v>108.58799999999994</v>
      </c>
      <c r="G39" s="204"/>
      <c r="H39" s="16">
        <v>5</v>
      </c>
      <c r="I39" s="149">
        <f t="shared" si="2"/>
        <v>14.720000000000056</v>
      </c>
      <c r="K39" s="261">
        <v>5</v>
      </c>
      <c r="L39" s="262">
        <f t="shared" si="8"/>
        <v>108.58799999999994</v>
      </c>
      <c r="M39" s="263">
        <f t="shared" si="6"/>
        <v>21.717599999999987</v>
      </c>
      <c r="N39" s="266">
        <f t="shared" si="3"/>
        <v>0.57670435239845008</v>
      </c>
      <c r="O39" s="263">
        <f t="shared" si="4"/>
        <v>21.717085752168732</v>
      </c>
      <c r="P39" s="263">
        <f t="shared" si="7"/>
        <v>108.58542876084366</v>
      </c>
      <c r="R39" s="310"/>
      <c r="S39" s="82">
        <v>4</v>
      </c>
      <c r="T39" s="379">
        <f>N38</f>
        <v>0.59234241521973063</v>
      </c>
      <c r="U39" s="107">
        <f>P38</f>
        <v>89.223887230771652</v>
      </c>
      <c r="X39" s="82">
        <v>4</v>
      </c>
      <c r="Y39" s="389">
        <f t="shared" si="10"/>
        <v>94.983750840585401</v>
      </c>
      <c r="Z39" s="107">
        <f t="shared" si="11"/>
        <v>-5.759863609813749</v>
      </c>
      <c r="AA39" s="392">
        <f t="shared" si="12"/>
        <v>0.93935948455561902</v>
      </c>
      <c r="AE39" s="73">
        <v>4</v>
      </c>
      <c r="AF39" s="67">
        <v>0.70499999999999996</v>
      </c>
      <c r="AG39" s="55">
        <v>26.549399464048673</v>
      </c>
      <c r="AH39" s="53">
        <v>106.19759785619469</v>
      </c>
      <c r="AI39" s="9"/>
      <c r="AJ39" s="9"/>
      <c r="AK39" s="9"/>
      <c r="AL39" s="9"/>
      <c r="AM39" s="9"/>
      <c r="AN39" s="15"/>
      <c r="AQ39" s="2" t="s">
        <v>65</v>
      </c>
      <c r="AR39" s="205" t="s">
        <v>127</v>
      </c>
      <c r="AS39" s="35"/>
    </row>
    <row r="40" spans="2:45" ht="14.1" customHeight="1" x14ac:dyDescent="0.25">
      <c r="B40" s="16">
        <v>6</v>
      </c>
      <c r="C40" s="238">
        <f t="shared" si="5"/>
        <v>146.11000000000001</v>
      </c>
      <c r="E40" s="16">
        <v>6</v>
      </c>
      <c r="F40" s="204">
        <f t="shared" si="9"/>
        <v>128.10999999999996</v>
      </c>
      <c r="G40" s="204"/>
      <c r="H40" s="16">
        <v>6</v>
      </c>
      <c r="I40" s="149">
        <f t="shared" si="2"/>
        <v>18.000000000000057</v>
      </c>
      <c r="K40" s="16">
        <v>6</v>
      </c>
      <c r="L40" s="204">
        <f t="shared" si="8"/>
        <v>128.10999999999996</v>
      </c>
      <c r="M40" s="149">
        <f t="shared" si="6"/>
        <v>21.351666666666659</v>
      </c>
      <c r="N40" s="267">
        <f t="shared" si="3"/>
        <v>0.56698710251720152</v>
      </c>
      <c r="O40" s="149">
        <f t="shared" si="4"/>
        <v>21.351161083716566</v>
      </c>
      <c r="P40" s="149">
        <f t="shared" si="7"/>
        <v>128.1069665022994</v>
      </c>
      <c r="R40" s="309">
        <f>T40</f>
        <v>0.57670435239845008</v>
      </c>
      <c r="S40" s="265">
        <v>5</v>
      </c>
      <c r="T40" s="380">
        <f>N39</f>
        <v>0.57670435239845008</v>
      </c>
      <c r="U40" s="308">
        <f>P39</f>
        <v>108.58542876084366</v>
      </c>
      <c r="X40" s="265">
        <v>5</v>
      </c>
      <c r="Y40" s="389">
        <f t="shared" si="10"/>
        <v>116.98522985848871</v>
      </c>
      <c r="Z40" s="107">
        <f t="shared" si="11"/>
        <v>-8.399801097645053</v>
      </c>
      <c r="AA40" s="392">
        <f t="shared" si="12"/>
        <v>0.92819776387321817</v>
      </c>
      <c r="AE40" s="73">
        <v>5</v>
      </c>
      <c r="AF40" s="66">
        <v>0.67849999999999999</v>
      </c>
      <c r="AG40" s="56">
        <v>25.551443313981597</v>
      </c>
      <c r="AH40" s="80">
        <v>127.75721656990798</v>
      </c>
      <c r="AI40" s="9"/>
      <c r="AJ40" s="9"/>
      <c r="AK40" s="9"/>
      <c r="AL40" s="9"/>
      <c r="AM40" s="9"/>
      <c r="AN40" s="15"/>
      <c r="AQ40" s="16">
        <v>1</v>
      </c>
      <c r="AR40" s="204">
        <f>(AS$33*(AQ40)^3)+(AS$34*(AQ40)^2)+(AS$35*(AQ40)^1)+(AS$36)</f>
        <v>30.000000000000284</v>
      </c>
    </row>
    <row r="41" spans="2:45" ht="14.1" customHeight="1" x14ac:dyDescent="0.25">
      <c r="B41" s="16">
        <v>7</v>
      </c>
      <c r="C41" s="238">
        <f t="shared" si="5"/>
        <v>168.91200000000001</v>
      </c>
      <c r="E41" s="16">
        <v>7</v>
      </c>
      <c r="F41" s="204">
        <f t="shared" si="9"/>
        <v>147.79199999999994</v>
      </c>
      <c r="G41" s="204"/>
      <c r="H41" s="16">
        <v>7</v>
      </c>
      <c r="I41" s="149">
        <f>C41-F41</f>
        <v>21.120000000000061</v>
      </c>
      <c r="K41" s="16">
        <v>7</v>
      </c>
      <c r="L41" s="204">
        <f t="shared" si="8"/>
        <v>147.79199999999994</v>
      </c>
      <c r="M41" s="149">
        <f t="shared" si="6"/>
        <v>21.113142857142851</v>
      </c>
      <c r="N41" s="267">
        <f t="shared" si="3"/>
        <v>0.56065317431597117</v>
      </c>
      <c r="O41" s="149">
        <f t="shared" si="4"/>
        <v>21.112642922162681</v>
      </c>
      <c r="P41" s="149">
        <f t="shared" si="7"/>
        <v>147.78850045513877</v>
      </c>
      <c r="R41" s="310"/>
      <c r="S41" s="82">
        <v>10</v>
      </c>
      <c r="T41" s="379">
        <f>N44</f>
        <v>0.55180135475233549</v>
      </c>
      <c r="U41" s="107">
        <f>P44</f>
        <v>207.7930795819594</v>
      </c>
      <c r="X41" s="82">
        <v>10</v>
      </c>
      <c r="Y41" s="389">
        <f t="shared" si="10"/>
        <v>226.99262494800524</v>
      </c>
      <c r="Z41" s="107">
        <f t="shared" si="11"/>
        <v>-19.19954536604584</v>
      </c>
      <c r="AA41" s="392">
        <f t="shared" si="12"/>
        <v>0.91541775698464356</v>
      </c>
      <c r="AE41" s="73">
        <v>10</v>
      </c>
      <c r="AF41" s="76">
        <v>0.64</v>
      </c>
      <c r="AG41" s="55">
        <v>24.101582492186029</v>
      </c>
      <c r="AH41" s="53">
        <v>241.01582492186029</v>
      </c>
      <c r="AI41" s="9"/>
      <c r="AJ41" s="9"/>
      <c r="AK41" s="9"/>
      <c r="AL41" s="9"/>
      <c r="AM41" s="9"/>
      <c r="AN41" s="15"/>
      <c r="AQ41" s="16">
        <v>2</v>
      </c>
      <c r="AR41" s="204">
        <f>(AS$33*(AQ41)^3)+(AS$34*(AQ41)^2)+(AS$35*(AQ41)^1)+(AS$36)</f>
        <v>33.991719676550147</v>
      </c>
    </row>
    <row r="42" spans="2:45" ht="14.1" customHeight="1" x14ac:dyDescent="0.25">
      <c r="B42" s="16">
        <v>8</v>
      </c>
      <c r="C42" s="238">
        <f t="shared" si="5"/>
        <v>191.714</v>
      </c>
      <c r="E42" s="16">
        <v>8</v>
      </c>
      <c r="F42" s="204">
        <f t="shared" si="9"/>
        <v>167.63399999999996</v>
      </c>
      <c r="G42" s="204"/>
      <c r="H42" s="16">
        <v>8</v>
      </c>
      <c r="I42" s="149">
        <f t="shared" si="2"/>
        <v>24.080000000000041</v>
      </c>
      <c r="K42" s="16">
        <v>8</v>
      </c>
      <c r="L42" s="204">
        <f t="shared" si="8"/>
        <v>167.63399999999996</v>
      </c>
      <c r="M42" s="149">
        <f t="shared" si="6"/>
        <v>20.954249999999995</v>
      </c>
      <c r="N42" s="267">
        <f t="shared" si="3"/>
        <v>0.55643382216475235</v>
      </c>
      <c r="O42" s="149">
        <f t="shared" si="4"/>
        <v>20.95375382742024</v>
      </c>
      <c r="P42" s="149">
        <f t="shared" si="7"/>
        <v>167.63003061936192</v>
      </c>
      <c r="R42" s="310"/>
      <c r="S42" s="82">
        <v>20</v>
      </c>
      <c r="T42" s="379">
        <f>N54</f>
        <v>0.55528267592039449</v>
      </c>
      <c r="U42" s="107">
        <f>P54</f>
        <v>418.20809707796946</v>
      </c>
      <c r="X42" s="82">
        <v>20</v>
      </c>
      <c r="Y42" s="389">
        <f t="shared" si="10"/>
        <v>447.00741512703831</v>
      </c>
      <c r="Z42" s="107">
        <f t="shared" si="11"/>
        <v>-28.799318049068859</v>
      </c>
      <c r="AA42" s="392">
        <f t="shared" si="12"/>
        <v>0.93557306417191277</v>
      </c>
      <c r="AE42" s="73">
        <v>20</v>
      </c>
      <c r="AF42" s="76">
        <v>0.65</v>
      </c>
      <c r="AG42" s="55">
        <v>24.478169718626436</v>
      </c>
      <c r="AH42" s="53">
        <v>489.56339437252871</v>
      </c>
      <c r="AI42" s="9"/>
      <c r="AJ42" s="9"/>
      <c r="AK42" s="9"/>
      <c r="AL42" s="9"/>
      <c r="AM42" s="9"/>
      <c r="AN42" s="15"/>
      <c r="AQ42" s="16">
        <v>3</v>
      </c>
      <c r="AR42" s="204">
        <f>(AS$33*(AQ42)^3)+(AS$34*(AQ42)^2)+(AS$35*(AQ42)^1)+(AS$36)</f>
        <v>40.51504248491878</v>
      </c>
    </row>
    <row r="43" spans="2:45" ht="14.1" customHeight="1" x14ac:dyDescent="0.25">
      <c r="B43" s="16">
        <v>9</v>
      </c>
      <c r="C43" s="238">
        <f t="shared" si="5"/>
        <v>214.51599999999999</v>
      </c>
      <c r="E43" s="16">
        <v>9</v>
      </c>
      <c r="F43" s="204">
        <f t="shared" si="9"/>
        <v>187.636</v>
      </c>
      <c r="G43" s="204"/>
      <c r="H43" s="16">
        <v>9</v>
      </c>
      <c r="I43" s="149">
        <f t="shared" si="2"/>
        <v>26.879999999999995</v>
      </c>
      <c r="K43" s="16">
        <v>9</v>
      </c>
      <c r="L43" s="204">
        <f t="shared" si="8"/>
        <v>187.636</v>
      </c>
      <c r="M43" s="149">
        <f t="shared" si="6"/>
        <v>20.848444444444443</v>
      </c>
      <c r="N43" s="267">
        <f t="shared" si="3"/>
        <v>0.55362418738020791</v>
      </c>
      <c r="O43" s="149">
        <f t="shared" si="4"/>
        <v>20.847950777218752</v>
      </c>
      <c r="P43" s="149">
        <f t="shared" si="7"/>
        <v>187.63155699496878</v>
      </c>
      <c r="R43" s="310"/>
      <c r="S43" s="82">
        <v>30</v>
      </c>
      <c r="T43" s="379">
        <f>N64</f>
        <v>0.57060562296851758</v>
      </c>
      <c r="U43" s="107">
        <f>P64</f>
        <v>644.62273571235107</v>
      </c>
      <c r="X43" s="82">
        <v>30</v>
      </c>
      <c r="Y43" s="389">
        <f t="shared" si="10"/>
        <v>667.02220530607133</v>
      </c>
      <c r="Z43" s="107">
        <f t="shared" si="11"/>
        <v>-22.399469593720255</v>
      </c>
      <c r="AA43" s="392">
        <f t="shared" si="12"/>
        <v>0.96641870478143677</v>
      </c>
      <c r="AE43" s="73">
        <v>30</v>
      </c>
      <c r="AF43" s="76">
        <v>0.66500000000000004</v>
      </c>
      <c r="AG43" s="55">
        <v>25.04305055828705</v>
      </c>
      <c r="AH43" s="53">
        <v>751.29151674861146</v>
      </c>
      <c r="AI43" s="9"/>
      <c r="AJ43" s="9"/>
      <c r="AK43" s="9"/>
      <c r="AL43" s="9"/>
      <c r="AM43" s="9"/>
      <c r="AN43" s="15"/>
      <c r="AQ43" s="16">
        <v>4</v>
      </c>
      <c r="AR43" s="204">
        <f>(AS$33*(AQ43)^3)+(AS$34*(AQ43)^2)+(AS$35*(AQ43)^1)+(AS$36)</f>
        <v>49.463978436657968</v>
      </c>
    </row>
    <row r="44" spans="2:45" ht="14.1" customHeight="1" x14ac:dyDescent="0.25">
      <c r="B44" s="16">
        <v>10</v>
      </c>
      <c r="C44" s="238">
        <f t="shared" si="5"/>
        <v>237.31799999999998</v>
      </c>
      <c r="E44" s="16">
        <v>10</v>
      </c>
      <c r="F44" s="204">
        <f t="shared" si="9"/>
        <v>207.798</v>
      </c>
      <c r="G44" s="204"/>
      <c r="H44" s="16">
        <v>10</v>
      </c>
      <c r="I44" s="149">
        <f t="shared" si="2"/>
        <v>29.519999999999982</v>
      </c>
      <c r="K44" s="261">
        <v>10</v>
      </c>
      <c r="L44" s="262">
        <f>F44</f>
        <v>207.798</v>
      </c>
      <c r="M44" s="263">
        <f t="shared" si="6"/>
        <v>20.779800000000002</v>
      </c>
      <c r="N44" s="266">
        <f t="shared" si="3"/>
        <v>0.55180135475233549</v>
      </c>
      <c r="O44" s="263">
        <f t="shared" si="4"/>
        <v>20.77930795819594</v>
      </c>
      <c r="P44" s="263">
        <f t="shared" si="7"/>
        <v>207.7930795819594</v>
      </c>
      <c r="R44" s="309">
        <f>T44</f>
        <v>0.58888897648665672</v>
      </c>
      <c r="S44" s="265">
        <v>40</v>
      </c>
      <c r="T44" s="380">
        <f>N74</f>
        <v>0.58888897648665672</v>
      </c>
      <c r="U44" s="311">
        <f>P74</f>
        <v>887.0369954851044</v>
      </c>
      <c r="V44" s="316">
        <f>U32-U44</f>
        <v>-3.699548510439854E-2</v>
      </c>
      <c r="X44" s="265">
        <v>40</v>
      </c>
      <c r="Y44" s="389">
        <f t="shared" si="10"/>
        <v>887.0369954851044</v>
      </c>
      <c r="Z44" s="107">
        <f t="shared" si="11"/>
        <v>0</v>
      </c>
      <c r="AA44" s="392">
        <f t="shared" si="12"/>
        <v>1</v>
      </c>
      <c r="AE44" s="73">
        <v>40</v>
      </c>
      <c r="AF44" s="77">
        <v>0.68</v>
      </c>
      <c r="AG44" s="56">
        <v>25.607931397947663</v>
      </c>
      <c r="AH44" s="80">
        <v>1024.3172559179066</v>
      </c>
      <c r="AI44" s="9"/>
      <c r="AJ44" s="9"/>
      <c r="AK44" s="9"/>
      <c r="AL44" s="9"/>
      <c r="AM44" s="9"/>
      <c r="AN44" s="15"/>
      <c r="AQ44" s="16">
        <v>5</v>
      </c>
      <c r="AR44" s="204">
        <f>(AS$33*(AQ44)^3)+(AS$34*(AQ44)^2)+(AS$35*(AQ44)^1)+(AS$36)</f>
        <v>60.732537543319509</v>
      </c>
      <c r="AS44" s="204"/>
    </row>
    <row r="45" spans="2:45" ht="14.1" customHeight="1" x14ac:dyDescent="0.25">
      <c r="B45" s="16">
        <v>11</v>
      </c>
      <c r="C45" s="238">
        <f t="shared" si="5"/>
        <v>260.12</v>
      </c>
      <c r="E45" s="16">
        <v>11</v>
      </c>
      <c r="F45" s="204">
        <f t="shared" si="9"/>
        <v>228.12</v>
      </c>
      <c r="G45" s="204"/>
      <c r="H45" s="16">
        <v>11</v>
      </c>
      <c r="I45" s="149">
        <f t="shared" si="2"/>
        <v>32</v>
      </c>
      <c r="K45" s="16">
        <v>11</v>
      </c>
      <c r="L45" s="204">
        <f t="shared" si="8"/>
        <v>228.12</v>
      </c>
      <c r="M45" s="149">
        <f t="shared" si="6"/>
        <v>20.738181818181818</v>
      </c>
      <c r="N45" s="267">
        <f t="shared" si="3"/>
        <v>0.55069619642022438</v>
      </c>
      <c r="O45" s="149">
        <f t="shared" si="4"/>
        <v>20.737690761848516</v>
      </c>
      <c r="P45" s="149">
        <f t="shared" si="7"/>
        <v>228.11459838033366</v>
      </c>
      <c r="S45" s="82">
        <v>50</v>
      </c>
      <c r="T45" s="379">
        <f>N84</f>
        <v>0.60835649259280233</v>
      </c>
      <c r="U45" s="107">
        <f>P84</f>
        <v>1145.4508763962292</v>
      </c>
      <c r="AE45" s="278">
        <v>50</v>
      </c>
      <c r="AF45" s="279">
        <v>0.7</v>
      </c>
      <c r="AG45" s="280">
        <v>26.361105850828469</v>
      </c>
      <c r="AH45" s="281">
        <v>1318.0552925414236</v>
      </c>
      <c r="AI45" s="3"/>
      <c r="AJ45" s="3"/>
      <c r="AK45" s="3"/>
      <c r="AL45" s="3"/>
      <c r="AM45" s="3"/>
      <c r="AN45" s="7"/>
    </row>
    <row r="46" spans="2:45" ht="14.1" customHeight="1" x14ac:dyDescent="0.2">
      <c r="B46" s="16">
        <v>12</v>
      </c>
      <c r="C46" s="238">
        <f t="shared" si="5"/>
        <v>282.92200000000003</v>
      </c>
      <c r="E46" s="16">
        <v>12</v>
      </c>
      <c r="F46" s="204">
        <f t="shared" si="9"/>
        <v>248.602</v>
      </c>
      <c r="G46" s="204"/>
      <c r="H46" s="16">
        <v>12</v>
      </c>
      <c r="I46" s="149">
        <f t="shared" si="2"/>
        <v>34.320000000000022</v>
      </c>
      <c r="K46" s="16">
        <v>12</v>
      </c>
      <c r="L46" s="204">
        <f t="shared" si="8"/>
        <v>248.602</v>
      </c>
      <c r="M46" s="149">
        <f t="shared" si="6"/>
        <v>20.716833333333334</v>
      </c>
      <c r="N46" s="267">
        <f t="shared" si="3"/>
        <v>0.55012929380993436</v>
      </c>
      <c r="O46" s="149">
        <f t="shared" si="4"/>
        <v>20.716342782507638</v>
      </c>
      <c r="P46" s="149">
        <f t="shared" si="7"/>
        <v>248.59611339009166</v>
      </c>
      <c r="S46" s="229"/>
    </row>
    <row r="47" spans="2:45" ht="14.1" customHeight="1" x14ac:dyDescent="0.2">
      <c r="B47" s="16">
        <v>13</v>
      </c>
      <c r="C47" s="238">
        <f t="shared" si="5"/>
        <v>305.72399999999999</v>
      </c>
      <c r="E47" s="16">
        <v>13</v>
      </c>
      <c r="F47" s="204">
        <f t="shared" si="9"/>
        <v>269.24400000000003</v>
      </c>
      <c r="G47" s="204"/>
      <c r="H47" s="16">
        <v>13</v>
      </c>
      <c r="I47" s="149">
        <f t="shared" si="2"/>
        <v>36.479999999999961</v>
      </c>
      <c r="K47" s="16">
        <v>13</v>
      </c>
      <c r="L47" s="204">
        <f t="shared" si="8"/>
        <v>269.24400000000003</v>
      </c>
      <c r="M47" s="149">
        <f t="shared" si="6"/>
        <v>20.711076923076924</v>
      </c>
      <c r="N47" s="267">
        <f t="shared" si="3"/>
        <v>0.54997643406258367</v>
      </c>
      <c r="O47" s="149">
        <f t="shared" si="4"/>
        <v>20.71058650855641</v>
      </c>
      <c r="P47" s="149">
        <f t="shared" si="7"/>
        <v>269.23762461123334</v>
      </c>
    </row>
    <row r="48" spans="2:45" ht="14.1" customHeight="1" x14ac:dyDescent="0.2">
      <c r="B48" s="16">
        <v>14</v>
      </c>
      <c r="C48" s="238">
        <f t="shared" si="5"/>
        <v>328.52600000000001</v>
      </c>
      <c r="E48" s="16">
        <v>14</v>
      </c>
      <c r="F48" s="204">
        <f t="shared" si="9"/>
        <v>290.04600000000005</v>
      </c>
      <c r="G48" s="204"/>
      <c r="H48" s="16">
        <v>14</v>
      </c>
      <c r="I48" s="149">
        <f t="shared" si="2"/>
        <v>38.479999999999961</v>
      </c>
      <c r="K48" s="16">
        <v>14</v>
      </c>
      <c r="L48" s="204">
        <f t="shared" si="8"/>
        <v>290.04600000000005</v>
      </c>
      <c r="M48" s="149">
        <f t="shared" si="6"/>
        <v>20.717571428571432</v>
      </c>
      <c r="N48" s="267">
        <f t="shared" si="3"/>
        <v>0.55014889370754261</v>
      </c>
      <c r="O48" s="149">
        <f t="shared" si="4"/>
        <v>20.717080860268492</v>
      </c>
      <c r="P48" s="149">
        <f t="shared" si="7"/>
        <v>290.03913204375891</v>
      </c>
    </row>
    <row r="49" spans="1:21" ht="14.1" customHeight="1" x14ac:dyDescent="0.2">
      <c r="B49" s="16">
        <v>15</v>
      </c>
      <c r="C49" s="238">
        <f t="shared" si="5"/>
        <v>351.32799999999997</v>
      </c>
      <c r="E49" s="16">
        <v>15</v>
      </c>
      <c r="F49" s="204">
        <f t="shared" si="9"/>
        <v>311.00800000000004</v>
      </c>
      <c r="G49" s="204"/>
      <c r="H49" s="16">
        <v>15</v>
      </c>
      <c r="I49" s="149">
        <f t="shared" si="2"/>
        <v>40.319999999999936</v>
      </c>
      <c r="K49" s="16">
        <v>15</v>
      </c>
      <c r="L49" s="204">
        <f t="shared" si="8"/>
        <v>311.00800000000004</v>
      </c>
      <c r="M49" s="149">
        <f t="shared" si="6"/>
        <v>20.733866666666668</v>
      </c>
      <c r="N49" s="267">
        <f t="shared" si="3"/>
        <v>0.55058160886634888</v>
      </c>
      <c r="O49" s="149">
        <f t="shared" si="4"/>
        <v>20.733375712511197</v>
      </c>
      <c r="P49" s="149">
        <f t="shared" si="7"/>
        <v>311.00063568766797</v>
      </c>
      <c r="S49" s="34">
        <v>1.02</v>
      </c>
    </row>
    <row r="50" spans="1:21" ht="14.1" customHeight="1" x14ac:dyDescent="0.2">
      <c r="B50" s="16">
        <v>16</v>
      </c>
      <c r="C50" s="238">
        <f t="shared" si="5"/>
        <v>374.13</v>
      </c>
      <c r="E50" s="16">
        <v>16</v>
      </c>
      <c r="F50" s="204">
        <f t="shared" si="9"/>
        <v>332.13</v>
      </c>
      <c r="G50" s="204"/>
      <c r="H50" s="16">
        <v>16</v>
      </c>
      <c r="I50" s="149">
        <f t="shared" si="2"/>
        <v>42</v>
      </c>
      <c r="K50" s="16">
        <v>16</v>
      </c>
      <c r="L50" s="204">
        <f t="shared" si="8"/>
        <v>332.13</v>
      </c>
      <c r="M50" s="149">
        <f t="shared" si="6"/>
        <v>20.758125</v>
      </c>
      <c r="N50" s="267">
        <f t="shared" si="3"/>
        <v>0.55122578163015634</v>
      </c>
      <c r="O50" s="149">
        <f t="shared" si="4"/>
        <v>20.757633471435049</v>
      </c>
      <c r="P50" s="149">
        <f t="shared" si="7"/>
        <v>332.12213554296079</v>
      </c>
      <c r="R50" s="248" t="s">
        <v>65</v>
      </c>
      <c r="S50" s="23" t="s">
        <v>4</v>
      </c>
      <c r="T50" s="260" t="s">
        <v>134</v>
      </c>
      <c r="U50" s="23" t="s">
        <v>145</v>
      </c>
    </row>
    <row r="51" spans="1:21" ht="14.1" customHeight="1" x14ac:dyDescent="0.2">
      <c r="B51" s="16">
        <v>17</v>
      </c>
      <c r="C51" s="238">
        <f t="shared" si="5"/>
        <v>396.93200000000002</v>
      </c>
      <c r="E51" s="16">
        <v>17</v>
      </c>
      <c r="F51" s="204">
        <f t="shared" si="9"/>
        <v>353.41200000000003</v>
      </c>
      <c r="G51" s="204"/>
      <c r="H51" s="16">
        <v>17</v>
      </c>
      <c r="I51" s="149">
        <f t="shared" si="2"/>
        <v>43.519999999999982</v>
      </c>
      <c r="K51" s="16">
        <v>17</v>
      </c>
      <c r="L51" s="204">
        <f t="shared" si="8"/>
        <v>353.41200000000003</v>
      </c>
      <c r="M51" s="149">
        <f t="shared" si="6"/>
        <v>20.78894117647059</v>
      </c>
      <c r="N51" s="267">
        <f t="shared" si="3"/>
        <v>0.55204409595102366</v>
      </c>
      <c r="O51" s="149">
        <f t="shared" si="4"/>
        <v>20.788448918213962</v>
      </c>
      <c r="P51" s="149">
        <f t="shared" si="7"/>
        <v>353.40363160963739</v>
      </c>
      <c r="R51" s="228">
        <v>1</v>
      </c>
      <c r="S51" s="384">
        <f>SQRT(12*32.2*M35^2/(4*$Q$6*($Q$5*56)*$Q$4^2))*S49</f>
        <v>0.78710613089469594</v>
      </c>
      <c r="T51" s="259">
        <f t="shared" ref="T51:T60" si="13">(S51*$Q$4)*SQRT(4*$Q$6*$Q$7/32.2)/12</f>
        <v>29.640232936698396</v>
      </c>
      <c r="U51" s="383">
        <f>(R51*T51)</f>
        <v>29.640232936698396</v>
      </c>
    </row>
    <row r="52" spans="1:21" ht="14.1" customHeight="1" x14ac:dyDescent="0.2">
      <c r="B52" s="16">
        <v>18</v>
      </c>
      <c r="C52" s="238">
        <f t="shared" si="5"/>
        <v>419.73399999999998</v>
      </c>
      <c r="E52" s="16">
        <v>18</v>
      </c>
      <c r="F52" s="204">
        <f t="shared" si="9"/>
        <v>374.85400000000004</v>
      </c>
      <c r="G52" s="204"/>
      <c r="H52" s="16">
        <v>18</v>
      </c>
      <c r="I52" s="149">
        <f t="shared" si="2"/>
        <v>44.879999999999939</v>
      </c>
      <c r="K52" s="16">
        <v>18</v>
      </c>
      <c r="L52" s="204">
        <f t="shared" si="8"/>
        <v>374.85400000000004</v>
      </c>
      <c r="M52" s="149">
        <f t="shared" si="6"/>
        <v>20.825222222222223</v>
      </c>
      <c r="N52" s="267">
        <f t="shared" si="3"/>
        <v>0.55300752823610733</v>
      </c>
      <c r="O52" s="149">
        <f t="shared" si="4"/>
        <v>20.824729104872091</v>
      </c>
      <c r="P52" s="149">
        <f t="shared" si="7"/>
        <v>374.84512388769764</v>
      </c>
      <c r="R52" s="385">
        <v>2</v>
      </c>
      <c r="S52" s="386">
        <f>SQRT(12*32.2*M36^2/(4*$Q$6*($Q$5*56)*$Q$4^2))*S49</f>
        <v>0.69044397446903161</v>
      </c>
      <c r="T52" s="311">
        <f t="shared" si="13"/>
        <v>26.000204330437196</v>
      </c>
      <c r="U52" s="308">
        <f t="shared" ref="U52:U60" si="14">(R52*T52)</f>
        <v>52.000408660874392</v>
      </c>
    </row>
    <row r="53" spans="1:21" ht="14.1" customHeight="1" x14ac:dyDescent="0.2">
      <c r="B53" s="16">
        <v>19</v>
      </c>
      <c r="C53" s="238">
        <f t="shared" si="5"/>
        <v>442.536</v>
      </c>
      <c r="E53" s="16">
        <v>19</v>
      </c>
      <c r="F53" s="204">
        <f t="shared" si="9"/>
        <v>396.45600000000002</v>
      </c>
      <c r="G53" s="204"/>
      <c r="H53" s="16">
        <v>19</v>
      </c>
      <c r="I53" s="149">
        <f t="shared" si="2"/>
        <v>46.079999999999984</v>
      </c>
      <c r="K53" s="16">
        <v>19</v>
      </c>
      <c r="L53" s="204">
        <f t="shared" si="8"/>
        <v>396.45600000000002</v>
      </c>
      <c r="M53" s="149">
        <f t="shared" si="6"/>
        <v>20.866105263157895</v>
      </c>
      <c r="N53" s="267">
        <f t="shared" si="3"/>
        <v>0.55409316512263651</v>
      </c>
      <c r="O53" s="149">
        <f t="shared" si="4"/>
        <v>20.865611177744295</v>
      </c>
      <c r="P53" s="149">
        <f t="shared" si="7"/>
        <v>396.44661237714161</v>
      </c>
      <c r="R53" s="228">
        <v>3</v>
      </c>
      <c r="S53" s="384">
        <f>SQRT(12*32.2*M37^2/(4*$Q$6*($Q$5*56)*$Q$4^2))*S49</f>
        <v>0.63221854599949667</v>
      </c>
      <c r="T53" s="259">
        <f t="shared" si="13"/>
        <v>23.807596250108347</v>
      </c>
      <c r="U53" s="383">
        <f t="shared" si="14"/>
        <v>71.42278875032504</v>
      </c>
    </row>
    <row r="54" spans="1:21" ht="14.1" customHeight="1" x14ac:dyDescent="0.2">
      <c r="B54" s="16">
        <v>20</v>
      </c>
      <c r="C54" s="238">
        <f t="shared" si="5"/>
        <v>465.33799999999997</v>
      </c>
      <c r="E54" s="16">
        <v>20</v>
      </c>
      <c r="F54" s="204">
        <f t="shared" si="9"/>
        <v>418.21800000000007</v>
      </c>
      <c r="G54" s="204"/>
      <c r="H54" s="16">
        <v>20</v>
      </c>
      <c r="I54" s="149">
        <f t="shared" si="2"/>
        <v>47.119999999999891</v>
      </c>
      <c r="K54" s="261">
        <v>20</v>
      </c>
      <c r="L54" s="262">
        <f t="shared" si="8"/>
        <v>418.21800000000007</v>
      </c>
      <c r="M54" s="263">
        <f t="shared" si="6"/>
        <v>20.910900000000005</v>
      </c>
      <c r="N54" s="266">
        <f t="shared" si="3"/>
        <v>0.55528267592039449</v>
      </c>
      <c r="O54" s="263">
        <f t="shared" si="4"/>
        <v>20.910404853898473</v>
      </c>
      <c r="P54" s="263">
        <f t="shared" si="7"/>
        <v>418.20809707796946</v>
      </c>
      <c r="R54" s="228">
        <v>4</v>
      </c>
      <c r="S54" s="384">
        <f>SQRT(12*32.2*M38^2/(4*$Q$6*($Q$5*56)*$Q$4^2))*S49</f>
        <v>0.60418926352412528</v>
      </c>
      <c r="T54" s="259">
        <f t="shared" si="13"/>
        <v>22.752091243846774</v>
      </c>
      <c r="U54" s="383">
        <f t="shared" si="14"/>
        <v>91.008364975387096</v>
      </c>
    </row>
    <row r="55" spans="1:21" ht="14.1" customHeight="1" x14ac:dyDescent="0.2">
      <c r="B55" s="16">
        <v>21</v>
      </c>
      <c r="C55" s="238">
        <f t="shared" si="5"/>
        <v>488.14</v>
      </c>
      <c r="E55" s="16">
        <v>21</v>
      </c>
      <c r="F55" s="204">
        <f t="shared" si="9"/>
        <v>440.1400000000001</v>
      </c>
      <c r="G55" s="204"/>
      <c r="H55" s="16">
        <v>21</v>
      </c>
      <c r="I55" s="149">
        <f t="shared" si="2"/>
        <v>47.999999999999886</v>
      </c>
      <c r="K55" s="16">
        <v>21</v>
      </c>
      <c r="L55" s="204">
        <f t="shared" si="8"/>
        <v>440.1400000000001</v>
      </c>
      <c r="M55" s="149">
        <f t="shared" si="6"/>
        <v>20.959047619047624</v>
      </c>
      <c r="N55" s="267">
        <f t="shared" si="3"/>
        <v>0.55656122149920539</v>
      </c>
      <c r="O55" s="149">
        <f t="shared" si="4"/>
        <v>20.958551332865756</v>
      </c>
      <c r="P55" s="149">
        <f t="shared" si="7"/>
        <v>440.12957799018091</v>
      </c>
      <c r="R55" s="385">
        <v>5</v>
      </c>
      <c r="S55" s="386">
        <f>SQRT(12*32.2*M39^2/(4*$Q$6*($Q$5*56)*$Q$4^2))*S49</f>
        <v>0.58823843944641907</v>
      </c>
      <c r="T55" s="311">
        <f t="shared" si="13"/>
        <v>22.151427467212105</v>
      </c>
      <c r="U55" s="308">
        <f t="shared" si="14"/>
        <v>110.75713733606052</v>
      </c>
    </row>
    <row r="56" spans="1:21" ht="14.1" customHeight="1" x14ac:dyDescent="0.2">
      <c r="B56" s="16">
        <v>22</v>
      </c>
      <c r="C56" s="238">
        <f t="shared" si="5"/>
        <v>510.94200000000001</v>
      </c>
      <c r="E56" s="16">
        <v>22</v>
      </c>
      <c r="F56" s="204">
        <f t="shared" si="9"/>
        <v>462.22200000000009</v>
      </c>
      <c r="G56" s="204"/>
      <c r="H56" s="16">
        <v>22</v>
      </c>
      <c r="I56" s="149">
        <f t="shared" si="2"/>
        <v>48.719999999999914</v>
      </c>
      <c r="K56" s="16">
        <v>22</v>
      </c>
      <c r="L56" s="204">
        <f t="shared" si="8"/>
        <v>462.22200000000009</v>
      </c>
      <c r="M56" s="149">
        <f t="shared" si="6"/>
        <v>21.010090909090913</v>
      </c>
      <c r="N56" s="267">
        <f t="shared" si="3"/>
        <v>0.55791666075256219</v>
      </c>
      <c r="O56" s="149">
        <f t="shared" si="4"/>
        <v>21.00959341426255</v>
      </c>
      <c r="P56" s="149">
        <f t="shared" si="7"/>
        <v>462.21105511377613</v>
      </c>
      <c r="R56" s="228">
        <v>10</v>
      </c>
      <c r="S56" s="384">
        <f>SQRT(12*32.2*M44^2/(4*$Q$6*($Q$5*56)*$Q$4^2))*S49</f>
        <v>0.56283738184738219</v>
      </c>
      <c r="T56" s="259">
        <f t="shared" si="13"/>
        <v>21.194894117359858</v>
      </c>
      <c r="U56" s="383">
        <f t="shared" si="14"/>
        <v>211.9489411735986</v>
      </c>
    </row>
    <row r="57" spans="1:21" ht="14.1" customHeight="1" x14ac:dyDescent="0.2">
      <c r="B57" s="16">
        <v>23</v>
      </c>
      <c r="C57" s="238">
        <f t="shared" si="5"/>
        <v>533.74400000000003</v>
      </c>
      <c r="E57" s="16">
        <v>23</v>
      </c>
      <c r="F57" s="204">
        <f t="shared" si="9"/>
        <v>484.46400000000006</v>
      </c>
      <c r="G57" s="204"/>
      <c r="H57" s="16">
        <v>23</v>
      </c>
      <c r="I57" s="149">
        <f t="shared" si="2"/>
        <v>49.279999999999973</v>
      </c>
      <c r="K57" s="16">
        <v>23</v>
      </c>
      <c r="L57" s="204">
        <f t="shared" si="8"/>
        <v>484.46400000000006</v>
      </c>
      <c r="M57" s="149">
        <f t="shared" si="6"/>
        <v>21.063652173913045</v>
      </c>
      <c r="N57" s="267">
        <f t="shared" si="3"/>
        <v>0.55933896407074146</v>
      </c>
      <c r="O57" s="149">
        <f t="shared" si="4"/>
        <v>21.063153410815428</v>
      </c>
      <c r="P57" s="149">
        <f t="shared" si="7"/>
        <v>484.45252844875483</v>
      </c>
      <c r="R57" s="228">
        <v>20</v>
      </c>
      <c r="S57" s="384">
        <f>SQRT(12*32.2*M54^2/(4*$Q$6*($Q$5*56)*$Q$4^2))*S49</f>
        <v>0.56638832943880235</v>
      </c>
      <c r="T57" s="259">
        <f t="shared" si="13"/>
        <v>21.328612950976442</v>
      </c>
      <c r="U57" s="383">
        <f t="shared" si="14"/>
        <v>426.57225901952881</v>
      </c>
    </row>
    <row r="58" spans="1:21" ht="14.1" customHeight="1" x14ac:dyDescent="0.2">
      <c r="B58" s="16">
        <v>24</v>
      </c>
      <c r="C58" s="238">
        <f t="shared" si="5"/>
        <v>556.54600000000005</v>
      </c>
      <c r="E58" s="16">
        <v>24</v>
      </c>
      <c r="F58" s="204">
        <f t="shared" si="9"/>
        <v>506.8660000000001</v>
      </c>
      <c r="G58" s="204"/>
      <c r="H58" s="16">
        <v>24</v>
      </c>
      <c r="I58" s="149">
        <f t="shared" si="2"/>
        <v>49.67999999999995</v>
      </c>
      <c r="K58" s="16">
        <v>24</v>
      </c>
      <c r="L58" s="204">
        <f t="shared" si="8"/>
        <v>506.8660000000001</v>
      </c>
      <c r="M58" s="149">
        <f t="shared" si="6"/>
        <v>21.11941666666667</v>
      </c>
      <c r="N58" s="267">
        <f t="shared" si="3"/>
        <v>0.56081977344564049</v>
      </c>
      <c r="O58" s="149">
        <f t="shared" si="4"/>
        <v>21.118916583129899</v>
      </c>
      <c r="P58" s="149">
        <f t="shared" si="7"/>
        <v>506.85399799511754</v>
      </c>
      <c r="R58" s="228">
        <v>30</v>
      </c>
      <c r="S58" s="384">
        <f>SQRT(12*32.2*M64^2/(4*$Q$6*($Q$5*56)*$Q$4^2))*S49</f>
        <v>0.58201773542788793</v>
      </c>
      <c r="T58" s="259">
        <f t="shared" si="13"/>
        <v>21.917173014219941</v>
      </c>
      <c r="U58" s="383">
        <f t="shared" si="14"/>
        <v>657.51519042659822</v>
      </c>
    </row>
    <row r="59" spans="1:21" ht="14.1" customHeight="1" x14ac:dyDescent="0.2">
      <c r="B59" s="228">
        <v>25</v>
      </c>
      <c r="C59" s="238">
        <f t="shared" si="5"/>
        <v>579.34799999999996</v>
      </c>
      <c r="E59" s="16">
        <v>25</v>
      </c>
      <c r="F59" s="204">
        <f t="shared" si="9"/>
        <v>529.428</v>
      </c>
      <c r="G59" s="204"/>
      <c r="H59" s="16">
        <v>25</v>
      </c>
      <c r="I59" s="149">
        <f t="shared" si="2"/>
        <v>49.919999999999959</v>
      </c>
      <c r="K59" s="16">
        <v>25</v>
      </c>
      <c r="L59" s="204">
        <f t="shared" si="8"/>
        <v>529.428</v>
      </c>
      <c r="M59" s="149">
        <f t="shared" si="6"/>
        <v>21.177119999999999</v>
      </c>
      <c r="N59" s="267">
        <f t="shared" si="3"/>
        <v>0.56235206815045269</v>
      </c>
      <c r="O59" s="149">
        <f t="shared" si="4"/>
        <v>21.176618550114551</v>
      </c>
      <c r="P59" s="149">
        <f t="shared" si="7"/>
        <v>529.41546375286373</v>
      </c>
      <c r="R59" s="385">
        <v>40</v>
      </c>
      <c r="S59" s="386">
        <f>SQRT(12*32.2*M74^2/(4*$Q$6*($Q$5*56)*$Q$4^2))*S49</f>
        <v>0.60066675601638986</v>
      </c>
      <c r="T59" s="311">
        <f t="shared" si="13"/>
        <v>22.619443384870163</v>
      </c>
      <c r="U59" s="308">
        <f t="shared" si="14"/>
        <v>904.77773539480654</v>
      </c>
    </row>
    <row r="60" spans="1:21" ht="14.1" customHeight="1" x14ac:dyDescent="0.2">
      <c r="A60" s="158"/>
      <c r="B60" s="239">
        <v>26</v>
      </c>
      <c r="C60" s="240">
        <f t="shared" si="5"/>
        <v>602.15</v>
      </c>
      <c r="D60" s="159"/>
      <c r="E60" s="239">
        <v>26</v>
      </c>
      <c r="F60" s="241">
        <f t="shared" si="9"/>
        <v>552.15000000000009</v>
      </c>
      <c r="G60" s="241"/>
      <c r="H60" s="239">
        <v>26</v>
      </c>
      <c r="I60" s="246">
        <f t="shared" si="2"/>
        <v>49.999999999999886</v>
      </c>
      <c r="J60" s="159"/>
      <c r="K60" s="239">
        <v>26</v>
      </c>
      <c r="L60" s="204">
        <f t="shared" si="8"/>
        <v>552.15000000000009</v>
      </c>
      <c r="M60" s="259">
        <f t="shared" si="6"/>
        <v>21.236538461538466</v>
      </c>
      <c r="N60" s="267">
        <f t="shared" si="3"/>
        <v>0.56392990757018846</v>
      </c>
      <c r="O60" s="149">
        <f t="shared" si="4"/>
        <v>21.236035604692074</v>
      </c>
      <c r="P60" s="149">
        <f t="shared" si="7"/>
        <v>552.13692572199386</v>
      </c>
      <c r="R60" s="228">
        <v>50</v>
      </c>
      <c r="S60" s="384">
        <f>SQRT(12*32.2*M84^2/(4*$Q$6*($Q$5*56)*$Q$4^2))*S49</f>
        <v>0.62052362244465842</v>
      </c>
      <c r="T60" s="259">
        <f t="shared" si="13"/>
        <v>23.367197878483083</v>
      </c>
      <c r="U60" s="383">
        <f t="shared" si="14"/>
        <v>1168.3598939241542</v>
      </c>
    </row>
    <row r="61" spans="1:21" ht="14.1" customHeight="1" x14ac:dyDescent="0.2">
      <c r="B61" s="16">
        <v>27</v>
      </c>
      <c r="C61" s="238">
        <f t="shared" si="5"/>
        <v>624.952</v>
      </c>
      <c r="E61" s="16">
        <v>27</v>
      </c>
      <c r="F61" s="204">
        <f t="shared" si="9"/>
        <v>575.03200000000004</v>
      </c>
      <c r="G61" s="204"/>
      <c r="H61" s="16">
        <v>27</v>
      </c>
      <c r="I61" s="149">
        <f t="shared" si="2"/>
        <v>49.919999999999959</v>
      </c>
      <c r="K61" s="16">
        <v>27</v>
      </c>
      <c r="L61" s="204">
        <f t="shared" si="8"/>
        <v>575.03200000000004</v>
      </c>
      <c r="M61" s="149">
        <f t="shared" si="6"/>
        <v>21.297481481481483</v>
      </c>
      <c r="N61" s="267">
        <f t="shared" si="3"/>
        <v>0.56554823118096698</v>
      </c>
      <c r="O61" s="149">
        <f t="shared" si="4"/>
        <v>21.296977181574356</v>
      </c>
      <c r="P61" s="149">
        <f t="shared" si="7"/>
        <v>575.01838390250759</v>
      </c>
    </row>
    <row r="62" spans="1:21" ht="14.1" customHeight="1" x14ac:dyDescent="0.2">
      <c r="B62" s="16">
        <v>28</v>
      </c>
      <c r="C62" s="238">
        <f t="shared" si="5"/>
        <v>647.75400000000002</v>
      </c>
      <c r="E62" s="16">
        <v>28</v>
      </c>
      <c r="F62" s="204">
        <f t="shared" si="9"/>
        <v>598.07400000000007</v>
      </c>
      <c r="G62" s="204"/>
      <c r="H62" s="16">
        <v>28</v>
      </c>
      <c r="I62" s="149">
        <f t="shared" si="2"/>
        <v>49.67999999999995</v>
      </c>
      <c r="K62" s="16">
        <v>28</v>
      </c>
      <c r="L62" s="204">
        <f t="shared" si="8"/>
        <v>598.07400000000007</v>
      </c>
      <c r="M62" s="149">
        <f t="shared" si="6"/>
        <v>21.359785714285717</v>
      </c>
      <c r="N62" s="267">
        <f t="shared" si="3"/>
        <v>0.56720270139089113</v>
      </c>
      <c r="O62" s="149">
        <f t="shared" si="4"/>
        <v>21.359279939085898</v>
      </c>
      <c r="P62" s="149">
        <f t="shared" si="7"/>
        <v>598.05983829440515</v>
      </c>
    </row>
    <row r="63" spans="1:21" ht="14.1" customHeight="1" x14ac:dyDescent="0.2">
      <c r="B63" s="16">
        <v>29</v>
      </c>
      <c r="C63" s="238">
        <f t="shared" si="5"/>
        <v>670.55600000000004</v>
      </c>
      <c r="E63" s="16">
        <v>29</v>
      </c>
      <c r="F63" s="204">
        <f t="shared" si="9"/>
        <v>621.27600000000007</v>
      </c>
      <c r="G63" s="204"/>
      <c r="H63" s="16">
        <v>29</v>
      </c>
      <c r="I63" s="149">
        <f t="shared" si="2"/>
        <v>49.279999999999973</v>
      </c>
      <c r="K63" s="16">
        <v>29</v>
      </c>
      <c r="L63" s="204">
        <f t="shared" si="8"/>
        <v>621.27600000000007</v>
      </c>
      <c r="M63" s="149">
        <f t="shared" si="6"/>
        <v>21.423310344827588</v>
      </c>
      <c r="N63" s="267">
        <f t="shared" si="3"/>
        <v>0.56888957889660086</v>
      </c>
      <c r="O63" s="149">
        <f t="shared" si="4"/>
        <v>21.42280306543746</v>
      </c>
      <c r="P63" s="149">
        <f t="shared" si="7"/>
        <v>621.26128889768631</v>
      </c>
    </row>
    <row r="64" spans="1:21" ht="14.1" customHeight="1" x14ac:dyDescent="0.2">
      <c r="B64" s="16">
        <v>30</v>
      </c>
      <c r="C64" s="238">
        <f t="shared" si="5"/>
        <v>693.35799999999995</v>
      </c>
      <c r="E64" s="16">
        <v>30</v>
      </c>
      <c r="F64" s="204">
        <f t="shared" si="9"/>
        <v>644.63800000000015</v>
      </c>
      <c r="G64" s="204"/>
      <c r="H64" s="16">
        <v>30</v>
      </c>
      <c r="I64" s="149">
        <f t="shared" si="2"/>
        <v>48.7199999999998</v>
      </c>
      <c r="K64" s="261">
        <v>30</v>
      </c>
      <c r="L64" s="262">
        <f t="shared" si="8"/>
        <v>644.63800000000015</v>
      </c>
      <c r="M64" s="263">
        <f t="shared" si="6"/>
        <v>21.487933333333338</v>
      </c>
      <c r="N64" s="266">
        <f t="shared" si="3"/>
        <v>0.57060562296851758</v>
      </c>
      <c r="O64" s="263">
        <f t="shared" si="4"/>
        <v>21.487424523745037</v>
      </c>
      <c r="P64" s="263">
        <f t="shared" si="7"/>
        <v>644.62273571235107</v>
      </c>
    </row>
    <row r="65" spans="2:16" ht="14.1" customHeight="1" x14ac:dyDescent="0.2">
      <c r="B65" s="16">
        <v>31</v>
      </c>
      <c r="C65" s="238">
        <f t="shared" si="5"/>
        <v>716.16</v>
      </c>
      <c r="E65" s="16">
        <v>31</v>
      </c>
      <c r="F65" s="204">
        <f t="shared" si="9"/>
        <v>668.16000000000008</v>
      </c>
      <c r="G65" s="204"/>
      <c r="H65" s="16">
        <v>31</v>
      </c>
      <c r="I65" s="149">
        <f t="shared" si="2"/>
        <v>47.999999999999886</v>
      </c>
      <c r="K65" s="16">
        <v>31</v>
      </c>
      <c r="L65" s="204">
        <f t="shared" si="8"/>
        <v>668.16000000000008</v>
      </c>
      <c r="M65" s="149">
        <f t="shared" si="6"/>
        <v>21.553548387096775</v>
      </c>
      <c r="N65" s="267">
        <f t="shared" si="3"/>
        <v>0.57234801103571809</v>
      </c>
      <c r="O65" s="149">
        <f t="shared" si="4"/>
        <v>21.553038023819344</v>
      </c>
      <c r="P65" s="149">
        <f t="shared" si="7"/>
        <v>668.14417873839966</v>
      </c>
    </row>
    <row r="66" spans="2:16" ht="14.1" customHeight="1" x14ac:dyDescent="0.2">
      <c r="B66" s="16">
        <v>32</v>
      </c>
      <c r="C66" s="238">
        <f t="shared" si="5"/>
        <v>738.96199999999999</v>
      </c>
      <c r="E66" s="16">
        <v>32</v>
      </c>
      <c r="F66" s="204">
        <f t="shared" si="9"/>
        <v>691.8420000000001</v>
      </c>
      <c r="G66" s="204"/>
      <c r="H66" s="16">
        <v>32</v>
      </c>
      <c r="I66" s="149">
        <f t="shared" si="2"/>
        <v>47.119999999999891</v>
      </c>
      <c r="K66" s="16">
        <v>32</v>
      </c>
      <c r="L66" s="204">
        <f t="shared" si="8"/>
        <v>691.8420000000001</v>
      </c>
      <c r="M66" s="149">
        <f t="shared" si="6"/>
        <v>21.620062500000003</v>
      </c>
      <c r="N66" s="267">
        <f t="shared" si="3"/>
        <v>0.57411427334864462</v>
      </c>
      <c r="O66" s="149">
        <f t="shared" si="4"/>
        <v>21.619550561744749</v>
      </c>
      <c r="P66" s="149">
        <f t="shared" si="7"/>
        <v>691.82561797583196</v>
      </c>
    </row>
    <row r="67" spans="2:16" ht="14.1" customHeight="1" x14ac:dyDescent="0.2">
      <c r="B67" s="16">
        <v>33</v>
      </c>
      <c r="C67" s="238">
        <f t="shared" si="5"/>
        <v>761.76400000000001</v>
      </c>
      <c r="E67" s="16">
        <v>33</v>
      </c>
      <c r="F67" s="204">
        <f t="shared" si="9"/>
        <v>715.68400000000008</v>
      </c>
      <c r="G67" s="204"/>
      <c r="H67" s="16">
        <v>33</v>
      </c>
      <c r="I67" s="149">
        <f t="shared" si="2"/>
        <v>46.079999999999927</v>
      </c>
      <c r="K67" s="16">
        <v>33</v>
      </c>
      <c r="L67" s="204">
        <f t="shared" si="8"/>
        <v>715.68400000000008</v>
      </c>
      <c r="M67" s="149">
        <f t="shared" si="6"/>
        <v>21.687393939393942</v>
      </c>
      <c r="N67" s="267">
        <f t="shared" si="3"/>
        <v>0.57590223952132191</v>
      </c>
      <c r="O67" s="149">
        <f t="shared" si="4"/>
        <v>21.686880406807518</v>
      </c>
      <c r="P67" s="149">
        <f t="shared" si="7"/>
        <v>715.66705342464809</v>
      </c>
    </row>
    <row r="68" spans="2:16" ht="14.1" customHeight="1" x14ac:dyDescent="0.2">
      <c r="B68" s="16">
        <v>34</v>
      </c>
      <c r="C68" s="238">
        <f t="shared" si="5"/>
        <v>784.56600000000003</v>
      </c>
      <c r="E68" s="16">
        <v>34</v>
      </c>
      <c r="F68" s="204">
        <f t="shared" si="9"/>
        <v>739.68600000000004</v>
      </c>
      <c r="G68" s="204"/>
      <c r="H68" s="16">
        <v>34</v>
      </c>
      <c r="I68" s="149">
        <f t="shared" si="2"/>
        <v>44.879999999999995</v>
      </c>
      <c r="K68" s="16">
        <v>34</v>
      </c>
      <c r="L68" s="204">
        <f t="shared" si="8"/>
        <v>739.68600000000004</v>
      </c>
      <c r="M68" s="149">
        <f t="shared" si="6"/>
        <v>21.755470588235294</v>
      </c>
      <c r="N68" s="267">
        <f t="shared" si="3"/>
        <v>0.57770999450730143</v>
      </c>
      <c r="O68" s="149">
        <f t="shared" si="4"/>
        <v>21.754955443671992</v>
      </c>
      <c r="P68" s="149">
        <f t="shared" si="7"/>
        <v>739.6684850848477</v>
      </c>
    </row>
    <row r="69" spans="2:16" ht="14.1" customHeight="1" x14ac:dyDescent="0.2">
      <c r="B69" s="16">
        <v>35</v>
      </c>
      <c r="C69" s="238">
        <f t="shared" si="5"/>
        <v>807.36799999999994</v>
      </c>
      <c r="E69" s="16">
        <v>35</v>
      </c>
      <c r="F69" s="204">
        <f t="shared" si="9"/>
        <v>763.84800000000007</v>
      </c>
      <c r="G69" s="204"/>
      <c r="H69" s="16">
        <v>35</v>
      </c>
      <c r="I69" s="149">
        <f t="shared" si="2"/>
        <v>43.519999999999868</v>
      </c>
      <c r="K69" s="16">
        <v>35</v>
      </c>
      <c r="L69" s="204">
        <f t="shared" si="8"/>
        <v>763.84800000000007</v>
      </c>
      <c r="M69" s="149">
        <f t="shared" si="6"/>
        <v>21.824228571428574</v>
      </c>
      <c r="N69" s="267">
        <f t="shared" si="3"/>
        <v>0.57953584212258602</v>
      </c>
      <c r="O69" s="149">
        <f t="shared" si="4"/>
        <v>21.823711798755184</v>
      </c>
      <c r="P69" s="149">
        <f t="shared" si="7"/>
        <v>763.82991295643149</v>
      </c>
    </row>
    <row r="70" spans="2:16" ht="14.1" customHeight="1" x14ac:dyDescent="0.2">
      <c r="B70" s="16">
        <v>36</v>
      </c>
      <c r="C70" s="238">
        <f t="shared" si="5"/>
        <v>830.17</v>
      </c>
      <c r="E70" s="16">
        <v>36</v>
      </c>
      <c r="F70" s="204">
        <f t="shared" si="9"/>
        <v>788.17000000000007</v>
      </c>
      <c r="G70" s="204"/>
      <c r="H70" s="16">
        <v>36</v>
      </c>
      <c r="I70" s="149">
        <f t="shared" si="2"/>
        <v>41.999999999999886</v>
      </c>
      <c r="K70" s="16">
        <v>36</v>
      </c>
      <c r="L70" s="204">
        <f t="shared" si="8"/>
        <v>788.17000000000007</v>
      </c>
      <c r="M70" s="149">
        <f t="shared" si="6"/>
        <v>21.893611111111113</v>
      </c>
      <c r="N70" s="267">
        <f t="shared" si="3"/>
        <v>0.58137827464806668</v>
      </c>
      <c r="O70" s="149">
        <f t="shared" si="4"/>
        <v>21.893092695538851</v>
      </c>
      <c r="P70" s="149">
        <f t="shared" si="7"/>
        <v>788.15133703939864</v>
      </c>
    </row>
    <row r="71" spans="2:16" ht="14.1" customHeight="1" x14ac:dyDescent="0.2">
      <c r="B71" s="16">
        <v>37</v>
      </c>
      <c r="C71" s="238">
        <f t="shared" si="5"/>
        <v>852.97199999999998</v>
      </c>
      <c r="E71" s="16">
        <v>37</v>
      </c>
      <c r="F71" s="204">
        <f t="shared" si="9"/>
        <v>812.65200000000004</v>
      </c>
      <c r="G71" s="204"/>
      <c r="H71" s="16">
        <v>37</v>
      </c>
      <c r="I71" s="149">
        <f t="shared" si="2"/>
        <v>40.319999999999936</v>
      </c>
      <c r="K71" s="16">
        <v>37</v>
      </c>
      <c r="L71" s="204">
        <f t="shared" si="8"/>
        <v>812.65200000000004</v>
      </c>
      <c r="M71" s="149">
        <f t="shared" si="6"/>
        <v>21.963567567567569</v>
      </c>
      <c r="N71" s="267">
        <f t="shared" si="3"/>
        <v>0.58323594736129514</v>
      </c>
      <c r="O71" s="149">
        <f t="shared" si="4"/>
        <v>21.963047495506743</v>
      </c>
      <c r="P71" s="149">
        <f t="shared" si="7"/>
        <v>812.63275733374951</v>
      </c>
    </row>
    <row r="72" spans="2:16" ht="14.1" customHeight="1" x14ac:dyDescent="0.2">
      <c r="B72" s="16">
        <v>38</v>
      </c>
      <c r="C72" s="238">
        <f t="shared" si="5"/>
        <v>875.774</v>
      </c>
      <c r="E72" s="16">
        <v>38</v>
      </c>
      <c r="F72" s="204">
        <f t="shared" si="9"/>
        <v>837.2940000000001</v>
      </c>
      <c r="G72" s="204"/>
      <c r="H72" s="16">
        <v>38</v>
      </c>
      <c r="I72" s="149">
        <f t="shared" si="2"/>
        <v>38.479999999999905</v>
      </c>
      <c r="K72" s="16">
        <v>38</v>
      </c>
      <c r="L72" s="204">
        <f t="shared" si="8"/>
        <v>837.2940000000001</v>
      </c>
      <c r="M72" s="149">
        <f t="shared" si="6"/>
        <v>22.034052631578948</v>
      </c>
      <c r="N72" s="267">
        <f t="shared" si="3"/>
        <v>0.58510765708955459</v>
      </c>
      <c r="O72" s="149">
        <f t="shared" si="4"/>
        <v>22.033530890512736</v>
      </c>
      <c r="P72" s="149">
        <f t="shared" si="7"/>
        <v>837.27417383948398</v>
      </c>
    </row>
    <row r="73" spans="2:16" ht="14.1" customHeight="1" x14ac:dyDescent="0.2">
      <c r="B73" s="16">
        <v>39</v>
      </c>
      <c r="C73" s="238">
        <f t="shared" si="5"/>
        <v>898.57600000000002</v>
      </c>
      <c r="E73" s="16">
        <v>39</v>
      </c>
      <c r="F73" s="204">
        <f t="shared" si="9"/>
        <v>862.09600000000012</v>
      </c>
      <c r="G73" s="204"/>
      <c r="H73" s="16">
        <v>39</v>
      </c>
      <c r="I73" s="149">
        <f t="shared" si="2"/>
        <v>36.479999999999905</v>
      </c>
      <c r="K73" s="16">
        <v>39</v>
      </c>
      <c r="L73" s="204">
        <f t="shared" si="8"/>
        <v>862.09600000000012</v>
      </c>
      <c r="M73" s="149">
        <f t="shared" si="6"/>
        <v>22.105025641025644</v>
      </c>
      <c r="N73" s="267">
        <f t="shared" si="3"/>
        <v>0.58699232406245794</v>
      </c>
      <c r="O73" s="149">
        <f t="shared" si="4"/>
        <v>22.104502219400064</v>
      </c>
      <c r="P73" s="149">
        <f t="shared" si="7"/>
        <v>862.0755865566025</v>
      </c>
    </row>
    <row r="74" spans="2:16" ht="14.1" customHeight="1" x14ac:dyDescent="0.2">
      <c r="B74" s="16">
        <v>40</v>
      </c>
      <c r="C74" s="238">
        <f t="shared" si="5"/>
        <v>921.37799999999993</v>
      </c>
      <c r="E74" s="16">
        <v>40</v>
      </c>
      <c r="F74" s="204">
        <f t="shared" si="9"/>
        <v>887.05800000000011</v>
      </c>
      <c r="G74" s="204"/>
      <c r="H74" s="16">
        <v>40</v>
      </c>
      <c r="I74" s="149">
        <f t="shared" si="2"/>
        <v>34.319999999999823</v>
      </c>
      <c r="K74" s="261">
        <v>40</v>
      </c>
      <c r="L74" s="262">
        <f t="shared" si="8"/>
        <v>887.05800000000011</v>
      </c>
      <c r="M74" s="263">
        <f t="shared" si="6"/>
        <v>22.176450000000003</v>
      </c>
      <c r="N74" s="266">
        <f t="shared" si="3"/>
        <v>0.58888897648665672</v>
      </c>
      <c r="O74" s="263">
        <f t="shared" si="4"/>
        <v>22.175924887127611</v>
      </c>
      <c r="P74" s="263">
        <f t="shared" si="7"/>
        <v>887.0369954851044</v>
      </c>
    </row>
    <row r="75" spans="2:16" ht="14.1" customHeight="1" x14ac:dyDescent="0.2">
      <c r="B75" s="16">
        <v>41</v>
      </c>
      <c r="C75" s="238">
        <f t="shared" si="5"/>
        <v>944.18</v>
      </c>
      <c r="E75" s="16">
        <v>41</v>
      </c>
      <c r="F75" s="204">
        <f t="shared" si="9"/>
        <v>912.18000000000006</v>
      </c>
      <c r="G75" s="204"/>
      <c r="H75" s="16">
        <v>41</v>
      </c>
      <c r="I75" s="149">
        <f t="shared" si="2"/>
        <v>31.999999999999886</v>
      </c>
      <c r="K75" s="16">
        <v>41</v>
      </c>
      <c r="L75" s="204">
        <f t="shared" si="8"/>
        <v>912.18000000000006</v>
      </c>
      <c r="M75" s="149">
        <f t="shared" si="6"/>
        <v>22.248292682926831</v>
      </c>
      <c r="N75" s="267">
        <f t="shared" si="3"/>
        <v>0.59079673737791016</v>
      </c>
      <c r="O75" s="149">
        <f t="shared" si="4"/>
        <v>22.247765868902203</v>
      </c>
      <c r="P75" s="149">
        <f t="shared" si="7"/>
        <v>912.15840062499035</v>
      </c>
    </row>
    <row r="76" spans="2:16" ht="14.1" customHeight="1" x14ac:dyDescent="0.2">
      <c r="B76" s="16">
        <v>42</v>
      </c>
      <c r="C76" s="238">
        <f t="shared" si="5"/>
        <v>966.98199999999997</v>
      </c>
      <c r="E76" s="16">
        <v>42</v>
      </c>
      <c r="F76" s="204">
        <f t="shared" si="9"/>
        <v>937.4620000000001</v>
      </c>
      <c r="G76" s="204"/>
      <c r="H76" s="16">
        <v>42</v>
      </c>
      <c r="I76" s="149">
        <f t="shared" si="2"/>
        <v>29.519999999999868</v>
      </c>
      <c r="K76" s="16">
        <v>42</v>
      </c>
      <c r="L76" s="204">
        <f t="shared" si="8"/>
        <v>937.4620000000001</v>
      </c>
      <c r="M76" s="149">
        <f t="shared" si="6"/>
        <v>22.320523809523813</v>
      </c>
      <c r="N76" s="267">
        <f t="shared" si="3"/>
        <v>0.59271481327428555</v>
      </c>
      <c r="O76" s="149">
        <f t="shared" si="4"/>
        <v>22.319995285149044</v>
      </c>
      <c r="P76" s="149">
        <f t="shared" si="7"/>
        <v>937.4398019762599</v>
      </c>
    </row>
    <row r="77" spans="2:16" ht="14.1" customHeight="1" x14ac:dyDescent="0.2">
      <c r="B77" s="16">
        <v>43</v>
      </c>
      <c r="C77" s="238">
        <f t="shared" si="5"/>
        <v>989.78399999999999</v>
      </c>
      <c r="E77" s="16">
        <v>43</v>
      </c>
      <c r="F77" s="204">
        <f t="shared" si="9"/>
        <v>962.90400000000011</v>
      </c>
      <c r="G77" s="204"/>
      <c r="H77" s="16">
        <v>43</v>
      </c>
      <c r="I77" s="149">
        <f t="shared" si="2"/>
        <v>26.879999999999882</v>
      </c>
      <c r="K77" s="16">
        <v>43</v>
      </c>
      <c r="L77" s="204">
        <f t="shared" si="8"/>
        <v>962.90400000000011</v>
      </c>
      <c r="M77" s="149">
        <f t="shared" si="6"/>
        <v>22.393116279069769</v>
      </c>
      <c r="N77" s="267">
        <f t="shared" si="3"/>
        <v>0.59464248452426272</v>
      </c>
      <c r="O77" s="149">
        <f t="shared" si="4"/>
        <v>22.392586035788671</v>
      </c>
      <c r="P77" s="149">
        <f t="shared" si="7"/>
        <v>962.88119953891282</v>
      </c>
    </row>
    <row r="78" spans="2:16" ht="14.1" customHeight="1" x14ac:dyDescent="0.2">
      <c r="B78" s="16">
        <v>44</v>
      </c>
      <c r="C78" s="238">
        <f t="shared" si="5"/>
        <v>1012.586</v>
      </c>
      <c r="E78" s="16">
        <v>44</v>
      </c>
      <c r="F78" s="204">
        <f t="shared" si="9"/>
        <v>988.50599999999997</v>
      </c>
      <c r="G78" s="204"/>
      <c r="H78" s="16">
        <v>44</v>
      </c>
      <c r="I78" s="149">
        <f t="shared" si="2"/>
        <v>24.080000000000041</v>
      </c>
      <c r="K78" s="16">
        <v>44</v>
      </c>
      <c r="L78" s="204">
        <f t="shared" si="8"/>
        <v>988.50599999999997</v>
      </c>
      <c r="M78" s="149">
        <f t="shared" si="6"/>
        <v>22.466045454545455</v>
      </c>
      <c r="N78" s="267">
        <f t="shared" si="3"/>
        <v>0.59657909689918709</v>
      </c>
      <c r="O78" s="149">
        <f t="shared" si="4"/>
        <v>22.465513484385216</v>
      </c>
      <c r="P78" s="149">
        <f t="shared" si="7"/>
        <v>988.48259331294946</v>
      </c>
    </row>
    <row r="79" spans="2:16" ht="14.1" customHeight="1" x14ac:dyDescent="0.2">
      <c r="B79" s="16">
        <v>45</v>
      </c>
      <c r="C79" s="238">
        <f t="shared" si="5"/>
        <v>1035.3879999999999</v>
      </c>
      <c r="E79" s="16">
        <v>45</v>
      </c>
      <c r="F79" s="204">
        <f t="shared" si="9"/>
        <v>1014.268</v>
      </c>
      <c r="G79" s="204"/>
      <c r="H79" s="16">
        <v>45</v>
      </c>
      <c r="I79" s="149">
        <f t="shared" si="2"/>
        <v>21.119999999999891</v>
      </c>
      <c r="K79" s="16">
        <v>45</v>
      </c>
      <c r="L79" s="204">
        <f t="shared" si="8"/>
        <v>1014.268</v>
      </c>
      <c r="M79" s="149">
        <f t="shared" si="6"/>
        <v>22.53928888888889</v>
      </c>
      <c r="N79" s="267">
        <f t="shared" si="3"/>
        <v>0.5985240543240623</v>
      </c>
      <c r="O79" s="149">
        <f t="shared" si="4"/>
        <v>22.538755184408231</v>
      </c>
      <c r="P79" s="149">
        <f t="shared" si="7"/>
        <v>1014.2439832983704</v>
      </c>
    </row>
    <row r="80" spans="2:16" ht="14.1" customHeight="1" x14ac:dyDescent="0.2">
      <c r="B80" s="16">
        <v>46</v>
      </c>
      <c r="C80" s="238">
        <f t="shared" si="5"/>
        <v>1058.19</v>
      </c>
      <c r="E80" s="16">
        <v>46</v>
      </c>
      <c r="F80" s="204">
        <f t="shared" si="9"/>
        <v>1040.1900000000003</v>
      </c>
      <c r="G80" s="204"/>
      <c r="H80" s="16">
        <v>46</v>
      </c>
      <c r="I80" s="149">
        <f t="shared" si="2"/>
        <v>17.999999999999773</v>
      </c>
      <c r="K80" s="16">
        <v>46</v>
      </c>
      <c r="L80" s="204">
        <f t="shared" si="8"/>
        <v>1040.1900000000003</v>
      </c>
      <c r="M80" s="149">
        <f t="shared" si="6"/>
        <v>22.612826086956527</v>
      </c>
      <c r="N80" s="267">
        <f t="shared" si="3"/>
        <v>0.60047681255650021</v>
      </c>
      <c r="O80" s="149">
        <f t="shared" si="4"/>
        <v>22.612290641199454</v>
      </c>
      <c r="P80" s="149">
        <f t="shared" si="7"/>
        <v>1040.1653694951749</v>
      </c>
    </row>
    <row r="81" spans="2:16" ht="14.1" customHeight="1" x14ac:dyDescent="0.2">
      <c r="B81" s="16">
        <v>47</v>
      </c>
      <c r="C81" s="238">
        <f t="shared" si="5"/>
        <v>1080.992</v>
      </c>
      <c r="E81" s="16">
        <v>47</v>
      </c>
      <c r="F81" s="204">
        <f t="shared" si="9"/>
        <v>1066.2720000000002</v>
      </c>
      <c r="G81" s="204"/>
      <c r="H81" s="16">
        <v>47</v>
      </c>
      <c r="I81" s="149">
        <f t="shared" si="2"/>
        <v>14.7199999999998</v>
      </c>
      <c r="K81" s="16">
        <v>47</v>
      </c>
      <c r="L81" s="204">
        <f t="shared" si="8"/>
        <v>1066.2720000000002</v>
      </c>
      <c r="M81" s="149">
        <f t="shared" si="6"/>
        <v>22.686638297872342</v>
      </c>
      <c r="N81" s="267">
        <f t="shared" si="3"/>
        <v>0.60243687367261356</v>
      </c>
      <c r="O81" s="149">
        <f t="shared" si="4"/>
        <v>22.68610110432687</v>
      </c>
      <c r="P81" s="149">
        <f t="shared" si="7"/>
        <v>1066.2467519033628</v>
      </c>
    </row>
    <row r="82" spans="2:16" ht="14.1" customHeight="1" x14ac:dyDescent="0.2">
      <c r="B82" s="16">
        <v>48</v>
      </c>
      <c r="C82" s="238">
        <f t="shared" si="5"/>
        <v>1103.7940000000001</v>
      </c>
      <c r="E82" s="16">
        <v>48</v>
      </c>
      <c r="F82" s="204">
        <f t="shared" si="9"/>
        <v>1092.5140000000001</v>
      </c>
      <c r="G82" s="204"/>
      <c r="H82" s="16">
        <v>48</v>
      </c>
      <c r="I82" s="149">
        <f t="shared" si="2"/>
        <v>11.279999999999973</v>
      </c>
      <c r="K82" s="16">
        <v>48</v>
      </c>
      <c r="L82" s="204">
        <f t="shared" si="8"/>
        <v>1092.5140000000001</v>
      </c>
      <c r="M82" s="149">
        <f t="shared" si="6"/>
        <v>22.760708333333337</v>
      </c>
      <c r="N82" s="267">
        <f t="shared" si="3"/>
        <v>0.60440378124217298</v>
      </c>
      <c r="O82" s="149">
        <f t="shared" si="4"/>
        <v>22.760169385894475</v>
      </c>
      <c r="P82" s="149">
        <f t="shared" si="7"/>
        <v>1092.4881305229349</v>
      </c>
    </row>
    <row r="83" spans="2:16" ht="14.1" customHeight="1" x14ac:dyDescent="0.2">
      <c r="B83" s="16">
        <v>49</v>
      </c>
      <c r="C83" s="238">
        <f t="shared" si="5"/>
        <v>1126.596</v>
      </c>
      <c r="E83" s="16">
        <v>49</v>
      </c>
      <c r="F83" s="204">
        <f t="shared" si="9"/>
        <v>1118.9160000000002</v>
      </c>
      <c r="G83" s="204"/>
      <c r="H83" s="16">
        <v>49</v>
      </c>
      <c r="I83" s="149">
        <f t="shared" si="2"/>
        <v>7.6799999999998363</v>
      </c>
      <c r="K83" s="16">
        <v>49</v>
      </c>
      <c r="L83" s="204">
        <f t="shared" si="8"/>
        <v>1118.9160000000002</v>
      </c>
      <c r="M83" s="149">
        <f t="shared" si="6"/>
        <v>22.83502040816327</v>
      </c>
      <c r="N83" s="267">
        <f t="shared" si="3"/>
        <v>0.60637711609455913</v>
      </c>
      <c r="O83" s="149">
        <f t="shared" si="4"/>
        <v>22.834479701099799</v>
      </c>
      <c r="P83" s="149">
        <f t="shared" si="7"/>
        <v>1118.8895053538902</v>
      </c>
    </row>
    <row r="84" spans="2:16" ht="14.1" customHeight="1" x14ac:dyDescent="0.2">
      <c r="B84" s="16">
        <v>50</v>
      </c>
      <c r="C84" s="238">
        <f t="shared" si="5"/>
        <v>1149.3979999999999</v>
      </c>
      <c r="E84" s="16">
        <v>50</v>
      </c>
      <c r="F84" s="204">
        <f t="shared" si="9"/>
        <v>1145.4780000000001</v>
      </c>
      <c r="G84" s="204"/>
      <c r="H84" s="16">
        <v>50</v>
      </c>
      <c r="I84" s="149">
        <f t="shared" si="2"/>
        <v>3.9199999999998454</v>
      </c>
      <c r="K84" s="261">
        <v>50</v>
      </c>
      <c r="L84" s="262">
        <f t="shared" si="8"/>
        <v>1145.4780000000001</v>
      </c>
      <c r="M84" s="263">
        <f t="shared" si="6"/>
        <v>22.909560000000003</v>
      </c>
      <c r="N84" s="266">
        <f t="shared" si="3"/>
        <v>0.60835649259280233</v>
      </c>
      <c r="O84" s="263">
        <f t="shared" si="4"/>
        <v>22.909017527924586</v>
      </c>
      <c r="P84" s="263">
        <f t="shared" si="7"/>
        <v>1145.4508763962292</v>
      </c>
    </row>
    <row r="85" spans="2:16" ht="14.1" customHeight="1" x14ac:dyDescent="0.2">
      <c r="B85" s="16">
        <v>51</v>
      </c>
      <c r="C85" s="238">
        <f t="shared" si="5"/>
        <v>1172.2</v>
      </c>
      <c r="E85" s="16">
        <v>51</v>
      </c>
      <c r="F85" s="204">
        <f t="shared" si="9"/>
        <v>1172.2</v>
      </c>
      <c r="G85" s="204"/>
      <c r="H85" s="16">
        <v>51</v>
      </c>
      <c r="I85" s="149">
        <f>C85-F85</f>
        <v>0</v>
      </c>
      <c r="K85" s="16">
        <v>51</v>
      </c>
      <c r="L85" s="204">
        <f t="shared" si="8"/>
        <v>1172.2</v>
      </c>
      <c r="M85" s="149">
        <f t="shared" si="6"/>
        <v>22.984313725490196</v>
      </c>
      <c r="N85" s="267">
        <f t="shared" si="3"/>
        <v>0.61034155534597001</v>
      </c>
      <c r="O85" s="149">
        <f t="shared" si="4"/>
        <v>22.983769483332399</v>
      </c>
      <c r="P85" s="149">
        <f t="shared" si="7"/>
        <v>1172.1722436499524</v>
      </c>
    </row>
    <row r="86" spans="2:16" ht="14.1" customHeight="1" x14ac:dyDescent="0.2">
      <c r="E86" s="16"/>
    </row>
    <row r="87" spans="2:16" ht="14.1" customHeight="1" x14ac:dyDescent="0.2">
      <c r="E87" s="16"/>
      <c r="F87" s="276"/>
    </row>
    <row r="88" spans="2:16" ht="14.1" customHeight="1" x14ac:dyDescent="0.2">
      <c r="E88" s="16"/>
    </row>
    <row r="89" spans="2:16" ht="14.1" customHeight="1" x14ac:dyDescent="0.2">
      <c r="E89" s="16"/>
    </row>
    <row r="90" spans="2:16" ht="14.1" customHeight="1" x14ac:dyDescent="0.2">
      <c r="E90" s="16"/>
    </row>
    <row r="91" spans="2:16" ht="14.1" customHeight="1" x14ac:dyDescent="0.2">
      <c r="B91" s="1" t="s">
        <v>276</v>
      </c>
      <c r="E91" s="16"/>
      <c r="F91" s="1" t="s">
        <v>273</v>
      </c>
      <c r="J91" s="1" t="s">
        <v>274</v>
      </c>
      <c r="N91" s="1" t="s">
        <v>275</v>
      </c>
    </row>
    <row r="92" spans="2:16" ht="14.1" customHeight="1" x14ac:dyDescent="0.2">
      <c r="B92" s="317">
        <v>0.67690585732258002</v>
      </c>
      <c r="C92" s="331" t="s">
        <v>199</v>
      </c>
      <c r="D92" s="318">
        <v>51</v>
      </c>
      <c r="E92" s="16"/>
      <c r="F92" s="317">
        <v>0.67682619322262672</v>
      </c>
      <c r="G92" s="332" t="s">
        <v>202</v>
      </c>
      <c r="H92" s="318">
        <v>51</v>
      </c>
      <c r="J92" s="317">
        <v>0.67682619322262483</v>
      </c>
      <c r="K92" s="11" t="s">
        <v>203</v>
      </c>
      <c r="L92" s="318">
        <v>51</v>
      </c>
      <c r="N92" s="317">
        <v>0.67682619322262583</v>
      </c>
      <c r="O92" s="11" t="s">
        <v>204</v>
      </c>
      <c r="P92" s="318">
        <v>51</v>
      </c>
    </row>
    <row r="93" spans="2:16" ht="14.1" customHeight="1" x14ac:dyDescent="0.2">
      <c r="B93" s="319">
        <v>0.57670435239845008</v>
      </c>
      <c r="C93" s="139" t="s">
        <v>285</v>
      </c>
      <c r="D93" s="320">
        <v>887</v>
      </c>
      <c r="E93" s="16"/>
      <c r="F93" s="319">
        <v>0.59888283782608476</v>
      </c>
      <c r="G93" s="139" t="s">
        <v>285</v>
      </c>
      <c r="H93" s="320">
        <v>940</v>
      </c>
      <c r="J93" s="319">
        <v>0.62278206781275869</v>
      </c>
      <c r="K93" s="139" t="s">
        <v>285</v>
      </c>
      <c r="L93" s="320">
        <v>997</v>
      </c>
      <c r="N93" s="319">
        <v>0.64668129779943373</v>
      </c>
      <c r="O93" s="139" t="s">
        <v>285</v>
      </c>
      <c r="P93" s="320">
        <v>1054</v>
      </c>
    </row>
    <row r="94" spans="2:16" ht="14.1" customHeight="1" x14ac:dyDescent="0.2">
      <c r="B94" s="319">
        <v>0.58888897648665672</v>
      </c>
      <c r="C94" s="9"/>
      <c r="D94" s="320">
        <v>-50</v>
      </c>
      <c r="E94" s="16"/>
      <c r="F94" s="319">
        <v>0.62405138247205139</v>
      </c>
      <c r="G94" s="9"/>
      <c r="H94" s="320">
        <v>-50</v>
      </c>
      <c r="J94" s="319">
        <v>0.66189182995095297</v>
      </c>
      <c r="K94" s="9"/>
      <c r="L94" s="320">
        <v>-50</v>
      </c>
      <c r="N94" s="319">
        <v>0.69973227742985455</v>
      </c>
      <c r="O94" s="9"/>
      <c r="P94" s="320">
        <v>-50</v>
      </c>
    </row>
    <row r="95" spans="2:16" ht="14.1" customHeight="1" x14ac:dyDescent="0.2">
      <c r="B95" s="321"/>
      <c r="C95" s="322"/>
      <c r="D95" s="323" t="s">
        <v>15</v>
      </c>
      <c r="E95" s="16"/>
      <c r="F95" s="321"/>
      <c r="G95" s="322"/>
      <c r="H95" s="323" t="s">
        <v>15</v>
      </c>
      <c r="J95" s="321"/>
      <c r="K95" s="322"/>
      <c r="L95" s="323" t="s">
        <v>15</v>
      </c>
      <c r="N95" s="321"/>
      <c r="O95" s="322"/>
      <c r="P95" s="323" t="s">
        <v>15</v>
      </c>
    </row>
    <row r="96" spans="2:16" ht="14.1" customHeight="1" x14ac:dyDescent="0.2">
      <c r="B96" s="321" t="s">
        <v>65</v>
      </c>
      <c r="C96" s="322" t="s">
        <v>12</v>
      </c>
      <c r="D96" s="323" t="s">
        <v>16</v>
      </c>
      <c r="E96" s="16"/>
      <c r="F96" s="321" t="s">
        <v>65</v>
      </c>
      <c r="G96" s="322" t="s">
        <v>12</v>
      </c>
      <c r="H96" s="323" t="s">
        <v>16</v>
      </c>
      <c r="J96" s="321" t="s">
        <v>65</v>
      </c>
      <c r="K96" s="322" t="s">
        <v>12</v>
      </c>
      <c r="L96" s="323" t="s">
        <v>16</v>
      </c>
      <c r="N96" s="321" t="s">
        <v>65</v>
      </c>
      <c r="O96" s="322" t="s">
        <v>12</v>
      </c>
      <c r="P96" s="323" t="s">
        <v>16</v>
      </c>
    </row>
    <row r="97" spans="2:17" ht="14.1" customHeight="1" x14ac:dyDescent="0.2">
      <c r="B97" s="191" t="s">
        <v>221</v>
      </c>
      <c r="C97" s="185">
        <v>0.77167267734774114</v>
      </c>
      <c r="D97" s="324">
        <v>29.059051898723922</v>
      </c>
      <c r="E97" s="382">
        <v>0.54</v>
      </c>
      <c r="F97" s="191" t="s">
        <v>221</v>
      </c>
      <c r="G97" s="185">
        <v>0.77158186027379438</v>
      </c>
      <c r="H97" s="324">
        <v>29.055631979705691</v>
      </c>
      <c r="I97" s="382">
        <v>0.56000000000000005</v>
      </c>
      <c r="J97" s="191" t="s">
        <v>221</v>
      </c>
      <c r="K97" s="185">
        <v>0.77158186027379216</v>
      </c>
      <c r="L97" s="324">
        <v>29.055631979705609</v>
      </c>
      <c r="M97" s="382">
        <v>0.57999999999999996</v>
      </c>
      <c r="N97" s="191" t="s">
        <v>221</v>
      </c>
      <c r="O97" s="185">
        <v>0.77158186027379327</v>
      </c>
      <c r="P97" s="324">
        <v>29.055631979705652</v>
      </c>
      <c r="Q97" s="382">
        <v>0.59</v>
      </c>
    </row>
    <row r="98" spans="2:17" ht="14.1" customHeight="1" x14ac:dyDescent="0.2">
      <c r="B98" s="325">
        <v>2</v>
      </c>
      <c r="C98" s="377">
        <v>0.67690585732258002</v>
      </c>
      <c r="D98" s="327">
        <v>50.980792804778808</v>
      </c>
      <c r="E98" s="382">
        <v>0.52</v>
      </c>
      <c r="F98" s="325">
        <v>2</v>
      </c>
      <c r="G98" s="377">
        <v>0.67682619322262672</v>
      </c>
      <c r="H98" s="327">
        <v>50.974792946852091</v>
      </c>
      <c r="I98" s="382">
        <v>0.55000000000000004</v>
      </c>
      <c r="J98" s="325">
        <v>2</v>
      </c>
      <c r="K98" s="377">
        <v>0.67682619322262483</v>
      </c>
      <c r="L98" s="327">
        <v>50.974792946851949</v>
      </c>
      <c r="M98" s="382">
        <v>0.57999999999999996</v>
      </c>
      <c r="N98" s="325">
        <v>2</v>
      </c>
      <c r="O98" s="377">
        <v>0.67682619322262583</v>
      </c>
      <c r="P98" s="327">
        <v>50.974792946852027</v>
      </c>
      <c r="Q98" s="382">
        <v>0.61</v>
      </c>
    </row>
    <row r="99" spans="2:17" ht="14.1" customHeight="1" x14ac:dyDescent="0.2">
      <c r="B99" s="191">
        <v>3</v>
      </c>
      <c r="C99" s="185">
        <v>0.61982210392107517</v>
      </c>
      <c r="D99" s="324">
        <v>70.022341912083363</v>
      </c>
      <c r="E99" s="382">
        <v>0.56000000000000005</v>
      </c>
      <c r="F99" s="191">
        <v>3</v>
      </c>
      <c r="G99" s="185">
        <v>0.6321080784475599</v>
      </c>
      <c r="H99" s="324">
        <v>71.410309045837295</v>
      </c>
      <c r="I99" s="382">
        <v>0.59</v>
      </c>
      <c r="J99" s="191">
        <v>3</v>
      </c>
      <c r="K99" s="185">
        <v>0.64538542844015556</v>
      </c>
      <c r="L99" s="324">
        <v>72.910273527559482</v>
      </c>
      <c r="M99" s="382">
        <v>0.62</v>
      </c>
      <c r="N99" s="191">
        <v>3</v>
      </c>
      <c r="O99" s="185">
        <v>0.65866277843275334</v>
      </c>
      <c r="P99" s="324">
        <v>74.410238009281912</v>
      </c>
      <c r="Q99" s="382">
        <v>0.65</v>
      </c>
    </row>
    <row r="100" spans="2:17" ht="14.1" customHeight="1" x14ac:dyDescent="0.2">
      <c r="B100" s="191">
        <v>4</v>
      </c>
      <c r="C100" s="185">
        <v>0.59234241521973063</v>
      </c>
      <c r="D100" s="324">
        <v>89.223887230771652</v>
      </c>
      <c r="E100" s="143"/>
      <c r="F100" s="191">
        <v>4</v>
      </c>
      <c r="G100" s="185">
        <v>0.61081120905943409</v>
      </c>
      <c r="H100" s="324">
        <v>92.005821356206184</v>
      </c>
      <c r="I100" s="143"/>
      <c r="J100" s="191">
        <v>4</v>
      </c>
      <c r="K100" s="185">
        <v>0.63072723404832876</v>
      </c>
      <c r="L100" s="324">
        <v>95.005750319650744</v>
      </c>
      <c r="M100" s="143"/>
      <c r="N100" s="191">
        <v>4</v>
      </c>
      <c r="O100" s="185">
        <v>0.65064325903722464</v>
      </c>
      <c r="P100" s="324">
        <v>98.005679283095461</v>
      </c>
      <c r="Q100" s="143"/>
    </row>
    <row r="101" spans="2:17" ht="14.1" customHeight="1" x14ac:dyDescent="0.2">
      <c r="B101" s="325">
        <v>5</v>
      </c>
      <c r="C101" s="377">
        <v>0.57670435239845008</v>
      </c>
      <c r="D101" s="328">
        <v>108.58542876084366</v>
      </c>
      <c r="E101" s="143"/>
      <c r="F101" s="325">
        <v>5</v>
      </c>
      <c r="G101" s="377">
        <v>0.59888283782608476</v>
      </c>
      <c r="H101" s="328">
        <v>112.76132987795877</v>
      </c>
      <c r="I101" s="143"/>
      <c r="J101" s="325">
        <v>5</v>
      </c>
      <c r="K101" s="377">
        <v>0.62278206781275869</v>
      </c>
      <c r="L101" s="328">
        <v>117.26122332312565</v>
      </c>
      <c r="M101" s="143"/>
      <c r="N101" s="325">
        <v>5</v>
      </c>
      <c r="O101" s="377">
        <v>0.64668129779943373</v>
      </c>
      <c r="P101" s="328">
        <v>121.76111676829278</v>
      </c>
      <c r="Q101" s="143"/>
    </row>
    <row r="102" spans="2:17" ht="14.1" customHeight="1" x14ac:dyDescent="0.2">
      <c r="B102" s="191">
        <v>10</v>
      </c>
      <c r="C102" s="185">
        <v>0.55180135475233549</v>
      </c>
      <c r="D102" s="324">
        <v>207.7930795819594</v>
      </c>
      <c r="E102" s="143"/>
      <c r="F102" s="191">
        <v>10</v>
      </c>
      <c r="G102" s="185">
        <v>0.58139922335583294</v>
      </c>
      <c r="H102" s="324">
        <v>218.93881565747762</v>
      </c>
      <c r="I102" s="143"/>
      <c r="J102" s="191">
        <v>10</v>
      </c>
      <c r="K102" s="185">
        <v>0.6132648633380654</v>
      </c>
      <c r="L102" s="324">
        <v>230.93853151125617</v>
      </c>
      <c r="M102" s="143"/>
      <c r="N102" s="191">
        <v>10</v>
      </c>
      <c r="O102" s="185">
        <v>0.64513050332029853</v>
      </c>
      <c r="P102" s="324">
        <v>242.93824736503498</v>
      </c>
      <c r="Q102" s="143"/>
    </row>
    <row r="103" spans="2:17" ht="14.1" customHeight="1" x14ac:dyDescent="0.2">
      <c r="B103" s="191">
        <v>20</v>
      </c>
      <c r="C103" s="185">
        <v>0.55528267592039449</v>
      </c>
      <c r="D103" s="324">
        <v>418.20809707796946</v>
      </c>
      <c r="E103" s="143"/>
      <c r="F103" s="191">
        <v>20</v>
      </c>
      <c r="G103" s="185">
        <v>0.58859023611182348</v>
      </c>
      <c r="H103" s="324">
        <v>443.29350307029392</v>
      </c>
      <c r="I103" s="143"/>
      <c r="J103" s="191">
        <v>20</v>
      </c>
      <c r="K103" s="185">
        <v>0.62443908109183521</v>
      </c>
      <c r="L103" s="324">
        <v>470.29286374129606</v>
      </c>
      <c r="M103" s="143"/>
      <c r="N103" s="191">
        <v>20</v>
      </c>
      <c r="O103" s="185">
        <v>0.66028792607184728</v>
      </c>
      <c r="P103" s="324">
        <v>497.29222441229814</v>
      </c>
      <c r="Q103" s="143"/>
    </row>
    <row r="104" spans="2:17" ht="14.1" customHeight="1" x14ac:dyDescent="0.2">
      <c r="B104" s="191">
        <v>30</v>
      </c>
      <c r="C104" s="185">
        <v>0.57060562296851758</v>
      </c>
      <c r="D104" s="324">
        <v>644.62273571235107</v>
      </c>
      <c r="E104" s="143"/>
      <c r="F104" s="191">
        <v>30</v>
      </c>
      <c r="G104" s="185">
        <v>0.60514974702259028</v>
      </c>
      <c r="H104" s="324">
        <v>683.64781162148176</v>
      </c>
      <c r="I104" s="143"/>
      <c r="J104" s="191">
        <v>30</v>
      </c>
      <c r="K104" s="185">
        <v>0.64232632700186199</v>
      </c>
      <c r="L104" s="324">
        <v>725.6468171097074</v>
      </c>
      <c r="M104" s="143"/>
      <c r="N104" s="191">
        <v>30</v>
      </c>
      <c r="O104" s="185">
        <v>0.67950290698113369</v>
      </c>
      <c r="P104" s="324">
        <v>767.64582259793303</v>
      </c>
      <c r="Q104" s="143"/>
    </row>
    <row r="105" spans="2:17" ht="14.1" customHeight="1" x14ac:dyDescent="0.2">
      <c r="B105" s="325">
        <v>40</v>
      </c>
      <c r="C105" s="377">
        <v>0.58888897648665672</v>
      </c>
      <c r="D105" s="327">
        <v>887.0369954851044</v>
      </c>
      <c r="E105" s="143"/>
      <c r="F105" s="325">
        <v>40</v>
      </c>
      <c r="G105" s="377">
        <v>0.62405138247205139</v>
      </c>
      <c r="H105" s="327">
        <v>940.00174131104131</v>
      </c>
      <c r="I105" s="143"/>
      <c r="J105" s="325">
        <v>40</v>
      </c>
      <c r="K105" s="377">
        <v>0.66189182995095297</v>
      </c>
      <c r="L105" s="327">
        <v>997.00039161649045</v>
      </c>
      <c r="M105" s="143"/>
      <c r="N105" s="325">
        <v>40</v>
      </c>
      <c r="O105" s="377">
        <v>0.69973227742985455</v>
      </c>
      <c r="P105" s="327">
        <v>1053.9990419219394</v>
      </c>
      <c r="Q105" s="143"/>
    </row>
    <row r="106" spans="2:17" ht="14.1" customHeight="1" x14ac:dyDescent="0.2">
      <c r="B106" s="194">
        <v>50</v>
      </c>
      <c r="C106" s="378">
        <v>0.60835649259280233</v>
      </c>
      <c r="D106" s="330">
        <v>1145.4508763962292</v>
      </c>
      <c r="E106" s="143"/>
      <c r="F106" s="194">
        <v>50</v>
      </c>
      <c r="G106" s="378">
        <v>0.6438898677369902</v>
      </c>
      <c r="H106" s="330">
        <v>1212.3552921389726</v>
      </c>
      <c r="I106" s="143"/>
      <c r="J106" s="194">
        <v>50</v>
      </c>
      <c r="K106" s="378">
        <v>0.68212863571566962</v>
      </c>
      <c r="L106" s="330">
        <v>1284.3535872616449</v>
      </c>
      <c r="M106" s="143"/>
      <c r="N106" s="194">
        <v>50</v>
      </c>
      <c r="O106" s="378">
        <v>0.72036740369434915</v>
      </c>
      <c r="P106" s="330">
        <v>1356.3518823843176</v>
      </c>
      <c r="Q106" s="143"/>
    </row>
    <row r="107" spans="2:17" ht="14.1" customHeight="1" x14ac:dyDescent="0.2">
      <c r="E107" s="143"/>
      <c r="I107" s="143"/>
      <c r="M107" s="143"/>
      <c r="Q107" s="143"/>
    </row>
    <row r="108" spans="2:17" ht="14.1" customHeight="1" x14ac:dyDescent="0.2">
      <c r="B108" s="1" t="s">
        <v>277</v>
      </c>
      <c r="E108" s="143"/>
      <c r="F108" s="1" t="s">
        <v>278</v>
      </c>
      <c r="I108" s="143"/>
      <c r="J108" s="1" t="s">
        <v>279</v>
      </c>
      <c r="K108" s="381"/>
      <c r="M108" s="143"/>
      <c r="N108" s="1" t="s">
        <v>280</v>
      </c>
      <c r="Q108" s="143"/>
    </row>
    <row r="109" spans="2:17" ht="14.1" customHeight="1" x14ac:dyDescent="0.2">
      <c r="B109" s="317">
        <v>0.72993559319301426</v>
      </c>
      <c r="C109" s="331" t="s">
        <v>205</v>
      </c>
      <c r="D109" s="318">
        <v>55</v>
      </c>
      <c r="E109" s="5"/>
      <c r="F109" s="317">
        <v>0.7298824837930421</v>
      </c>
      <c r="G109" s="332" t="s">
        <v>206</v>
      </c>
      <c r="H109" s="318">
        <v>55</v>
      </c>
      <c r="I109" s="5"/>
      <c r="J109" s="317">
        <v>0.72985592909305697</v>
      </c>
      <c r="K109" s="11" t="s">
        <v>207</v>
      </c>
      <c r="L109" s="318">
        <v>55</v>
      </c>
      <c r="M109" s="5"/>
      <c r="N109" s="317">
        <v>0.72985592909305608</v>
      </c>
      <c r="O109" s="11" t="s">
        <v>208</v>
      </c>
      <c r="P109" s="318">
        <v>55</v>
      </c>
      <c r="Q109" s="5"/>
    </row>
    <row r="110" spans="2:17" ht="14.1" customHeight="1" x14ac:dyDescent="0.2">
      <c r="B110" s="319">
        <v>0.59622736782756536</v>
      </c>
      <c r="C110" s="139" t="s">
        <v>285</v>
      </c>
      <c r="D110" s="320">
        <v>887</v>
      </c>
      <c r="E110" s="5"/>
      <c r="F110" s="319">
        <v>0.61844834077517474</v>
      </c>
      <c r="G110" s="139" t="s">
        <v>285</v>
      </c>
      <c r="H110" s="320">
        <v>940</v>
      </c>
      <c r="I110" s="5"/>
      <c r="J110" s="319">
        <v>0.64230508324187319</v>
      </c>
      <c r="K110" s="139" t="s">
        <v>285</v>
      </c>
      <c r="L110" s="320">
        <v>997</v>
      </c>
      <c r="M110" s="5"/>
      <c r="N110" s="319">
        <v>0.66620431322854756</v>
      </c>
      <c r="O110" s="139" t="s">
        <v>285</v>
      </c>
      <c r="P110" s="320">
        <v>1054</v>
      </c>
      <c r="Q110" s="5"/>
    </row>
    <row r="111" spans="2:17" ht="14.1" customHeight="1" x14ac:dyDescent="0.2">
      <c r="B111" s="319">
        <v>0.58886640499166942</v>
      </c>
      <c r="C111" s="9"/>
      <c r="D111" s="320">
        <v>-50</v>
      </c>
      <c r="E111" s="5"/>
      <c r="F111" s="319">
        <v>0.62408059264203508</v>
      </c>
      <c r="G111" s="9"/>
      <c r="H111" s="320">
        <v>-50</v>
      </c>
      <c r="I111" s="5"/>
      <c r="J111" s="319">
        <v>0.66186925845596556</v>
      </c>
      <c r="K111" s="9"/>
      <c r="L111" s="320">
        <v>-50</v>
      </c>
      <c r="M111" s="5"/>
      <c r="N111" s="319">
        <v>0.69970970593486681</v>
      </c>
      <c r="O111" s="9"/>
      <c r="P111" s="320">
        <v>-50</v>
      </c>
      <c r="Q111" s="5"/>
    </row>
    <row r="112" spans="2:17" ht="14.1" customHeight="1" x14ac:dyDescent="0.2">
      <c r="B112" s="321"/>
      <c r="C112" s="322"/>
      <c r="D112" s="323" t="s">
        <v>15</v>
      </c>
      <c r="E112" s="5"/>
      <c r="F112" s="321"/>
      <c r="G112" s="322"/>
      <c r="H112" s="323" t="s">
        <v>15</v>
      </c>
      <c r="I112" s="5"/>
      <c r="J112" s="321"/>
      <c r="K112" s="322"/>
      <c r="L112" s="323" t="s">
        <v>15</v>
      </c>
      <c r="M112" s="5"/>
      <c r="N112" s="321"/>
      <c r="O112" s="322"/>
      <c r="P112" s="323" t="s">
        <v>15</v>
      </c>
      <c r="Q112" s="5"/>
    </row>
    <row r="113" spans="2:17" ht="14.1" customHeight="1" x14ac:dyDescent="0.2">
      <c r="B113" s="321" t="s">
        <v>65</v>
      </c>
      <c r="C113" s="322" t="s">
        <v>12</v>
      </c>
      <c r="D113" s="323" t="s">
        <v>16</v>
      </c>
      <c r="E113" s="5"/>
      <c r="F113" s="321" t="s">
        <v>65</v>
      </c>
      <c r="G113" s="322" t="s">
        <v>12</v>
      </c>
      <c r="H113" s="323" t="s">
        <v>16</v>
      </c>
      <c r="I113" s="5"/>
      <c r="J113" s="321" t="s">
        <v>65</v>
      </c>
      <c r="K113" s="322" t="s">
        <v>12</v>
      </c>
      <c r="L113" s="323" t="s">
        <v>16</v>
      </c>
      <c r="M113" s="5"/>
      <c r="N113" s="321" t="s">
        <v>65</v>
      </c>
      <c r="O113" s="322" t="s">
        <v>12</v>
      </c>
      <c r="P113" s="323" t="s">
        <v>16</v>
      </c>
      <c r="Q113" s="5"/>
    </row>
    <row r="114" spans="2:17" ht="14.1" customHeight="1" x14ac:dyDescent="0.2">
      <c r="B114" s="191" t="s">
        <v>221</v>
      </c>
      <c r="C114" s="185">
        <v>0.83212657624003628</v>
      </c>
      <c r="D114" s="324">
        <v>31.335577991923632</v>
      </c>
      <c r="E114" s="382">
        <v>0.57999999999999996</v>
      </c>
      <c r="F114" s="191" t="s">
        <v>221</v>
      </c>
      <c r="G114" s="185">
        <v>0.83206603152406788</v>
      </c>
      <c r="H114" s="324">
        <v>31.333298045911324</v>
      </c>
      <c r="I114" s="382">
        <v>0.59</v>
      </c>
      <c r="J114" s="191" t="s">
        <v>221</v>
      </c>
      <c r="K114" s="185">
        <v>0.83203575916608485</v>
      </c>
      <c r="L114" s="324">
        <v>31.332158072905219</v>
      </c>
      <c r="M114" s="382">
        <v>0.61</v>
      </c>
      <c r="N114" s="191" t="s">
        <v>221</v>
      </c>
      <c r="O114" s="185">
        <v>0.83203575916608385</v>
      </c>
      <c r="P114" s="324">
        <v>31.332158072905187</v>
      </c>
      <c r="Q114" s="382">
        <v>0.62</v>
      </c>
    </row>
    <row r="115" spans="2:17" ht="14.1" customHeight="1" x14ac:dyDescent="0.2">
      <c r="B115" s="325">
        <v>2</v>
      </c>
      <c r="C115" s="377">
        <v>0.72993559319301426</v>
      </c>
      <c r="D115" s="327">
        <v>54.974698231444961</v>
      </c>
      <c r="E115" s="382">
        <v>0.53</v>
      </c>
      <c r="F115" s="325">
        <v>2</v>
      </c>
      <c r="G115" s="377">
        <v>0.7298824837930421</v>
      </c>
      <c r="H115" s="327">
        <v>54.970698326160239</v>
      </c>
      <c r="I115" s="382">
        <v>0.56000000000000005</v>
      </c>
      <c r="J115" s="325">
        <v>2</v>
      </c>
      <c r="K115" s="377">
        <v>0.72985592909305697</v>
      </c>
      <c r="L115" s="327">
        <v>54.968698373517945</v>
      </c>
      <c r="M115" s="382">
        <v>0.59</v>
      </c>
      <c r="N115" s="325">
        <v>2</v>
      </c>
      <c r="O115" s="377">
        <v>0.72985592909305608</v>
      </c>
      <c r="P115" s="327">
        <v>54.968698373517874</v>
      </c>
      <c r="Q115" s="382">
        <v>0.62</v>
      </c>
    </row>
    <row r="116" spans="2:17" ht="14.1" customHeight="1" x14ac:dyDescent="0.2">
      <c r="B116" s="191">
        <v>3</v>
      </c>
      <c r="C116" s="185">
        <v>0.65423699510188793</v>
      </c>
      <c r="D116" s="324">
        <v>73.910249848707821</v>
      </c>
      <c r="E116" s="382">
        <v>0.56999999999999995</v>
      </c>
      <c r="F116" s="191">
        <v>3</v>
      </c>
      <c r="G116" s="185">
        <v>0.66655837589501654</v>
      </c>
      <c r="H116" s="324">
        <v>75.302216887745985</v>
      </c>
      <c r="I116" s="382">
        <v>0.6</v>
      </c>
      <c r="J116" s="191">
        <v>3</v>
      </c>
      <c r="K116" s="185">
        <v>0.67980031962096665</v>
      </c>
      <c r="L116" s="324">
        <v>76.798181464183742</v>
      </c>
      <c r="M116" s="382">
        <v>0.62</v>
      </c>
      <c r="N116" s="191">
        <v>3</v>
      </c>
      <c r="O116" s="185">
        <v>0.69307766961356321</v>
      </c>
      <c r="P116" s="324">
        <v>78.298145945906029</v>
      </c>
      <c r="Q116" s="382">
        <v>0.65</v>
      </c>
    </row>
    <row r="117" spans="2:17" ht="14.1" customHeight="1" x14ac:dyDescent="0.2">
      <c r="B117" s="191">
        <v>4</v>
      </c>
      <c r="C117" s="185">
        <v>0.61744988405573242</v>
      </c>
      <c r="D117" s="324">
        <v>93.00579767735438</v>
      </c>
      <c r="E117" s="143"/>
      <c r="F117" s="191">
        <v>4</v>
      </c>
      <c r="G117" s="185">
        <v>0.63595850994541148</v>
      </c>
      <c r="H117" s="324">
        <v>95.793731660715466</v>
      </c>
      <c r="I117" s="143"/>
      <c r="J117" s="191">
        <v>4</v>
      </c>
      <c r="K117" s="185">
        <v>0.65583470288432932</v>
      </c>
      <c r="L117" s="324">
        <v>98.787660766233273</v>
      </c>
      <c r="M117" s="143"/>
      <c r="N117" s="191">
        <v>4</v>
      </c>
      <c r="O117" s="185">
        <v>0.67575072787322454</v>
      </c>
      <c r="P117" s="324">
        <v>101.7875897296779</v>
      </c>
      <c r="Q117" s="143"/>
    </row>
    <row r="118" spans="2:17" ht="14.1" customHeight="1" x14ac:dyDescent="0.2">
      <c r="B118" s="325">
        <v>5</v>
      </c>
      <c r="C118" s="377">
        <v>0.59622736782756536</v>
      </c>
      <c r="D118" s="328">
        <v>112.26134171738467</v>
      </c>
      <c r="E118" s="143"/>
      <c r="F118" s="325">
        <v>5</v>
      </c>
      <c r="G118" s="377">
        <v>0.61844834077517474</v>
      </c>
      <c r="H118" s="328">
        <v>116.44524264506865</v>
      </c>
      <c r="I118" s="143"/>
      <c r="J118" s="325">
        <v>5</v>
      </c>
      <c r="K118" s="377">
        <v>0.64230508324187319</v>
      </c>
      <c r="L118" s="328">
        <v>120.9371362796665</v>
      </c>
      <c r="M118" s="143"/>
      <c r="N118" s="325">
        <v>5</v>
      </c>
      <c r="O118" s="377">
        <v>0.66620431322854756</v>
      </c>
      <c r="P118" s="328">
        <v>125.43702972483351</v>
      </c>
      <c r="Q118" s="143"/>
    </row>
    <row r="119" spans="2:17" ht="14.1" customHeight="1" x14ac:dyDescent="0.2">
      <c r="B119" s="191">
        <v>10</v>
      </c>
      <c r="C119" s="185">
        <v>0.56015546336767774</v>
      </c>
      <c r="D119" s="324">
        <v>210.93900508829179</v>
      </c>
      <c r="E119" s="143"/>
      <c r="F119" s="191">
        <v>10</v>
      </c>
      <c r="G119" s="185">
        <v>0.58980113043114768</v>
      </c>
      <c r="H119" s="324">
        <v>222.10274073759038</v>
      </c>
      <c r="I119" s="143"/>
      <c r="J119" s="191">
        <v>10</v>
      </c>
      <c r="K119" s="185">
        <v>0.62161897195340732</v>
      </c>
      <c r="L119" s="324">
        <v>234.08445701758848</v>
      </c>
      <c r="M119" s="143"/>
      <c r="N119" s="191">
        <v>10</v>
      </c>
      <c r="O119" s="185">
        <v>0.65348461193564022</v>
      </c>
      <c r="P119" s="324">
        <v>246.08417287136717</v>
      </c>
      <c r="Q119" s="143"/>
    </row>
    <row r="120" spans="2:17" ht="14.1" customHeight="1" x14ac:dyDescent="0.2">
      <c r="B120" s="191">
        <v>20</v>
      </c>
      <c r="C120" s="185">
        <v>0.55805233112885033</v>
      </c>
      <c r="D120" s="324">
        <v>420.2940476838848</v>
      </c>
      <c r="E120" s="143"/>
      <c r="F120" s="191">
        <v>20</v>
      </c>
      <c r="G120" s="185">
        <v>0.59141034525025071</v>
      </c>
      <c r="H120" s="324">
        <v>445.41745277641246</v>
      </c>
      <c r="I120" s="143"/>
      <c r="J120" s="191">
        <v>20</v>
      </c>
      <c r="K120" s="185">
        <v>0.62720873630029095</v>
      </c>
      <c r="L120" s="324">
        <v>472.37881434721118</v>
      </c>
      <c r="M120" s="143"/>
      <c r="N120" s="191">
        <v>20</v>
      </c>
      <c r="O120" s="185">
        <v>0.66305758128030279</v>
      </c>
      <c r="P120" s="324">
        <v>499.3781750182132</v>
      </c>
      <c r="Q120" s="143"/>
    </row>
    <row r="121" spans="2:17" ht="14.1" customHeight="1" x14ac:dyDescent="0.2">
      <c r="B121" s="191">
        <v>30</v>
      </c>
      <c r="C121" s="185">
        <v>0.57151379370801136</v>
      </c>
      <c r="D121" s="324">
        <v>645.64871141784931</v>
      </c>
      <c r="E121" s="143"/>
      <c r="F121" s="191">
        <v>30</v>
      </c>
      <c r="G121" s="185">
        <v>0.60610925684872174</v>
      </c>
      <c r="H121" s="324">
        <v>684.73178595360616</v>
      </c>
      <c r="I121" s="143"/>
      <c r="J121" s="191">
        <v>30</v>
      </c>
      <c r="K121" s="185">
        <v>0.64323449774135555</v>
      </c>
      <c r="L121" s="324">
        <v>726.67279281520541</v>
      </c>
      <c r="M121" s="143"/>
      <c r="N121" s="191">
        <v>30</v>
      </c>
      <c r="O121" s="185">
        <v>0.68041107772062714</v>
      </c>
      <c r="P121" s="324">
        <v>768.67179830343082</v>
      </c>
      <c r="Q121" s="143"/>
    </row>
    <row r="122" spans="2:17" ht="14.1" customHeight="1" x14ac:dyDescent="0.2">
      <c r="B122" s="325">
        <v>40</v>
      </c>
      <c r="C122" s="377">
        <v>0.58886640499166942</v>
      </c>
      <c r="D122" s="327">
        <v>887.00299629018559</v>
      </c>
      <c r="E122" s="143"/>
      <c r="F122" s="325">
        <v>40</v>
      </c>
      <c r="G122" s="377">
        <v>0.62408059264203508</v>
      </c>
      <c r="H122" s="327">
        <v>940.0457402691718</v>
      </c>
      <c r="I122" s="143"/>
      <c r="J122" s="325">
        <v>40</v>
      </c>
      <c r="K122" s="377">
        <v>0.66186925845596556</v>
      </c>
      <c r="L122" s="327">
        <v>996.9663924215713</v>
      </c>
      <c r="M122" s="143"/>
      <c r="N122" s="325">
        <v>40</v>
      </c>
      <c r="O122" s="377">
        <v>0.69970970593486681</v>
      </c>
      <c r="P122" s="327">
        <v>1053.9650427270199</v>
      </c>
      <c r="Q122" s="143"/>
    </row>
    <row r="123" spans="2:17" ht="14.1" customHeight="1" x14ac:dyDescent="0.2">
      <c r="B123" s="194">
        <v>50</v>
      </c>
      <c r="C123" s="378">
        <v>0.60777547575712632</v>
      </c>
      <c r="D123" s="330">
        <v>1144.3569023008934</v>
      </c>
      <c r="E123" s="143"/>
      <c r="F123" s="194">
        <v>50</v>
      </c>
      <c r="G123" s="378">
        <v>0.64336089811328534</v>
      </c>
      <c r="H123" s="330">
        <v>1211.3593157231094</v>
      </c>
      <c r="I123" s="143"/>
      <c r="J123" s="194">
        <v>50</v>
      </c>
      <c r="K123" s="378">
        <v>0.68154761887999382</v>
      </c>
      <c r="L123" s="330">
        <v>1283.2596131663092</v>
      </c>
      <c r="M123" s="143"/>
      <c r="N123" s="194">
        <v>50</v>
      </c>
      <c r="O123" s="378">
        <v>0.71978638685867302</v>
      </c>
      <c r="P123" s="330">
        <v>1355.2579082889813</v>
      </c>
      <c r="Q123" s="143"/>
    </row>
    <row r="124" spans="2:17" ht="14.1" customHeight="1" x14ac:dyDescent="0.2">
      <c r="E124" s="143"/>
      <c r="I124" s="143"/>
      <c r="M124" s="143"/>
      <c r="Q124" s="143"/>
    </row>
    <row r="125" spans="2:17" ht="14.1" customHeight="1" x14ac:dyDescent="0.2">
      <c r="B125" s="1" t="s">
        <v>295</v>
      </c>
      <c r="E125" s="143"/>
      <c r="F125" s="1" t="s">
        <v>281</v>
      </c>
      <c r="I125" s="143"/>
      <c r="J125" s="1" t="s">
        <v>282</v>
      </c>
      <c r="M125" s="143"/>
      <c r="N125" s="1" t="s">
        <v>283</v>
      </c>
      <c r="Q125" s="143"/>
    </row>
    <row r="126" spans="2:17" ht="14.1" customHeight="1" x14ac:dyDescent="0.2">
      <c r="B126" s="317">
        <v>0.78299188376343032</v>
      </c>
      <c r="C126" s="331" t="s">
        <v>209</v>
      </c>
      <c r="D126" s="318">
        <v>59</v>
      </c>
      <c r="E126" s="5"/>
      <c r="F126" s="317">
        <v>0.78291221966347424</v>
      </c>
      <c r="G126" s="332" t="s">
        <v>210</v>
      </c>
      <c r="H126" s="318">
        <v>59</v>
      </c>
      <c r="I126" s="5"/>
      <c r="J126" s="317">
        <v>0.78291221966347369</v>
      </c>
      <c r="K126" s="11" t="s">
        <v>211</v>
      </c>
      <c r="L126" s="318">
        <v>59</v>
      </c>
      <c r="M126" s="5"/>
      <c r="N126" s="317">
        <v>0.78291221966347324</v>
      </c>
      <c r="O126" s="11" t="s">
        <v>212</v>
      </c>
      <c r="P126" s="318">
        <v>59</v>
      </c>
      <c r="Q126" s="5"/>
    </row>
    <row r="127" spans="2:17" ht="14.1" customHeight="1" x14ac:dyDescent="0.2">
      <c r="B127" s="319">
        <v>0.61579287077665568</v>
      </c>
      <c r="C127" s="139" t="s">
        <v>285</v>
      </c>
      <c r="D127" s="320">
        <v>887</v>
      </c>
      <c r="E127" s="5"/>
      <c r="F127" s="319">
        <v>0.63797135620428946</v>
      </c>
      <c r="G127" s="139" t="s">
        <v>285</v>
      </c>
      <c r="H127" s="320">
        <v>940</v>
      </c>
      <c r="I127" s="5"/>
      <c r="J127" s="319">
        <v>0.66187058619096395</v>
      </c>
      <c r="K127" s="139" t="s">
        <v>285</v>
      </c>
      <c r="L127" s="320">
        <v>997</v>
      </c>
      <c r="M127" s="5"/>
      <c r="N127" s="319">
        <v>0.68576981617763844</v>
      </c>
      <c r="O127" s="139" t="s">
        <v>285</v>
      </c>
      <c r="P127" s="320">
        <v>1054</v>
      </c>
      <c r="Q127" s="5"/>
    </row>
    <row r="128" spans="2:17" ht="14.1" customHeight="1" x14ac:dyDescent="0.2">
      <c r="B128" s="319">
        <v>0.58889561516165312</v>
      </c>
      <c r="C128" s="9"/>
      <c r="D128" s="320">
        <v>-50</v>
      </c>
      <c r="E128" s="5"/>
      <c r="F128" s="319">
        <v>0.62405802114704767</v>
      </c>
      <c r="G128" s="9"/>
      <c r="H128" s="320">
        <v>-50</v>
      </c>
      <c r="I128" s="5"/>
      <c r="J128" s="319">
        <v>0.66189846862594925</v>
      </c>
      <c r="K128" s="9"/>
      <c r="L128" s="320">
        <v>-50</v>
      </c>
      <c r="M128" s="5"/>
      <c r="N128" s="319">
        <v>0.69973891610485062</v>
      </c>
      <c r="O128" s="9"/>
      <c r="P128" s="320">
        <v>-50</v>
      </c>
      <c r="Q128" s="5"/>
    </row>
    <row r="129" spans="2:17" ht="14.1" customHeight="1" x14ac:dyDescent="0.2">
      <c r="B129" s="321"/>
      <c r="C129" s="322"/>
      <c r="D129" s="323" t="s">
        <v>15</v>
      </c>
      <c r="E129" s="5"/>
      <c r="F129" s="321"/>
      <c r="G129" s="322"/>
      <c r="H129" s="323" t="s">
        <v>15</v>
      </c>
      <c r="I129" s="5"/>
      <c r="J129" s="321"/>
      <c r="K129" s="322"/>
      <c r="L129" s="323" t="s">
        <v>15</v>
      </c>
      <c r="M129" s="5"/>
      <c r="N129" s="321"/>
      <c r="O129" s="322"/>
      <c r="P129" s="323" t="s">
        <v>15</v>
      </c>
      <c r="Q129" s="5"/>
    </row>
    <row r="130" spans="2:17" ht="14.1" customHeight="1" x14ac:dyDescent="0.2">
      <c r="B130" s="321" t="s">
        <v>65</v>
      </c>
      <c r="C130" s="322" t="s">
        <v>12</v>
      </c>
      <c r="D130" s="323" t="s">
        <v>16</v>
      </c>
      <c r="E130" s="5"/>
      <c r="F130" s="321" t="s">
        <v>65</v>
      </c>
      <c r="G130" s="322" t="s">
        <v>12</v>
      </c>
      <c r="H130" s="323" t="s">
        <v>16</v>
      </c>
      <c r="I130" s="5"/>
      <c r="J130" s="321" t="s">
        <v>65</v>
      </c>
      <c r="K130" s="322" t="s">
        <v>12</v>
      </c>
      <c r="L130" s="323" t="s">
        <v>16</v>
      </c>
      <c r="M130" s="5"/>
      <c r="N130" s="321" t="s">
        <v>65</v>
      </c>
      <c r="O130" s="322" t="s">
        <v>12</v>
      </c>
      <c r="P130" s="323" t="s">
        <v>16</v>
      </c>
      <c r="Q130" s="5"/>
    </row>
    <row r="131" spans="2:17" ht="14.1" customHeight="1" x14ac:dyDescent="0.2">
      <c r="B131" s="191" t="s">
        <v>221</v>
      </c>
      <c r="C131" s="185">
        <v>0.89261074749031033</v>
      </c>
      <c r="D131" s="324">
        <v>33.61324405812929</v>
      </c>
      <c r="E131" s="382">
        <v>0.61</v>
      </c>
      <c r="F131" s="191" t="s">
        <v>221</v>
      </c>
      <c r="G131" s="185">
        <v>0.89251993041636046</v>
      </c>
      <c r="H131" s="324">
        <v>33.609824139110948</v>
      </c>
      <c r="I131" s="382">
        <v>0.63</v>
      </c>
      <c r="J131" s="191" t="s">
        <v>221</v>
      </c>
      <c r="K131" s="185">
        <v>0.89251993041635991</v>
      </c>
      <c r="L131" s="324">
        <v>33.60982413911092</v>
      </c>
      <c r="M131" s="382">
        <v>0.64</v>
      </c>
      <c r="N131" s="191" t="s">
        <v>221</v>
      </c>
      <c r="O131" s="185">
        <v>0.89251993041635935</v>
      </c>
      <c r="P131" s="324">
        <v>33.609824139110898</v>
      </c>
      <c r="Q131" s="382">
        <v>0.66</v>
      </c>
    </row>
    <row r="132" spans="2:17" ht="14.1" customHeight="1" x14ac:dyDescent="0.2">
      <c r="B132" s="325">
        <v>2</v>
      </c>
      <c r="C132" s="377">
        <v>0.78299188376343032</v>
      </c>
      <c r="D132" s="327">
        <v>58.970603610753152</v>
      </c>
      <c r="E132" s="382">
        <v>0.54</v>
      </c>
      <c r="F132" s="325">
        <v>2</v>
      </c>
      <c r="G132" s="377">
        <v>0.78291221966347424</v>
      </c>
      <c r="H132" s="327">
        <v>58.964603752826228</v>
      </c>
      <c r="I132" s="382">
        <v>0.56000000000000005</v>
      </c>
      <c r="J132" s="325">
        <v>2</v>
      </c>
      <c r="K132" s="377">
        <v>0.78291221966347369</v>
      </c>
      <c r="L132" s="327">
        <v>58.964603752826186</v>
      </c>
      <c r="M132" s="382">
        <v>0.59</v>
      </c>
      <c r="N132" s="325">
        <v>2</v>
      </c>
      <c r="O132" s="377">
        <v>0.78291221966347324</v>
      </c>
      <c r="P132" s="327">
        <v>58.96460375282615</v>
      </c>
      <c r="Q132" s="382">
        <v>0.62</v>
      </c>
    </row>
    <row r="133" spans="2:17" ht="14.1" customHeight="1" x14ac:dyDescent="0.2">
      <c r="B133" s="191">
        <v>3</v>
      </c>
      <c r="C133" s="185">
        <v>0.68868729254934513</v>
      </c>
      <c r="D133" s="324">
        <v>77.802157690616582</v>
      </c>
      <c r="E133" s="382">
        <v>0.56999999999999995</v>
      </c>
      <c r="F133" s="191">
        <v>3</v>
      </c>
      <c r="G133" s="185">
        <v>0.70097326707582785</v>
      </c>
      <c r="H133" s="324">
        <v>79.190124824370287</v>
      </c>
      <c r="I133" s="382">
        <v>0.6</v>
      </c>
      <c r="J133" s="191">
        <v>3</v>
      </c>
      <c r="K133" s="185">
        <v>0.71425061706842463</v>
      </c>
      <c r="L133" s="324">
        <v>80.690089306092588</v>
      </c>
      <c r="M133" s="382">
        <v>0.63</v>
      </c>
      <c r="N133" s="191">
        <v>3</v>
      </c>
      <c r="O133" s="185">
        <v>0.72752796706102141</v>
      </c>
      <c r="P133" s="324">
        <v>82.190053787814904</v>
      </c>
      <c r="Q133" s="382">
        <v>0.66</v>
      </c>
    </row>
    <row r="134" spans="2:17" ht="14.1" customHeight="1" x14ac:dyDescent="0.2">
      <c r="B134" s="191">
        <v>4</v>
      </c>
      <c r="C134" s="185">
        <v>0.64259718494171048</v>
      </c>
      <c r="D134" s="324">
        <v>96.793707981863761</v>
      </c>
      <c r="F134" s="191">
        <v>4</v>
      </c>
      <c r="G134" s="185">
        <v>0.66106597878141249</v>
      </c>
      <c r="H134" s="324">
        <v>99.575642107298052</v>
      </c>
      <c r="J134" s="191">
        <v>4</v>
      </c>
      <c r="K134" s="185">
        <v>0.68098200377030793</v>
      </c>
      <c r="L134" s="324">
        <v>102.57557107074273</v>
      </c>
      <c r="N134" s="191">
        <v>4</v>
      </c>
      <c r="O134" s="185">
        <v>0.70089802875920304</v>
      </c>
      <c r="P134" s="324">
        <v>105.57550003418733</v>
      </c>
    </row>
    <row r="135" spans="2:17" ht="14.1" customHeight="1" x14ac:dyDescent="0.2">
      <c r="B135" s="325">
        <v>5</v>
      </c>
      <c r="C135" s="377">
        <v>0.61579287077665568</v>
      </c>
      <c r="D135" s="328">
        <v>115.94525448449461</v>
      </c>
      <c r="F135" s="325">
        <v>5</v>
      </c>
      <c r="G135" s="377">
        <v>0.63797135620428946</v>
      </c>
      <c r="H135" s="328">
        <v>120.12115560160956</v>
      </c>
      <c r="J135" s="325">
        <v>5</v>
      </c>
      <c r="K135" s="377">
        <v>0.66187058619096395</v>
      </c>
      <c r="L135" s="328">
        <v>124.62104904677653</v>
      </c>
      <c r="N135" s="325">
        <v>5</v>
      </c>
      <c r="O135" s="377">
        <v>0.68576981617763844</v>
      </c>
      <c r="P135" s="328">
        <v>129.12094249194354</v>
      </c>
    </row>
    <row r="136" spans="2:17" ht="14.1" customHeight="1" x14ac:dyDescent="0.2">
      <c r="B136" s="191">
        <v>10</v>
      </c>
      <c r="C136" s="185">
        <v>0.56855737044299293</v>
      </c>
      <c r="D136" s="324">
        <v>214.1029301684047</v>
      </c>
      <c r="F136" s="191">
        <v>10</v>
      </c>
      <c r="G136" s="185">
        <v>0.59815523904648993</v>
      </c>
      <c r="H136" s="324">
        <v>225.24866624392274</v>
      </c>
      <c r="J136" s="191">
        <v>10</v>
      </c>
      <c r="K136" s="185">
        <v>0.63002087902872295</v>
      </c>
      <c r="L136" s="324">
        <v>237.24838209770155</v>
      </c>
      <c r="N136" s="191">
        <v>10</v>
      </c>
      <c r="O136" s="185">
        <v>0.66188651901095552</v>
      </c>
      <c r="P136" s="324">
        <v>249.24809795148019</v>
      </c>
    </row>
    <row r="137" spans="2:17" ht="14.1" customHeight="1" x14ac:dyDescent="0.2">
      <c r="B137" s="191">
        <v>20</v>
      </c>
      <c r="C137" s="185">
        <v>0.56087244026727789</v>
      </c>
      <c r="D137" s="324">
        <v>422.41799739000356</v>
      </c>
      <c r="F137" s="191">
        <v>20</v>
      </c>
      <c r="G137" s="185">
        <v>0.59418000045870656</v>
      </c>
      <c r="H137" s="324">
        <v>447.5034033823278</v>
      </c>
      <c r="J137" s="191">
        <v>20</v>
      </c>
      <c r="K137" s="185">
        <v>0.63002884543871862</v>
      </c>
      <c r="L137" s="324">
        <v>474.50276405333</v>
      </c>
      <c r="N137" s="191">
        <v>20</v>
      </c>
      <c r="O137" s="185">
        <v>0.66587769041873046</v>
      </c>
      <c r="P137" s="324">
        <v>501.50212472433219</v>
      </c>
    </row>
    <row r="138" spans="2:17" ht="14.1" customHeight="1" x14ac:dyDescent="0.2">
      <c r="B138" s="191">
        <v>30</v>
      </c>
      <c r="C138" s="185">
        <v>0.57247330353414294</v>
      </c>
      <c r="D138" s="324">
        <v>646.73268574997394</v>
      </c>
      <c r="F138" s="191">
        <v>30</v>
      </c>
      <c r="G138" s="185">
        <v>0.60701742758821564</v>
      </c>
      <c r="H138" s="324">
        <v>685.75776165910463</v>
      </c>
      <c r="J138" s="191">
        <v>30</v>
      </c>
      <c r="K138" s="185">
        <v>0.64419400756748735</v>
      </c>
      <c r="L138" s="324">
        <v>727.75676714733027</v>
      </c>
      <c r="N138" s="191">
        <v>30</v>
      </c>
      <c r="O138" s="185">
        <v>0.68137058754675883</v>
      </c>
      <c r="P138" s="324">
        <v>769.75577263555556</v>
      </c>
    </row>
    <row r="139" spans="2:17" ht="14.1" customHeight="1" x14ac:dyDescent="0.2">
      <c r="B139" s="325">
        <v>40</v>
      </c>
      <c r="C139" s="377">
        <v>0.58889561516165312</v>
      </c>
      <c r="D139" s="327">
        <v>887.04699524831597</v>
      </c>
      <c r="F139" s="325">
        <v>40</v>
      </c>
      <c r="G139" s="377">
        <v>0.62405802114704767</v>
      </c>
      <c r="H139" s="327">
        <v>940.01174107425288</v>
      </c>
      <c r="J139" s="325">
        <v>40</v>
      </c>
      <c r="K139" s="377">
        <v>0.66189846862594925</v>
      </c>
      <c r="L139" s="327">
        <v>997.01039137970201</v>
      </c>
      <c r="N139" s="325">
        <v>40</v>
      </c>
      <c r="O139" s="377">
        <v>0.69973891610485062</v>
      </c>
      <c r="P139" s="327">
        <v>1054.0090416851508</v>
      </c>
    </row>
    <row r="140" spans="2:17" ht="14.1" customHeight="1" x14ac:dyDescent="0.2">
      <c r="B140" s="194">
        <v>50</v>
      </c>
      <c r="C140" s="378">
        <v>0.60724650613342124</v>
      </c>
      <c r="D140" s="330">
        <v>1143.3609258850297</v>
      </c>
      <c r="F140" s="194">
        <v>50</v>
      </c>
      <c r="G140" s="378">
        <v>0.6427798812776091</v>
      </c>
      <c r="H140" s="330">
        <v>1210.2653416277731</v>
      </c>
      <c r="J140" s="194">
        <v>50</v>
      </c>
      <c r="K140" s="378">
        <v>0.68101864925628852</v>
      </c>
      <c r="L140" s="330">
        <v>1282.2636367504454</v>
      </c>
      <c r="N140" s="194">
        <v>50</v>
      </c>
      <c r="O140" s="378">
        <v>0.71925741723496806</v>
      </c>
      <c r="P140" s="330">
        <v>1354.2619318731176</v>
      </c>
    </row>
    <row r="141" spans="2:17" ht="14.1" customHeight="1" x14ac:dyDescent="0.2"/>
    <row r="142" spans="2:17" ht="14.1" customHeight="1" x14ac:dyDescent="0.2"/>
    <row r="143" spans="2:17" ht="14.1" customHeight="1" x14ac:dyDescent="0.2"/>
    <row r="144" spans="2:17" ht="14.1" customHeight="1" x14ac:dyDescent="0.2"/>
    <row r="145" spans="27:27" ht="14.1" customHeight="1" x14ac:dyDescent="0.2"/>
    <row r="146" spans="27:27" ht="14.1" customHeight="1" x14ac:dyDescent="0.2"/>
    <row r="147" spans="27:27" ht="14.1" customHeight="1" x14ac:dyDescent="0.2"/>
    <row r="148" spans="27:27" ht="14.1" customHeight="1" x14ac:dyDescent="0.2"/>
    <row r="149" spans="27:27" ht="14.1" customHeight="1" x14ac:dyDescent="0.2"/>
    <row r="150" spans="27:27" ht="14.1" customHeight="1" x14ac:dyDescent="0.2"/>
    <row r="151" spans="27:27" ht="14.1" customHeight="1" x14ac:dyDescent="0.2"/>
    <row r="152" spans="27:27" ht="14.1" customHeight="1" x14ac:dyDescent="0.2"/>
    <row r="153" spans="27:27" ht="14.1" customHeight="1" x14ac:dyDescent="0.2"/>
    <row r="154" spans="27:27" ht="14.1" customHeight="1" x14ac:dyDescent="0.2"/>
    <row r="160" spans="27:27" x14ac:dyDescent="0.2">
      <c r="AA160" s="16"/>
    </row>
  </sheetData>
  <pageMargins left="0.7" right="0.7" top="0.25" bottom="0.25" header="0.3" footer="0.3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5E93-E7E8-4404-970B-CCD6B4BF8F18}">
  <sheetPr transitionEvaluation="1" transitionEntry="1">
    <pageSetUpPr fitToPage="1"/>
  </sheetPr>
  <dimension ref="A1:AU160"/>
  <sheetViews>
    <sheetView showGridLines="0" zoomScale="90" zoomScaleNormal="90" zoomScaleSheetLayoutView="80" workbookViewId="0"/>
  </sheetViews>
  <sheetFormatPr defaultRowHeight="12.75" x14ac:dyDescent="0.2"/>
  <cols>
    <col min="1" max="33" width="9.42578125" customWidth="1"/>
    <col min="34" max="38" width="10.7109375" customWidth="1"/>
    <col min="39" max="44" width="9.7109375" customWidth="1"/>
    <col min="45" max="48" width="10.7109375" customWidth="1"/>
    <col min="49" max="49" width="13" customWidth="1"/>
    <col min="50" max="50" width="13.5703125" customWidth="1"/>
    <col min="51" max="51" width="12.5703125" customWidth="1"/>
    <col min="52" max="52" width="10.7109375" customWidth="1"/>
    <col min="53" max="54" width="12.140625" customWidth="1"/>
    <col min="55" max="55" width="14.140625" customWidth="1"/>
    <col min="56" max="59" width="10.7109375" customWidth="1"/>
    <col min="60" max="63" width="12.7109375" customWidth="1"/>
    <col min="64" max="73" width="10.7109375" customWidth="1"/>
  </cols>
  <sheetData>
    <row r="1" spans="1:47" x14ac:dyDescent="0.2">
      <c r="Q1" s="312" t="s">
        <v>27</v>
      </c>
      <c r="R1" s="313"/>
      <c r="S1" s="313"/>
      <c r="T1" s="314" t="s">
        <v>195</v>
      </c>
      <c r="U1" s="313"/>
      <c r="V1" s="313"/>
      <c r="W1" s="313"/>
      <c r="X1" s="313"/>
      <c r="Y1" s="315"/>
      <c r="AU1" t="s">
        <v>7</v>
      </c>
    </row>
    <row r="2" spans="1:47" ht="14.1" customHeight="1" x14ac:dyDescent="0.2">
      <c r="A2" t="s">
        <v>198</v>
      </c>
    </row>
    <row r="3" spans="1:47" ht="14.1" customHeight="1" x14ac:dyDescent="0.2"/>
    <row r="4" spans="1:47" ht="14.1" customHeight="1" x14ac:dyDescent="0.2">
      <c r="Q4" s="284">
        <v>2.5150000000000001</v>
      </c>
      <c r="R4" s="285" t="s">
        <v>10</v>
      </c>
      <c r="S4" s="286"/>
      <c r="T4" s="286"/>
      <c r="U4" s="287"/>
      <c r="V4" s="208" t="s">
        <v>186</v>
      </c>
    </row>
    <row r="5" spans="1:47" ht="14.1" customHeight="1" x14ac:dyDescent="0.2">
      <c r="Q5" s="288">
        <v>4.55</v>
      </c>
      <c r="R5" s="157" t="s">
        <v>0</v>
      </c>
      <c r="S5" s="9"/>
      <c r="T5" s="9"/>
      <c r="U5" s="289"/>
      <c r="V5" t="s">
        <v>177</v>
      </c>
    </row>
    <row r="6" spans="1:47" ht="14.1" customHeight="1" x14ac:dyDescent="0.2">
      <c r="Q6" s="288">
        <v>85</v>
      </c>
      <c r="R6" s="156" t="s">
        <v>1</v>
      </c>
      <c r="S6" s="9"/>
      <c r="T6" s="9"/>
      <c r="U6" s="289"/>
      <c r="V6" s="271" t="s">
        <v>178</v>
      </c>
    </row>
    <row r="7" spans="1:47" ht="14.1" customHeight="1" x14ac:dyDescent="0.25">
      <c r="Q7" s="290">
        <f>(Q5*2.20462*25.4*12)</f>
        <v>3057.4552007999996</v>
      </c>
      <c r="R7" s="58" t="s">
        <v>14</v>
      </c>
      <c r="S7" s="9"/>
      <c r="T7" s="9"/>
      <c r="U7" s="289"/>
      <c r="V7" s="88" t="s">
        <v>179</v>
      </c>
      <c r="W7" s="88"/>
    </row>
    <row r="8" spans="1:47" ht="14.1" customHeight="1" x14ac:dyDescent="0.2">
      <c r="Q8" s="291"/>
      <c r="R8" s="9"/>
      <c r="S8" s="9"/>
      <c r="T8" s="9"/>
      <c r="U8" s="289"/>
    </row>
    <row r="9" spans="1:47" ht="14.1" customHeight="1" x14ac:dyDescent="0.2">
      <c r="Q9" s="292" t="s">
        <v>3</v>
      </c>
      <c r="R9" s="18" t="s">
        <v>2</v>
      </c>
      <c r="S9" s="18" t="s">
        <v>3</v>
      </c>
      <c r="T9" s="21" t="s">
        <v>5</v>
      </c>
      <c r="U9" s="293" t="s">
        <v>4</v>
      </c>
      <c r="V9" s="88" t="s">
        <v>171</v>
      </c>
      <c r="W9" s="88"/>
    </row>
    <row r="10" spans="1:47" ht="14.1" customHeight="1" x14ac:dyDescent="0.2">
      <c r="Q10" s="294"/>
      <c r="R10" s="16">
        <v>1</v>
      </c>
      <c r="S10" s="140">
        <v>33.561842105263182</v>
      </c>
      <c r="T10" s="27">
        <f>S10/R10</f>
        <v>33.561842105263182</v>
      </c>
      <c r="U10" s="295">
        <f t="shared" ref="U10:U19" si="0">SQRT(12*32.2*T10^2/(4*$Q$6*($Q$5*56)*$Q$4^2))</f>
        <v>0.89122464805571744</v>
      </c>
      <c r="V10" s="271" t="s">
        <v>172</v>
      </c>
      <c r="W10" s="88"/>
    </row>
    <row r="11" spans="1:47" ht="14.1" customHeight="1" x14ac:dyDescent="0.2">
      <c r="Q11" s="296"/>
      <c r="R11" s="26">
        <v>2</v>
      </c>
      <c r="S11" s="141">
        <v>55.500000000000021</v>
      </c>
      <c r="T11" s="28">
        <f t="shared" ref="T11:T19" si="1">S11/R11</f>
        <v>27.750000000000011</v>
      </c>
      <c r="U11" s="302">
        <f t="shared" si="0"/>
        <v>0.73689292458913536</v>
      </c>
      <c r="V11" s="88"/>
      <c r="W11" s="271" t="s">
        <v>176</v>
      </c>
    </row>
    <row r="12" spans="1:47" ht="14.1" customHeight="1" x14ac:dyDescent="0.2">
      <c r="A12" t="s">
        <v>198</v>
      </c>
      <c r="Q12" s="294"/>
      <c r="R12" s="16">
        <v>3</v>
      </c>
      <c r="S12" s="140">
        <v>77.438157894736861</v>
      </c>
      <c r="T12" s="27">
        <f t="shared" si="1"/>
        <v>25.812719298245622</v>
      </c>
      <c r="U12" s="295">
        <f t="shared" si="0"/>
        <v>0.68544901676694137</v>
      </c>
      <c r="V12" s="88"/>
      <c r="W12" s="271" t="s">
        <v>175</v>
      </c>
    </row>
    <row r="13" spans="1:47" ht="14.1" customHeight="1" x14ac:dyDescent="0.2">
      <c r="B13" s="1" t="s">
        <v>213</v>
      </c>
      <c r="K13" s="347" t="s">
        <v>225</v>
      </c>
      <c r="L13" s="348"/>
      <c r="M13" s="349"/>
      <c r="Q13" s="294"/>
      <c r="R13" s="16">
        <v>4</v>
      </c>
      <c r="S13" s="140">
        <v>99.376315789473708</v>
      </c>
      <c r="T13" s="27">
        <f t="shared" si="1"/>
        <v>24.844078947368427</v>
      </c>
      <c r="U13" s="295">
        <f t="shared" si="0"/>
        <v>0.65972706285584437</v>
      </c>
      <c r="V13" s="88"/>
      <c r="W13" s="88" t="s">
        <v>173</v>
      </c>
    </row>
    <row r="14" spans="1:47" ht="14.1" customHeight="1" x14ac:dyDescent="0.2">
      <c r="B14" s="339" t="s">
        <v>223</v>
      </c>
      <c r="K14" s="356" t="s">
        <v>229</v>
      </c>
      <c r="L14" s="6">
        <v>0.56999999999999995</v>
      </c>
      <c r="M14" s="355" t="s">
        <v>228</v>
      </c>
      <c r="Q14" s="296"/>
      <c r="R14" s="26">
        <v>5</v>
      </c>
      <c r="S14" s="141">
        <v>121.31447368421055</v>
      </c>
      <c r="T14" s="28">
        <f t="shared" si="1"/>
        <v>24.26289473684211</v>
      </c>
      <c r="U14" s="302">
        <f t="shared" si="0"/>
        <v>0.64429389050918606</v>
      </c>
      <c r="V14" s="88"/>
      <c r="W14" s="88" t="s">
        <v>174</v>
      </c>
    </row>
    <row r="15" spans="1:47" ht="14.1" customHeight="1" x14ac:dyDescent="0.2">
      <c r="B15" s="339" t="s">
        <v>224</v>
      </c>
      <c r="K15" s="350">
        <v>47</v>
      </c>
      <c r="L15" s="346">
        <f>K15*L$14</f>
        <v>26.79</v>
      </c>
      <c r="M15" s="351">
        <v>27</v>
      </c>
      <c r="Q15" s="294"/>
      <c r="R15" s="16">
        <v>10</v>
      </c>
      <c r="S15" s="140">
        <v>231.00526315789477</v>
      </c>
      <c r="T15" s="27">
        <f t="shared" si="1"/>
        <v>23.100526315789477</v>
      </c>
      <c r="U15" s="295">
        <f t="shared" si="0"/>
        <v>0.61342754581586967</v>
      </c>
    </row>
    <row r="16" spans="1:47" ht="14.1" customHeight="1" x14ac:dyDescent="0.2">
      <c r="B16" s="339" t="s">
        <v>227</v>
      </c>
      <c r="K16" s="350">
        <v>51</v>
      </c>
      <c r="L16" s="346">
        <f>K16*L$14</f>
        <v>29.069999999999997</v>
      </c>
      <c r="M16" s="351">
        <v>29</v>
      </c>
      <c r="Q16" s="294"/>
      <c r="R16" s="16">
        <v>20</v>
      </c>
      <c r="S16" s="140">
        <v>450.38684210526321</v>
      </c>
      <c r="T16" s="27">
        <f t="shared" si="1"/>
        <v>22.51934210526316</v>
      </c>
      <c r="U16" s="295">
        <f t="shared" si="0"/>
        <v>0.59799437346921147</v>
      </c>
      <c r="V16" s="1" t="s">
        <v>169</v>
      </c>
      <c r="W16" s="1"/>
    </row>
    <row r="17" spans="1:45" ht="14.1" customHeight="1" x14ac:dyDescent="0.2">
      <c r="B17" s="339" t="s">
        <v>226</v>
      </c>
      <c r="K17" s="350">
        <v>55</v>
      </c>
      <c r="L17" s="346">
        <f>K17*L$14</f>
        <v>31.349999999999998</v>
      </c>
      <c r="M17" s="351">
        <v>31</v>
      </c>
      <c r="Q17" s="294"/>
      <c r="R17" s="16">
        <v>30</v>
      </c>
      <c r="S17" s="140">
        <v>669.76842105263165</v>
      </c>
      <c r="T17" s="27">
        <f t="shared" si="1"/>
        <v>22.325614035087721</v>
      </c>
      <c r="U17" s="295">
        <f t="shared" si="0"/>
        <v>0.59284998268699207</v>
      </c>
      <c r="V17" s="1" t="s">
        <v>165</v>
      </c>
    </row>
    <row r="18" spans="1:45" ht="14.1" customHeight="1" x14ac:dyDescent="0.2">
      <c r="B18" s="1"/>
      <c r="K18" s="350">
        <v>59</v>
      </c>
      <c r="L18" s="346">
        <f>K18*L$14</f>
        <v>33.629999999999995</v>
      </c>
      <c r="M18" s="351">
        <v>33</v>
      </c>
      <c r="Q18" s="296"/>
      <c r="R18" s="26">
        <v>40</v>
      </c>
      <c r="S18" s="141">
        <v>889.15000000000009</v>
      </c>
      <c r="T18" s="28">
        <f t="shared" si="1"/>
        <v>22.228750000000002</v>
      </c>
      <c r="U18" s="302">
        <f t="shared" si="0"/>
        <v>0.59027778729588243</v>
      </c>
      <c r="V18" s="1" t="s">
        <v>166</v>
      </c>
    </row>
    <row r="19" spans="1:45" ht="14.1" customHeight="1" x14ac:dyDescent="0.2">
      <c r="K19" s="352">
        <v>63</v>
      </c>
      <c r="L19" s="353">
        <f>K19*L$14</f>
        <v>35.909999999999997</v>
      </c>
      <c r="M19" s="354">
        <v>35</v>
      </c>
      <c r="Q19" s="297"/>
      <c r="R19" s="298">
        <v>50</v>
      </c>
      <c r="S19" s="299">
        <v>1108.5315789473684</v>
      </c>
      <c r="T19" s="300">
        <f t="shared" si="1"/>
        <v>22.170631578947368</v>
      </c>
      <c r="U19" s="301">
        <f t="shared" si="0"/>
        <v>0.58873447006121649</v>
      </c>
      <c r="V19" s="1" t="s">
        <v>167</v>
      </c>
    </row>
    <row r="20" spans="1:45" ht="14.1" customHeight="1" x14ac:dyDescent="0.2">
      <c r="L20" s="42"/>
      <c r="M20" s="16"/>
      <c r="N20" s="140"/>
      <c r="O20" s="27"/>
      <c r="P20" s="44"/>
      <c r="Q20" s="46"/>
      <c r="R20" s="163"/>
      <c r="V20" s="270" t="s">
        <v>168</v>
      </c>
    </row>
    <row r="21" spans="1:45" ht="14.1" customHeight="1" x14ac:dyDescent="0.2">
      <c r="N21" s="140"/>
      <c r="O21" s="27"/>
      <c r="P21" s="44"/>
      <c r="Q21" t="s">
        <v>187</v>
      </c>
      <c r="V21" s="1" t="s">
        <v>170</v>
      </c>
    </row>
    <row r="22" spans="1:45" ht="14.1" customHeight="1" x14ac:dyDescent="0.2">
      <c r="N22" s="140"/>
      <c r="O22" s="27"/>
      <c r="P22" s="44"/>
      <c r="Q22" s="1" t="s">
        <v>219</v>
      </c>
      <c r="T22" s="139" t="s">
        <v>217</v>
      </c>
    </row>
    <row r="23" spans="1:45" ht="14.1" customHeight="1" x14ac:dyDescent="0.2">
      <c r="A23" s="1" t="s">
        <v>190</v>
      </c>
      <c r="N23" s="140"/>
      <c r="O23" s="27"/>
      <c r="P23" s="44"/>
      <c r="Q23" s="1" t="s">
        <v>218</v>
      </c>
      <c r="T23" s="139" t="s">
        <v>215</v>
      </c>
    </row>
    <row r="24" spans="1:45" ht="14.1" customHeight="1" x14ac:dyDescent="0.2">
      <c r="A24" s="1" t="s">
        <v>192</v>
      </c>
      <c r="F24" s="242"/>
      <c r="L24" s="42"/>
      <c r="M24" s="16"/>
      <c r="N24" s="140"/>
      <c r="O24" s="27"/>
      <c r="P24" s="44"/>
      <c r="Q24" s="1" t="s">
        <v>216</v>
      </c>
      <c r="T24" s="340" t="s">
        <v>214</v>
      </c>
    </row>
    <row r="25" spans="1:45" ht="14.1" customHeight="1" x14ac:dyDescent="0.2">
      <c r="A25" s="1" t="s">
        <v>191</v>
      </c>
      <c r="E25" s="252"/>
      <c r="F25" s="252" t="s">
        <v>146</v>
      </c>
      <c r="K25" s="9"/>
    </row>
    <row r="26" spans="1:45" ht="14.1" customHeight="1" x14ac:dyDescent="0.25">
      <c r="B26" s="146" t="s">
        <v>65</v>
      </c>
      <c r="C26" s="146" t="s">
        <v>66</v>
      </c>
      <c r="E26" s="23" t="s">
        <v>65</v>
      </c>
      <c r="F26" s="23" t="s">
        <v>145</v>
      </c>
      <c r="G26" s="234" t="s">
        <v>126</v>
      </c>
      <c r="H26" s="244"/>
      <c r="I26" s="243"/>
      <c r="J26" s="243"/>
      <c r="K26" s="333" t="s">
        <v>199</v>
      </c>
      <c r="L26" s="334" t="s">
        <v>202</v>
      </c>
      <c r="M26" s="334" t="s">
        <v>203</v>
      </c>
      <c r="N26" s="335" t="s">
        <v>204</v>
      </c>
      <c r="O26" s="333" t="s">
        <v>205</v>
      </c>
      <c r="P26" s="334" t="s">
        <v>206</v>
      </c>
      <c r="Q26" s="334" t="s">
        <v>207</v>
      </c>
      <c r="R26" s="335" t="s">
        <v>208</v>
      </c>
      <c r="S26" s="333" t="s">
        <v>209</v>
      </c>
      <c r="T26" s="334" t="s">
        <v>210</v>
      </c>
      <c r="U26" s="334" t="s">
        <v>211</v>
      </c>
      <c r="V26" s="335" t="s">
        <v>212</v>
      </c>
      <c r="X26" s="146" t="s">
        <v>65</v>
      </c>
      <c r="Y26" s="146" t="s">
        <v>66</v>
      </c>
    </row>
    <row r="27" spans="1:45" ht="14.1" customHeight="1" x14ac:dyDescent="0.2">
      <c r="B27" s="147">
        <v>1</v>
      </c>
      <c r="C27" s="6">
        <v>34.299999999999997</v>
      </c>
      <c r="E27" s="24">
        <v>1</v>
      </c>
      <c r="F27" s="149">
        <f>C27</f>
        <v>34.299999999999997</v>
      </c>
      <c r="G27" s="196" cm="1">
        <f t="array" ref="G27">_xlfn.SINGLE(INDEX(LINEST(F$27:F$29,(E$27:E$29)^{1,2}),1))</f>
        <v>-1.7875405158376397E-16</v>
      </c>
      <c r="H27" s="274">
        <f>C60</f>
        <v>651.4</v>
      </c>
      <c r="I27" s="253" t="s">
        <v>148</v>
      </c>
      <c r="J27" s="243"/>
      <c r="K27" s="338">
        <v>29</v>
      </c>
      <c r="L27" s="6">
        <v>27.6</v>
      </c>
      <c r="M27" s="6">
        <v>26.1</v>
      </c>
      <c r="N27" s="345">
        <v>24.6</v>
      </c>
      <c r="O27" s="338">
        <v>33.1</v>
      </c>
      <c r="P27" s="6">
        <v>31.7</v>
      </c>
      <c r="Q27" s="6">
        <v>30.2</v>
      </c>
      <c r="R27" s="345">
        <v>28.7</v>
      </c>
      <c r="S27" s="338">
        <v>37.200000000000003</v>
      </c>
      <c r="T27" s="6">
        <v>35.799999999999997</v>
      </c>
      <c r="U27" s="6">
        <v>34.299999999999997</v>
      </c>
      <c r="V27" s="345">
        <v>32.799999999999997</v>
      </c>
      <c r="X27" s="147">
        <v>2</v>
      </c>
      <c r="Y27" s="388">
        <f>U37</f>
        <v>58.982603326606807</v>
      </c>
    </row>
    <row r="28" spans="1:45" ht="14.1" customHeight="1" x14ac:dyDescent="0.2">
      <c r="B28" s="147">
        <v>51</v>
      </c>
      <c r="C28" s="6">
        <v>1268.5</v>
      </c>
      <c r="D28" s="155"/>
      <c r="E28" s="24">
        <v>26</v>
      </c>
      <c r="F28" s="303">
        <f>H29</f>
        <v>651.4</v>
      </c>
      <c r="G28" s="196" cm="1">
        <f t="array" ref="G28">_xlfn.SINGLE(INDEX(LINEST(F$27:F$29,(E$27:E$29)^{1,2}),2))</f>
        <v>24.684000000000015</v>
      </c>
      <c r="H28" s="304">
        <v>0</v>
      </c>
      <c r="I28" s="253" t="s">
        <v>149</v>
      </c>
      <c r="J28" s="243"/>
      <c r="K28" s="338">
        <v>1129</v>
      </c>
      <c r="L28" s="6">
        <v>1197.4000000000001</v>
      </c>
      <c r="M28" s="6">
        <v>1270.9000000000001</v>
      </c>
      <c r="N28" s="345">
        <v>1344.4</v>
      </c>
      <c r="O28" s="338">
        <v>1127.9000000000001</v>
      </c>
      <c r="P28" s="6">
        <v>1196.2</v>
      </c>
      <c r="Q28" s="6">
        <v>1269.7</v>
      </c>
      <c r="R28" s="345">
        <v>1343.2</v>
      </c>
      <c r="S28" s="338">
        <v>1126.7</v>
      </c>
      <c r="T28" s="6">
        <v>1195</v>
      </c>
      <c r="U28" s="6">
        <v>1268.5</v>
      </c>
      <c r="V28" s="345">
        <v>1342</v>
      </c>
      <c r="X28" s="147">
        <v>40</v>
      </c>
      <c r="Y28" s="388">
        <f>U44</f>
        <v>996.95239275307529</v>
      </c>
      <c r="AQ28" t="s">
        <v>152</v>
      </c>
    </row>
    <row r="29" spans="1:45" ht="14.1" customHeight="1" x14ac:dyDescent="0.25">
      <c r="B29" s="282">
        <v>50</v>
      </c>
      <c r="C29" s="283">
        <f>C84</f>
        <v>1243.8160000000003</v>
      </c>
      <c r="D29" s="102"/>
      <c r="E29" s="24">
        <v>51</v>
      </c>
      <c r="F29" s="149">
        <f>C28</f>
        <v>1268.5</v>
      </c>
      <c r="G29" s="196" cm="1">
        <f t="array" ref="G29">_xlfn.SINGLE(INDEX(LINEST(F$27:F$29,(E$27:E$29)^{1,2}),3))</f>
        <v>9.6159999999997261</v>
      </c>
      <c r="H29" s="305">
        <f>SUM(H27:H28)</f>
        <v>651.4</v>
      </c>
      <c r="I29" s="243"/>
      <c r="J29" s="243"/>
      <c r="K29" s="336">
        <v>0</v>
      </c>
      <c r="L29" s="337">
        <v>0</v>
      </c>
      <c r="M29" s="337">
        <v>0</v>
      </c>
      <c r="N29" s="344">
        <v>0</v>
      </c>
      <c r="O29" s="336">
        <v>0</v>
      </c>
      <c r="P29" s="337">
        <v>0</v>
      </c>
      <c r="Q29" s="337">
        <v>0</v>
      </c>
      <c r="R29" s="344">
        <v>0</v>
      </c>
      <c r="S29" s="336">
        <v>0</v>
      </c>
      <c r="T29" s="337">
        <v>0</v>
      </c>
      <c r="U29" s="337">
        <v>0</v>
      </c>
      <c r="V29" s="344">
        <v>0</v>
      </c>
    </row>
    <row r="30" spans="1:45" ht="14.1" customHeight="1" x14ac:dyDescent="0.2">
      <c r="B30" s="82"/>
      <c r="D30" s="82"/>
      <c r="J30" s="88"/>
      <c r="O30" s="82"/>
      <c r="P30" s="82"/>
      <c r="AE30" s="10" t="s">
        <v>177</v>
      </c>
      <c r="AF30" s="11"/>
      <c r="AG30" s="11"/>
      <c r="AH30" s="11"/>
      <c r="AI30" s="11"/>
      <c r="AJ30" s="11"/>
      <c r="AK30" s="11"/>
      <c r="AL30" s="11"/>
      <c r="AM30" s="11"/>
      <c r="AN30" s="12"/>
    </row>
    <row r="31" spans="1:45" ht="14.1" customHeight="1" x14ac:dyDescent="0.2">
      <c r="B31" s="82"/>
      <c r="D31" s="82"/>
      <c r="J31" s="88"/>
      <c r="O31" s="82"/>
      <c r="P31" s="82"/>
      <c r="S31" s="102">
        <f>T37</f>
        <v>0.78315121196333981</v>
      </c>
      <c r="T31" s="334" t="s">
        <v>211</v>
      </c>
      <c r="U31" s="34">
        <v>59</v>
      </c>
      <c r="AE31" s="13" t="s">
        <v>183</v>
      </c>
      <c r="AF31" s="9"/>
      <c r="AG31" s="9"/>
      <c r="AH31" s="9"/>
      <c r="AI31" s="9"/>
      <c r="AJ31" s="9"/>
      <c r="AK31" s="9"/>
      <c r="AL31" s="9"/>
      <c r="AM31" s="9"/>
      <c r="AN31" s="15"/>
      <c r="AQ31" s="23" t="s">
        <v>65</v>
      </c>
      <c r="AR31" s="23" t="s">
        <v>66</v>
      </c>
      <c r="AS31" s="234" t="s">
        <v>127</v>
      </c>
    </row>
    <row r="32" spans="1:45" ht="14.1" customHeight="1" x14ac:dyDescent="0.2">
      <c r="B32" s="82"/>
      <c r="C32" s="237" cm="1">
        <f t="array" ref="C32">_xlfn.SINGLE(INDEX(LINEST(C27:C28,($B27:$B28)^{1}),1))</f>
        <v>24.684000000000005</v>
      </c>
      <c r="D32" s="82"/>
      <c r="O32" s="82"/>
      <c r="P32" s="82"/>
      <c r="S32" s="102">
        <f>T40</f>
        <v>0.70654621344605417</v>
      </c>
      <c r="T32" s="16" t="s">
        <v>66</v>
      </c>
      <c r="U32" s="34">
        <v>997</v>
      </c>
      <c r="Y32" s="237" cm="1">
        <f t="array" ref="Y32">_xlfn.SINGLE(INDEX(LINEST(Y27:Y28,($X27:$X28)^{1}),1))</f>
        <v>24.683415511222844</v>
      </c>
      <c r="AE32" s="13" t="s">
        <v>184</v>
      </c>
      <c r="AF32" s="9"/>
      <c r="AG32" s="9"/>
      <c r="AH32" s="9"/>
      <c r="AI32" s="9"/>
      <c r="AJ32" s="9"/>
      <c r="AK32" s="9"/>
      <c r="AL32" s="9"/>
      <c r="AM32" s="9"/>
      <c r="AN32" s="15"/>
      <c r="AQ32" s="24">
        <v>1</v>
      </c>
      <c r="AR32" s="236">
        <v>30</v>
      </c>
      <c r="AS32" s="235" cm="1">
        <f t="array" ref="AS32">_xlfn.SINGLE(INDEX(LINEST(AR$32:AR$34,(AQ$32:AQ$34)^{1,2,3}),1))</f>
        <v>-1.7664998074701597E-2</v>
      </c>
    </row>
    <row r="33" spans="2:45" ht="14.1" customHeight="1" x14ac:dyDescent="0.2">
      <c r="C33" s="237" cm="1">
        <f t="array" ref="C33">INDEX(LINEST(C27:C28,($B27:$B28)^{1}),1,2)</f>
        <v>9.6159999999998718</v>
      </c>
      <c r="E33" s="222"/>
      <c r="F33" s="255" t="s">
        <v>150</v>
      </c>
      <c r="G33" s="256"/>
      <c r="H33" s="222"/>
      <c r="I33" s="245" t="s">
        <v>151</v>
      </c>
      <c r="J33" s="222"/>
      <c r="K33" s="222"/>
      <c r="L33" s="257"/>
      <c r="M33" s="258"/>
      <c r="O33" s="82" t="s">
        <v>155</v>
      </c>
      <c r="P33" s="82" t="s">
        <v>155</v>
      </c>
      <c r="S33" s="102">
        <f>T44</f>
        <v>0.66185996431097072</v>
      </c>
      <c r="Y33" s="237" cm="1">
        <f t="array" ref="Y33">INDEX(LINEST(Y27:Y28,($X27:$X28)^{1}),1,2)</f>
        <v>9.6157723041613963</v>
      </c>
      <c r="AE33" s="32" t="s">
        <v>185</v>
      </c>
      <c r="AF33" s="9"/>
      <c r="AG33" s="9"/>
      <c r="AH33" s="9"/>
      <c r="AI33" s="9"/>
      <c r="AJ33" s="9"/>
      <c r="AK33" s="9"/>
      <c r="AL33" s="9"/>
      <c r="AM33" s="9"/>
      <c r="AN33" s="15"/>
      <c r="AQ33" s="24">
        <v>25</v>
      </c>
      <c r="AR33" s="236">
        <v>610</v>
      </c>
      <c r="AS33" s="235" cm="1">
        <f t="array" ref="AS33">_xlfn.SINGLE(INDEX(LINEST(AR$32:AR$34,(AQ$32:AQ$34)^{1,2,3}),2))</f>
        <v>1.3717915543575927</v>
      </c>
    </row>
    <row r="34" spans="2:45" ht="14.1" customHeight="1" x14ac:dyDescent="0.2">
      <c r="B34" s="248" t="s">
        <v>65</v>
      </c>
      <c r="C34" s="249" t="s">
        <v>66</v>
      </c>
      <c r="D34" s="247"/>
      <c r="E34" s="248" t="s">
        <v>65</v>
      </c>
      <c r="F34" s="250" t="s">
        <v>126</v>
      </c>
      <c r="G34" s="35"/>
      <c r="H34" s="248" t="s">
        <v>65</v>
      </c>
      <c r="I34" s="251" t="s">
        <v>147</v>
      </c>
      <c r="K34" s="248" t="s">
        <v>65</v>
      </c>
      <c r="L34" s="147" t="s">
        <v>143</v>
      </c>
      <c r="M34" s="254" t="s">
        <v>134</v>
      </c>
      <c r="N34" s="23" t="s">
        <v>4</v>
      </c>
      <c r="O34" s="260" t="s">
        <v>134</v>
      </c>
      <c r="P34" s="23" t="s">
        <v>145</v>
      </c>
      <c r="S34" s="264"/>
      <c r="T34" s="264"/>
      <c r="U34" s="275" t="s">
        <v>15</v>
      </c>
      <c r="V34" s="390" t="s">
        <v>200</v>
      </c>
      <c r="W34" s="391"/>
      <c r="X34" s="243"/>
      <c r="Y34" s="387" t="s">
        <v>66</v>
      </c>
      <c r="Z34" s="147"/>
      <c r="AA34" s="243"/>
      <c r="AE34" s="71"/>
      <c r="AF34" s="72" t="s">
        <v>19</v>
      </c>
      <c r="AG34" s="63"/>
      <c r="AH34" s="63" t="s">
        <v>15</v>
      </c>
      <c r="AI34" s="9"/>
      <c r="AJ34" s="9"/>
      <c r="AK34" s="9"/>
      <c r="AL34" s="9"/>
      <c r="AM34" s="9"/>
      <c r="AN34" s="15"/>
      <c r="AQ34" s="24">
        <v>50</v>
      </c>
      <c r="AR34" s="236">
        <v>1250</v>
      </c>
      <c r="AS34" s="235" cm="1">
        <f t="array" ref="AS34">_xlfn.SINGLE(INDEX(LINEST(AR$32:AR$34,(AQ$32:AQ$34)^{1,2,3}),3))</f>
        <v>0</v>
      </c>
    </row>
    <row r="35" spans="2:45" ht="14.1" customHeight="1" x14ac:dyDescent="0.2">
      <c r="B35" s="341" t="s">
        <v>220</v>
      </c>
      <c r="C35" s="342">
        <f>((C$32*B36)+C$33)*0.57</f>
        <v>33.620879999999929</v>
      </c>
      <c r="E35" s="341" t="s">
        <v>220</v>
      </c>
      <c r="F35" s="343">
        <f>((G$27*(E36)^2)+(G$28*(E36)^1)+(G$29))*0.57</f>
        <v>33.620879999999858</v>
      </c>
      <c r="H35" s="16">
        <v>1</v>
      </c>
      <c r="I35" s="149">
        <f t="shared" ref="I35:I84" si="2">C35-F35</f>
        <v>7.1054273576010019E-14</v>
      </c>
      <c r="K35" s="261">
        <v>1</v>
      </c>
      <c r="L35" s="262">
        <f>F35</f>
        <v>33.620879999999858</v>
      </c>
      <c r="M35" s="263">
        <f>L35/K35</f>
        <v>33.620879999999858</v>
      </c>
      <c r="N35" s="266">
        <f t="shared" ref="N35:N66" si="3">SQRT(12*32.2*M35^2/(4*$Q$6*($Q$5*56)*$Q$4^2))</f>
        <v>0.89279238163820729</v>
      </c>
      <c r="O35" s="263">
        <f t="shared" ref="O35:O66" si="4">(N35*$Q$4)*SQRT(4*$Q$6*$Q$7/32.2)/12</f>
        <v>33.620083896165873</v>
      </c>
      <c r="P35" s="263">
        <f>(K35*O35)</f>
        <v>33.620083896165873</v>
      </c>
      <c r="S35" s="264" t="s">
        <v>65</v>
      </c>
      <c r="T35" s="264" t="s">
        <v>12</v>
      </c>
      <c r="U35" s="275" t="s">
        <v>16</v>
      </c>
      <c r="V35" s="390" t="s">
        <v>201</v>
      </c>
      <c r="W35" s="391"/>
      <c r="X35" s="366" t="s">
        <v>65</v>
      </c>
      <c r="Y35" s="387" t="s">
        <v>269</v>
      </c>
      <c r="Z35" s="147" t="s">
        <v>270</v>
      </c>
      <c r="AA35" s="147" t="s">
        <v>271</v>
      </c>
      <c r="AE35" s="71" t="s">
        <v>2</v>
      </c>
      <c r="AF35" s="63" t="s">
        <v>12</v>
      </c>
      <c r="AG35" s="277" t="s">
        <v>17</v>
      </c>
      <c r="AH35" s="63" t="s">
        <v>16</v>
      </c>
      <c r="AI35" s="9"/>
      <c r="AJ35" s="9"/>
      <c r="AK35" s="9"/>
      <c r="AL35" s="9"/>
      <c r="AM35" s="9"/>
      <c r="AN35" s="15"/>
      <c r="AS35" s="235" cm="1">
        <f t="array" ref="AS35">_xlfn.SINGLE(INDEX(LINEST(AR$32:AR$34,(AQ$32:AQ$34)^{1,2,3}),4))</f>
        <v>28.645873443717392</v>
      </c>
    </row>
    <row r="36" spans="2:45" ht="14.1" customHeight="1" x14ac:dyDescent="0.25">
      <c r="B36" s="16">
        <v>2</v>
      </c>
      <c r="C36" s="238">
        <f t="shared" ref="C36:C66" si="5">(C$32*B36)+C$33</f>
        <v>58.983999999999881</v>
      </c>
      <c r="E36" s="16">
        <v>2</v>
      </c>
      <c r="F36" s="204">
        <f>(G$27*(E36)^2)+(G$28*(E36)^1)+(G$29)</f>
        <v>58.983999999999753</v>
      </c>
      <c r="H36" s="16">
        <v>2</v>
      </c>
      <c r="I36" s="149">
        <f t="shared" si="2"/>
        <v>1.2789769243681803E-13</v>
      </c>
      <c r="K36" s="261">
        <v>2</v>
      </c>
      <c r="L36" s="262">
        <f>F36</f>
        <v>58.983999999999753</v>
      </c>
      <c r="M36" s="263">
        <f t="shared" ref="M36:M85" si="6">L36/K36</f>
        <v>29.491999999999877</v>
      </c>
      <c r="N36" s="266">
        <f t="shared" si="3"/>
        <v>0.78315121196333981</v>
      </c>
      <c r="O36" s="263">
        <f t="shared" si="4"/>
        <v>29.491301663303403</v>
      </c>
      <c r="P36" s="263">
        <f t="shared" ref="P36:P85" si="7">(K36*O36)</f>
        <v>58.982603326606807</v>
      </c>
      <c r="S36" s="139" t="s">
        <v>222</v>
      </c>
      <c r="T36" s="379">
        <f>N35</f>
        <v>0.89279238163820729</v>
      </c>
      <c r="U36" s="107">
        <f>P35</f>
        <v>33.620083896165873</v>
      </c>
      <c r="X36" s="139"/>
      <c r="Y36" s="110"/>
      <c r="Z36" s="82"/>
      <c r="AA36" s="82"/>
      <c r="AE36" s="73">
        <v>1</v>
      </c>
      <c r="AF36" s="65">
        <v>0.92510000000000003</v>
      </c>
      <c r="AG36" s="59">
        <v>34.838084318002032</v>
      </c>
      <c r="AH36" s="79">
        <v>34.838084318002032</v>
      </c>
      <c r="AI36" s="9" t="s">
        <v>181</v>
      </c>
      <c r="AJ36" s="9"/>
      <c r="AK36" s="9"/>
      <c r="AL36" s="9"/>
      <c r="AM36" s="9"/>
      <c r="AN36" s="15"/>
    </row>
    <row r="37" spans="2:45" ht="14.1" customHeight="1" x14ac:dyDescent="0.25">
      <c r="B37" s="16">
        <v>3</v>
      </c>
      <c r="C37" s="238">
        <f t="shared" si="5"/>
        <v>83.667999999999893</v>
      </c>
      <c r="E37" s="16">
        <v>3</v>
      </c>
      <c r="F37" s="204">
        <f>(G$27*(E37)^2)+(G$28*(E37)^1)+(G$29)</f>
        <v>83.667999999999779</v>
      </c>
      <c r="H37" s="16">
        <v>3</v>
      </c>
      <c r="I37" s="149">
        <f t="shared" si="2"/>
        <v>1.1368683772161603E-13</v>
      </c>
      <c r="K37" s="261">
        <v>3</v>
      </c>
      <c r="L37" s="262">
        <f t="shared" ref="L37:L85" si="8">F37</f>
        <v>83.667999999999779</v>
      </c>
      <c r="M37" s="263">
        <f t="shared" si="6"/>
        <v>27.889333333333258</v>
      </c>
      <c r="N37" s="266">
        <f t="shared" si="3"/>
        <v>0.74059287945373686</v>
      </c>
      <c r="O37" s="263">
        <f t="shared" si="4"/>
        <v>27.888672945943227</v>
      </c>
      <c r="P37" s="263">
        <f t="shared" si="7"/>
        <v>83.666018837829682</v>
      </c>
      <c r="R37" s="309">
        <f>T37</f>
        <v>0.78315121196333981</v>
      </c>
      <c r="S37" s="265">
        <v>2</v>
      </c>
      <c r="T37" s="380">
        <f>N36</f>
        <v>0.78315121196333981</v>
      </c>
      <c r="U37" s="311">
        <f>P36</f>
        <v>58.982603326606807</v>
      </c>
      <c r="V37" s="316">
        <f>U31-U37</f>
        <v>1.7396673393193396E-2</v>
      </c>
      <c r="X37" s="265">
        <v>2</v>
      </c>
      <c r="Y37" s="389">
        <f>(Y$32*X37)+Y$33</f>
        <v>58.982603326607084</v>
      </c>
      <c r="Z37" s="107">
        <f>U37-Y37</f>
        <v>-2.7711166694643907E-13</v>
      </c>
      <c r="AA37" s="392">
        <f>U37/Y37</f>
        <v>0.99999999999999534</v>
      </c>
      <c r="AE37" s="73">
        <v>2</v>
      </c>
      <c r="AF37" s="66">
        <v>0.81499999999999995</v>
      </c>
      <c r="AG37" s="56">
        <v>30.691858954893149</v>
      </c>
      <c r="AH37" s="80">
        <v>61.383717909786299</v>
      </c>
      <c r="AI37" s="14" t="s">
        <v>182</v>
      </c>
      <c r="AJ37" s="9"/>
      <c r="AK37" s="9"/>
      <c r="AL37" s="9"/>
      <c r="AM37" s="9"/>
      <c r="AN37" s="15"/>
      <c r="AS37" s="35"/>
    </row>
    <row r="38" spans="2:45" ht="14.1" customHeight="1" x14ac:dyDescent="0.25">
      <c r="B38" s="16">
        <v>4</v>
      </c>
      <c r="C38" s="238">
        <f t="shared" si="5"/>
        <v>108.35199999999989</v>
      </c>
      <c r="E38" s="16">
        <v>4</v>
      </c>
      <c r="F38" s="204">
        <f t="shared" ref="F38:F85" si="9">(G$27*(E38)^2)+(G$28*(E38)^1)+(G$29)</f>
        <v>108.35199999999979</v>
      </c>
      <c r="H38" s="16">
        <v>4</v>
      </c>
      <c r="I38" s="149">
        <f t="shared" si="2"/>
        <v>0</v>
      </c>
      <c r="K38" s="261">
        <v>4</v>
      </c>
      <c r="L38" s="262">
        <f t="shared" si="8"/>
        <v>108.35199999999979</v>
      </c>
      <c r="M38" s="263">
        <f t="shared" si="6"/>
        <v>27.087999999999948</v>
      </c>
      <c r="N38" s="266">
        <f t="shared" si="3"/>
        <v>0.71931371319893511</v>
      </c>
      <c r="O38" s="263">
        <f t="shared" si="4"/>
        <v>27.087358587263136</v>
      </c>
      <c r="P38" s="263">
        <f t="shared" si="7"/>
        <v>108.34943434905254</v>
      </c>
      <c r="R38" s="310"/>
      <c r="S38" s="82">
        <v>3</v>
      </c>
      <c r="T38" s="379">
        <f>N37</f>
        <v>0.74059287945373686</v>
      </c>
      <c r="U38" s="107">
        <f>P37</f>
        <v>83.666018837829682</v>
      </c>
      <c r="X38" s="82">
        <v>3</v>
      </c>
      <c r="Y38" s="389">
        <f t="shared" ref="Y38:Y44" si="10">(Y$32*X38)+Y$33</f>
        <v>83.666018837829924</v>
      </c>
      <c r="Z38" s="107">
        <f t="shared" ref="Z38:Z44" si="11">U38-Y38</f>
        <v>-2.4158453015843406E-13</v>
      </c>
      <c r="AA38" s="392">
        <f t="shared" ref="AA38:AA44" si="12">U38/Y38</f>
        <v>0.99999999999999711</v>
      </c>
      <c r="AE38" s="73">
        <v>3</v>
      </c>
      <c r="AF38" s="67">
        <v>0.74</v>
      </c>
      <c r="AG38" s="55">
        <v>27.867454756590096</v>
      </c>
      <c r="AH38" s="53">
        <v>83.602364269770291</v>
      </c>
      <c r="AI38" s="9"/>
      <c r="AJ38" s="9"/>
      <c r="AK38" s="9"/>
      <c r="AL38" s="9"/>
      <c r="AM38" s="9"/>
      <c r="AN38" s="15"/>
      <c r="AQ38" s="2" t="s">
        <v>65</v>
      </c>
      <c r="AR38" s="205" t="s">
        <v>127</v>
      </c>
      <c r="AS38" s="35"/>
    </row>
    <row r="39" spans="2:45" ht="14.1" customHeight="1" x14ac:dyDescent="0.25">
      <c r="B39" s="16">
        <v>5</v>
      </c>
      <c r="C39" s="238">
        <f t="shared" si="5"/>
        <v>133.03599999999989</v>
      </c>
      <c r="E39" s="16">
        <v>5</v>
      </c>
      <c r="F39" s="204">
        <f t="shared" si="9"/>
        <v>133.0359999999998</v>
      </c>
      <c r="G39" s="204"/>
      <c r="H39" s="16">
        <v>5</v>
      </c>
      <c r="I39" s="149">
        <f t="shared" si="2"/>
        <v>0</v>
      </c>
      <c r="K39" s="261">
        <v>5</v>
      </c>
      <c r="L39" s="262">
        <f t="shared" si="8"/>
        <v>133.0359999999998</v>
      </c>
      <c r="M39" s="263">
        <f t="shared" si="6"/>
        <v>26.60719999999996</v>
      </c>
      <c r="N39" s="266">
        <f t="shared" si="3"/>
        <v>0.70654621344605417</v>
      </c>
      <c r="O39" s="263">
        <f t="shared" si="4"/>
        <v>26.60656997205508</v>
      </c>
      <c r="P39" s="263">
        <f t="shared" si="7"/>
        <v>133.03284986027541</v>
      </c>
      <c r="R39" s="310"/>
      <c r="S39" s="82">
        <v>4</v>
      </c>
      <c r="T39" s="379">
        <f>N38</f>
        <v>0.71931371319893511</v>
      </c>
      <c r="U39" s="107">
        <f>P38</f>
        <v>108.34943434905254</v>
      </c>
      <c r="X39" s="82">
        <v>4</v>
      </c>
      <c r="Y39" s="389">
        <f t="shared" si="10"/>
        <v>108.34943434905277</v>
      </c>
      <c r="Z39" s="107">
        <f t="shared" si="11"/>
        <v>-2.2737367544323206E-13</v>
      </c>
      <c r="AA39" s="392">
        <f t="shared" si="12"/>
        <v>0.99999999999999789</v>
      </c>
      <c r="AE39" s="73">
        <v>4</v>
      </c>
      <c r="AF39" s="67">
        <v>0.70499999999999996</v>
      </c>
      <c r="AG39" s="55">
        <v>26.549399464048673</v>
      </c>
      <c r="AH39" s="53">
        <v>106.19759785619469</v>
      </c>
      <c r="AI39" s="9"/>
      <c r="AJ39" s="9"/>
      <c r="AK39" s="9"/>
      <c r="AL39" s="9"/>
      <c r="AM39" s="9"/>
      <c r="AN39" s="15"/>
      <c r="AQ39" s="16">
        <v>1</v>
      </c>
      <c r="AR39" s="204">
        <f>(AS$32*(AQ39)^3)+(AS$33*(AQ39)^2)+(AS$34*(AQ39)^1)+(AS$35)</f>
        <v>30.000000000000284</v>
      </c>
    </row>
    <row r="40" spans="2:45" ht="14.1" customHeight="1" x14ac:dyDescent="0.25">
      <c r="B40" s="16">
        <v>6</v>
      </c>
      <c r="C40" s="238">
        <f t="shared" si="5"/>
        <v>157.71999999999991</v>
      </c>
      <c r="E40" s="16">
        <v>6</v>
      </c>
      <c r="F40" s="204">
        <f t="shared" si="9"/>
        <v>157.71999999999983</v>
      </c>
      <c r="G40" s="204"/>
      <c r="H40" s="16">
        <v>6</v>
      </c>
      <c r="I40" s="149">
        <f t="shared" si="2"/>
        <v>0</v>
      </c>
      <c r="K40" s="16">
        <v>6</v>
      </c>
      <c r="L40" s="204">
        <f t="shared" si="8"/>
        <v>157.71999999999983</v>
      </c>
      <c r="M40" s="149">
        <f t="shared" si="6"/>
        <v>26.286666666666637</v>
      </c>
      <c r="N40" s="267">
        <f t="shared" si="3"/>
        <v>0.69803454694413358</v>
      </c>
      <c r="O40" s="149">
        <f t="shared" si="4"/>
        <v>26.286044228583041</v>
      </c>
      <c r="P40" s="149">
        <f t="shared" si="7"/>
        <v>157.71626537149825</v>
      </c>
      <c r="R40" s="309">
        <f>T40</f>
        <v>0.70654621344605417</v>
      </c>
      <c r="S40" s="265">
        <v>5</v>
      </c>
      <c r="T40" s="380">
        <f>N39</f>
        <v>0.70654621344605417</v>
      </c>
      <c r="U40" s="308">
        <f>P39</f>
        <v>133.03284986027541</v>
      </c>
      <c r="X40" s="265">
        <v>5</v>
      </c>
      <c r="Y40" s="389">
        <f t="shared" si="10"/>
        <v>133.03284986027563</v>
      </c>
      <c r="Z40" s="107">
        <f t="shared" si="11"/>
        <v>-2.2737367544323206E-13</v>
      </c>
      <c r="AA40" s="392">
        <f t="shared" si="12"/>
        <v>0.99999999999999833</v>
      </c>
      <c r="AE40" s="73">
        <v>5</v>
      </c>
      <c r="AF40" s="66">
        <v>0.67849999999999999</v>
      </c>
      <c r="AG40" s="56">
        <v>25.551443313981597</v>
      </c>
      <c r="AH40" s="80">
        <v>127.75721656990798</v>
      </c>
      <c r="AI40" s="9"/>
      <c r="AJ40" s="9"/>
      <c r="AK40" s="9"/>
      <c r="AL40" s="9"/>
      <c r="AM40" s="9"/>
      <c r="AN40" s="15"/>
      <c r="AQ40" s="16">
        <v>2</v>
      </c>
      <c r="AR40" s="204">
        <f>(AS$32*(AQ40)^3)+(AS$33*(AQ40)^2)+(AS$34*(AQ40)^1)+(AS$35)</f>
        <v>33.991719676550147</v>
      </c>
    </row>
    <row r="41" spans="2:45" ht="14.1" customHeight="1" x14ac:dyDescent="0.25">
      <c r="B41" s="16">
        <v>7</v>
      </c>
      <c r="C41" s="238">
        <f t="shared" si="5"/>
        <v>182.40399999999991</v>
      </c>
      <c r="E41" s="16">
        <v>7</v>
      </c>
      <c r="F41" s="204">
        <f t="shared" si="9"/>
        <v>182.40399999999983</v>
      </c>
      <c r="G41" s="204"/>
      <c r="H41" s="16">
        <v>7</v>
      </c>
      <c r="I41" s="149">
        <f>C41-F41</f>
        <v>0</v>
      </c>
      <c r="K41" s="16">
        <v>7</v>
      </c>
      <c r="L41" s="204">
        <f t="shared" si="8"/>
        <v>182.40399999999983</v>
      </c>
      <c r="M41" s="149">
        <f t="shared" si="6"/>
        <v>26.057714285714262</v>
      </c>
      <c r="N41" s="267">
        <f t="shared" si="3"/>
        <v>0.69195478515704734</v>
      </c>
      <c r="O41" s="149">
        <f t="shared" si="4"/>
        <v>26.05709726896016</v>
      </c>
      <c r="P41" s="149">
        <f t="shared" si="7"/>
        <v>182.39968088272113</v>
      </c>
      <c r="R41" s="310"/>
      <c r="S41" s="82">
        <v>10</v>
      </c>
      <c r="T41" s="379">
        <f>N44</f>
        <v>0.68101121394029229</v>
      </c>
      <c r="U41" s="107">
        <f>P44</f>
        <v>256.44992741638976</v>
      </c>
      <c r="X41" s="82">
        <v>10</v>
      </c>
      <c r="Y41" s="389">
        <f t="shared" si="10"/>
        <v>256.44992741638987</v>
      </c>
      <c r="Z41" s="107">
        <f t="shared" si="11"/>
        <v>0</v>
      </c>
      <c r="AA41" s="392">
        <f t="shared" si="12"/>
        <v>0.99999999999999956</v>
      </c>
      <c r="AE41" s="73">
        <v>10</v>
      </c>
      <c r="AF41" s="76">
        <v>0.64</v>
      </c>
      <c r="AG41" s="55">
        <v>24.101582492186029</v>
      </c>
      <c r="AH41" s="53">
        <v>241.01582492186029</v>
      </c>
      <c r="AI41" s="9"/>
      <c r="AJ41" s="9"/>
      <c r="AK41" s="9"/>
      <c r="AL41" s="9"/>
      <c r="AM41" s="9"/>
      <c r="AN41" s="15"/>
      <c r="AQ41" s="16">
        <v>3</v>
      </c>
      <c r="AR41" s="204">
        <f>(AS$32*(AQ41)^3)+(AS$33*(AQ41)^2)+(AS$34*(AQ41)^1)+(AS$35)</f>
        <v>40.51504248491878</v>
      </c>
    </row>
    <row r="42" spans="2:45" ht="14.1" customHeight="1" x14ac:dyDescent="0.25">
      <c r="B42" s="16">
        <v>8</v>
      </c>
      <c r="C42" s="238">
        <f t="shared" si="5"/>
        <v>207.08799999999991</v>
      </c>
      <c r="E42" s="16">
        <v>8</v>
      </c>
      <c r="F42" s="204">
        <f t="shared" si="9"/>
        <v>207.08799999999985</v>
      </c>
      <c r="G42" s="204"/>
      <c r="H42" s="16">
        <v>8</v>
      </c>
      <c r="I42" s="149">
        <f t="shared" si="2"/>
        <v>0</v>
      </c>
      <c r="K42" s="16">
        <v>8</v>
      </c>
      <c r="L42" s="204">
        <f t="shared" si="8"/>
        <v>207.08799999999985</v>
      </c>
      <c r="M42" s="149">
        <f t="shared" si="6"/>
        <v>25.885999999999981</v>
      </c>
      <c r="N42" s="267">
        <f t="shared" si="3"/>
        <v>0.68739496381673282</v>
      </c>
      <c r="O42" s="149">
        <f t="shared" si="4"/>
        <v>25.885387049242997</v>
      </c>
      <c r="P42" s="149">
        <f t="shared" si="7"/>
        <v>207.08309639394398</v>
      </c>
      <c r="R42" s="310"/>
      <c r="S42" s="82">
        <v>20</v>
      </c>
      <c r="T42" s="379">
        <f>N54</f>
        <v>0.66824371418741124</v>
      </c>
      <c r="U42" s="107">
        <f>P54</f>
        <v>503.28408252861828</v>
      </c>
      <c r="X42" s="82">
        <v>20</v>
      </c>
      <c r="Y42" s="389">
        <f t="shared" si="10"/>
        <v>503.28408252861828</v>
      </c>
      <c r="Z42" s="107">
        <f t="shared" si="11"/>
        <v>0</v>
      </c>
      <c r="AA42" s="392">
        <f t="shared" si="12"/>
        <v>1</v>
      </c>
      <c r="AE42" s="73">
        <v>20</v>
      </c>
      <c r="AF42" s="76">
        <v>0.65</v>
      </c>
      <c r="AG42" s="55">
        <v>24.478169718626436</v>
      </c>
      <c r="AH42" s="53">
        <v>489.56339437252871</v>
      </c>
      <c r="AI42" s="9"/>
      <c r="AJ42" s="9"/>
      <c r="AK42" s="9"/>
      <c r="AL42" s="9"/>
      <c r="AM42" s="9"/>
      <c r="AN42" s="15"/>
      <c r="AQ42" s="16">
        <v>4</v>
      </c>
      <c r="AR42" s="204">
        <f>(AS$32*(AQ42)^3)+(AS$33*(AQ42)^2)+(AS$34*(AQ42)^1)+(AS$35)</f>
        <v>49.463978436657968</v>
      </c>
    </row>
    <row r="43" spans="2:45" ht="14.1" customHeight="1" x14ac:dyDescent="0.25">
      <c r="B43" s="16">
        <v>9</v>
      </c>
      <c r="C43" s="238">
        <f t="shared" si="5"/>
        <v>231.77199999999991</v>
      </c>
      <c r="E43" s="16">
        <v>9</v>
      </c>
      <c r="F43" s="204">
        <f t="shared" si="9"/>
        <v>231.77199999999985</v>
      </c>
      <c r="G43" s="204"/>
      <c r="H43" s="16">
        <v>9</v>
      </c>
      <c r="I43" s="149">
        <f t="shared" si="2"/>
        <v>0</v>
      </c>
      <c r="K43" s="16">
        <v>9</v>
      </c>
      <c r="L43" s="204">
        <f t="shared" si="8"/>
        <v>231.77199999999985</v>
      </c>
      <c r="M43" s="149">
        <f t="shared" si="6"/>
        <v>25.752444444444428</v>
      </c>
      <c r="N43" s="267">
        <f t="shared" si="3"/>
        <v>0.68384843610759916</v>
      </c>
      <c r="O43" s="149">
        <f t="shared" si="4"/>
        <v>25.751834656129649</v>
      </c>
      <c r="P43" s="149">
        <f t="shared" si="7"/>
        <v>231.76651190516685</v>
      </c>
      <c r="R43" s="310"/>
      <c r="S43" s="82">
        <v>30</v>
      </c>
      <c r="T43" s="379">
        <f>N64</f>
        <v>0.66398788093645089</v>
      </c>
      <c r="U43" s="107">
        <f>P64</f>
        <v>750.11823764084681</v>
      </c>
      <c r="X43" s="82">
        <v>30</v>
      </c>
      <c r="Y43" s="389">
        <f t="shared" si="10"/>
        <v>750.1182376408467</v>
      </c>
      <c r="Z43" s="107">
        <f t="shared" si="11"/>
        <v>0</v>
      </c>
      <c r="AA43" s="392">
        <f t="shared" si="12"/>
        <v>1.0000000000000002</v>
      </c>
      <c r="AE43" s="73">
        <v>30</v>
      </c>
      <c r="AF43" s="76">
        <v>0.66500000000000004</v>
      </c>
      <c r="AG43" s="55">
        <v>25.04305055828705</v>
      </c>
      <c r="AH43" s="53">
        <v>751.29151674861146</v>
      </c>
      <c r="AI43" s="9"/>
      <c r="AJ43" s="9"/>
      <c r="AK43" s="9"/>
      <c r="AL43" s="9"/>
      <c r="AM43" s="9"/>
      <c r="AN43" s="15"/>
      <c r="AQ43" s="16">
        <v>5</v>
      </c>
      <c r="AR43" s="204">
        <f>(AS$32*(AQ43)^3)+(AS$33*(AQ43)^2)+(AS$34*(AQ43)^1)+(AS$35)</f>
        <v>60.732537543319509</v>
      </c>
      <c r="AS43" s="204"/>
    </row>
    <row r="44" spans="2:45" ht="14.1" customHeight="1" x14ac:dyDescent="0.25">
      <c r="B44" s="16">
        <v>10</v>
      </c>
      <c r="C44" s="238">
        <f t="shared" si="5"/>
        <v>256.4559999999999</v>
      </c>
      <c r="E44" s="16">
        <v>10</v>
      </c>
      <c r="F44" s="204">
        <f t="shared" si="9"/>
        <v>256.45599999999985</v>
      </c>
      <c r="G44" s="204"/>
      <c r="H44" s="16">
        <v>10</v>
      </c>
      <c r="I44" s="149">
        <f t="shared" si="2"/>
        <v>0</v>
      </c>
      <c r="K44" s="261">
        <v>10</v>
      </c>
      <c r="L44" s="262">
        <f>F44</f>
        <v>256.45599999999985</v>
      </c>
      <c r="M44" s="263">
        <f t="shared" si="6"/>
        <v>25.645599999999984</v>
      </c>
      <c r="N44" s="266">
        <f t="shared" si="3"/>
        <v>0.68101121394029229</v>
      </c>
      <c r="O44" s="263">
        <f t="shared" si="4"/>
        <v>25.644992741638973</v>
      </c>
      <c r="P44" s="263">
        <f t="shared" si="7"/>
        <v>256.44992741638976</v>
      </c>
      <c r="R44" s="309">
        <f>T44</f>
        <v>0.66185996431097072</v>
      </c>
      <c r="S44" s="265">
        <v>40</v>
      </c>
      <c r="T44" s="380">
        <f>N74</f>
        <v>0.66185996431097072</v>
      </c>
      <c r="U44" s="311">
        <f>P74</f>
        <v>996.95239275307529</v>
      </c>
      <c r="V44" s="316">
        <f>U32-U44</f>
        <v>4.7607246924712854E-2</v>
      </c>
      <c r="X44" s="265">
        <v>40</v>
      </c>
      <c r="Y44" s="389">
        <f t="shared" si="10"/>
        <v>996.95239275307517</v>
      </c>
      <c r="Z44" s="107">
        <f t="shared" si="11"/>
        <v>0</v>
      </c>
      <c r="AA44" s="392">
        <f t="shared" si="12"/>
        <v>1.0000000000000002</v>
      </c>
      <c r="AE44" s="73">
        <v>40</v>
      </c>
      <c r="AF44" s="77">
        <v>0.68</v>
      </c>
      <c r="AG44" s="56">
        <v>25.607931397947663</v>
      </c>
      <c r="AH44" s="80">
        <v>1024.3172559179066</v>
      </c>
      <c r="AI44" s="9"/>
      <c r="AJ44" s="9"/>
      <c r="AK44" s="9"/>
      <c r="AL44" s="9"/>
      <c r="AM44" s="9"/>
      <c r="AN44" s="15"/>
    </row>
    <row r="45" spans="2:45" ht="14.1" customHeight="1" x14ac:dyDescent="0.25">
      <c r="B45" s="16">
        <v>11</v>
      </c>
      <c r="C45" s="238">
        <f t="shared" si="5"/>
        <v>281.13999999999993</v>
      </c>
      <c r="E45" s="16">
        <v>11</v>
      </c>
      <c r="F45" s="204">
        <f t="shared" si="9"/>
        <v>281.13999999999987</v>
      </c>
      <c r="G45" s="204"/>
      <c r="H45" s="16">
        <v>11</v>
      </c>
      <c r="I45" s="149">
        <f t="shared" si="2"/>
        <v>0</v>
      </c>
      <c r="K45" s="16">
        <v>11</v>
      </c>
      <c r="L45" s="204">
        <f t="shared" si="8"/>
        <v>281.13999999999987</v>
      </c>
      <c r="M45" s="149">
        <f t="shared" si="6"/>
        <v>25.558181818181808</v>
      </c>
      <c r="N45" s="267">
        <f t="shared" si="3"/>
        <v>0.67868985034885942</v>
      </c>
      <c r="O45" s="149">
        <f t="shared" si="4"/>
        <v>25.557576629782961</v>
      </c>
      <c r="P45" s="149">
        <f t="shared" si="7"/>
        <v>281.13334292761255</v>
      </c>
      <c r="S45" s="82">
        <v>50</v>
      </c>
      <c r="T45" s="379">
        <f>N84</f>
        <v>0.66058321433568257</v>
      </c>
      <c r="U45" s="107">
        <f>P84</f>
        <v>1243.7865478653039</v>
      </c>
      <c r="AE45" s="278">
        <v>50</v>
      </c>
      <c r="AF45" s="279">
        <v>0.7</v>
      </c>
      <c r="AG45" s="280">
        <v>26.361105850828469</v>
      </c>
      <c r="AH45" s="281">
        <v>1318.0552925414236</v>
      </c>
      <c r="AI45" s="3"/>
      <c r="AJ45" s="3"/>
      <c r="AK45" s="3"/>
      <c r="AL45" s="3"/>
      <c r="AM45" s="3"/>
      <c r="AN45" s="7"/>
    </row>
    <row r="46" spans="2:45" ht="14.1" customHeight="1" x14ac:dyDescent="0.2">
      <c r="B46" s="16">
        <v>12</v>
      </c>
      <c r="C46" s="238">
        <f t="shared" si="5"/>
        <v>305.82399999999996</v>
      </c>
      <c r="E46" s="16">
        <v>12</v>
      </c>
      <c r="F46" s="204">
        <f t="shared" si="9"/>
        <v>305.8239999999999</v>
      </c>
      <c r="G46" s="204"/>
      <c r="H46" s="16">
        <v>12</v>
      </c>
      <c r="I46" s="149">
        <f t="shared" si="2"/>
        <v>0</v>
      </c>
      <c r="K46" s="16">
        <v>12</v>
      </c>
      <c r="L46" s="204">
        <f t="shared" si="8"/>
        <v>305.8239999999999</v>
      </c>
      <c r="M46" s="149">
        <f t="shared" si="6"/>
        <v>25.485333333333326</v>
      </c>
      <c r="N46" s="267">
        <f t="shared" si="3"/>
        <v>0.67675538068933205</v>
      </c>
      <c r="O46" s="149">
        <f t="shared" si="4"/>
        <v>25.484729869902953</v>
      </c>
      <c r="P46" s="149">
        <f t="shared" si="7"/>
        <v>305.81675843883545</v>
      </c>
      <c r="S46" s="229"/>
    </row>
    <row r="47" spans="2:45" ht="14.1" customHeight="1" x14ac:dyDescent="0.2">
      <c r="B47" s="16">
        <v>13</v>
      </c>
      <c r="C47" s="238">
        <f t="shared" si="5"/>
        <v>330.50799999999992</v>
      </c>
      <c r="E47" s="16">
        <v>13</v>
      </c>
      <c r="F47" s="204">
        <f t="shared" si="9"/>
        <v>330.50799999999987</v>
      </c>
      <c r="G47" s="204"/>
      <c r="H47" s="16">
        <v>13</v>
      </c>
      <c r="I47" s="149">
        <f t="shared" si="2"/>
        <v>0</v>
      </c>
      <c r="K47" s="16">
        <v>13</v>
      </c>
      <c r="L47" s="204">
        <f t="shared" si="8"/>
        <v>330.50799999999987</v>
      </c>
      <c r="M47" s="149">
        <f t="shared" si="6"/>
        <v>25.423692307692299</v>
      </c>
      <c r="N47" s="267">
        <f t="shared" si="3"/>
        <v>0.67511852174665488</v>
      </c>
      <c r="O47" s="149">
        <f t="shared" si="4"/>
        <v>25.423090303850632</v>
      </c>
      <c r="P47" s="149">
        <f t="shared" si="7"/>
        <v>330.50017395005824</v>
      </c>
    </row>
    <row r="48" spans="2:45" ht="14.1" customHeight="1" x14ac:dyDescent="0.2">
      <c r="B48" s="16">
        <v>14</v>
      </c>
      <c r="C48" s="238">
        <f t="shared" si="5"/>
        <v>355.19199999999995</v>
      </c>
      <c r="E48" s="16">
        <v>14</v>
      </c>
      <c r="F48" s="204">
        <f t="shared" si="9"/>
        <v>355.19199999999984</v>
      </c>
      <c r="G48" s="204"/>
      <c r="H48" s="16">
        <v>14</v>
      </c>
      <c r="I48" s="149">
        <f t="shared" si="2"/>
        <v>0</v>
      </c>
      <c r="K48" s="16">
        <v>14</v>
      </c>
      <c r="L48" s="204">
        <f t="shared" si="8"/>
        <v>355.19199999999984</v>
      </c>
      <c r="M48" s="149">
        <f t="shared" si="6"/>
        <v>25.37085714285713</v>
      </c>
      <c r="N48" s="267">
        <f t="shared" si="3"/>
        <v>0.67371549979578871</v>
      </c>
      <c r="O48" s="149">
        <f t="shared" si="4"/>
        <v>25.370256390091502</v>
      </c>
      <c r="P48" s="149">
        <f t="shared" si="7"/>
        <v>355.18358946128103</v>
      </c>
    </row>
    <row r="49" spans="1:20" ht="14.1" customHeight="1" x14ac:dyDescent="0.2">
      <c r="B49" s="16">
        <v>15</v>
      </c>
      <c r="C49" s="238">
        <f t="shared" si="5"/>
        <v>379.87599999999992</v>
      </c>
      <c r="E49" s="16">
        <v>15</v>
      </c>
      <c r="F49" s="204">
        <f t="shared" si="9"/>
        <v>379.87599999999986</v>
      </c>
      <c r="G49" s="204"/>
      <c r="H49" s="16">
        <v>15</v>
      </c>
      <c r="I49" s="149">
        <f t="shared" si="2"/>
        <v>0</v>
      </c>
      <c r="K49" s="16">
        <v>15</v>
      </c>
      <c r="L49" s="204">
        <f t="shared" si="8"/>
        <v>379.87599999999986</v>
      </c>
      <c r="M49" s="149">
        <f t="shared" si="6"/>
        <v>25.325066666666658</v>
      </c>
      <c r="N49" s="267">
        <f t="shared" si="3"/>
        <v>0.67249954743837159</v>
      </c>
      <c r="O49" s="149">
        <f t="shared" si="4"/>
        <v>25.32446699816693</v>
      </c>
      <c r="P49" s="149">
        <f t="shared" si="7"/>
        <v>379.86700497250393</v>
      </c>
    </row>
    <row r="50" spans="1:20" ht="14.1" customHeight="1" x14ac:dyDescent="0.2">
      <c r="B50" s="16">
        <v>16</v>
      </c>
      <c r="C50" s="238">
        <f t="shared" si="5"/>
        <v>404.55999999999995</v>
      </c>
      <c r="E50" s="16">
        <v>16</v>
      </c>
      <c r="F50" s="204">
        <f t="shared" si="9"/>
        <v>404.55999999999989</v>
      </c>
      <c r="G50" s="204"/>
      <c r="H50" s="16">
        <v>16</v>
      </c>
      <c r="I50" s="149">
        <f t="shared" si="2"/>
        <v>0</v>
      </c>
      <c r="K50" s="16">
        <v>16</v>
      </c>
      <c r="L50" s="204">
        <f t="shared" si="8"/>
        <v>404.55999999999989</v>
      </c>
      <c r="M50" s="149">
        <f t="shared" si="6"/>
        <v>25.284999999999993</v>
      </c>
      <c r="N50" s="267">
        <f t="shared" si="3"/>
        <v>0.6714355891256315</v>
      </c>
      <c r="O50" s="149">
        <f t="shared" si="4"/>
        <v>25.284401280232924</v>
      </c>
      <c r="P50" s="149">
        <f t="shared" si="7"/>
        <v>404.55042048372678</v>
      </c>
    </row>
    <row r="51" spans="1:20" ht="14.1" customHeight="1" x14ac:dyDescent="0.2">
      <c r="B51" s="16">
        <v>17</v>
      </c>
      <c r="C51" s="238">
        <f t="shared" si="5"/>
        <v>429.24399999999997</v>
      </c>
      <c r="E51" s="16">
        <v>17</v>
      </c>
      <c r="F51" s="204">
        <f t="shared" si="9"/>
        <v>429.24399999999991</v>
      </c>
      <c r="G51" s="204"/>
      <c r="H51" s="16">
        <v>17</v>
      </c>
      <c r="I51" s="149">
        <f t="shared" si="2"/>
        <v>0</v>
      </c>
      <c r="K51" s="16">
        <v>17</v>
      </c>
      <c r="L51" s="204">
        <f t="shared" si="8"/>
        <v>429.24399999999991</v>
      </c>
      <c r="M51" s="149">
        <f t="shared" si="6"/>
        <v>25.249647058823523</v>
      </c>
      <c r="N51" s="267">
        <f t="shared" si="3"/>
        <v>0.67049680237909604</v>
      </c>
      <c r="O51" s="149">
        <f t="shared" si="4"/>
        <v>25.249049176173504</v>
      </c>
      <c r="P51" s="149">
        <f t="shared" si="7"/>
        <v>429.23383599494957</v>
      </c>
      <c r="T51">
        <f>619-596</f>
        <v>23</v>
      </c>
    </row>
    <row r="52" spans="1:20" ht="14.1" customHeight="1" x14ac:dyDescent="0.2">
      <c r="B52" s="16">
        <v>18</v>
      </c>
      <c r="C52" s="238">
        <f t="shared" si="5"/>
        <v>453.92799999999994</v>
      </c>
      <c r="E52" s="16">
        <v>18</v>
      </c>
      <c r="F52" s="204">
        <f t="shared" si="9"/>
        <v>453.92799999999994</v>
      </c>
      <c r="G52" s="204"/>
      <c r="H52" s="16">
        <v>18</v>
      </c>
      <c r="I52" s="149">
        <f t="shared" si="2"/>
        <v>0</v>
      </c>
      <c r="K52" s="16">
        <v>18</v>
      </c>
      <c r="L52" s="204">
        <f t="shared" si="8"/>
        <v>453.92799999999994</v>
      </c>
      <c r="M52" s="149">
        <f t="shared" si="6"/>
        <v>25.21822222222222</v>
      </c>
      <c r="N52" s="267">
        <f t="shared" si="3"/>
        <v>0.66966232527106484</v>
      </c>
      <c r="O52" s="149">
        <f t="shared" si="4"/>
        <v>25.217625083676257</v>
      </c>
      <c r="P52" s="149">
        <f t="shared" si="7"/>
        <v>453.91725150617265</v>
      </c>
    </row>
    <row r="53" spans="1:20" ht="14.1" customHeight="1" x14ac:dyDescent="0.2">
      <c r="B53" s="16">
        <v>19</v>
      </c>
      <c r="C53" s="238">
        <f t="shared" si="5"/>
        <v>478.61199999999997</v>
      </c>
      <c r="E53" s="16">
        <v>19</v>
      </c>
      <c r="F53" s="204">
        <f t="shared" si="9"/>
        <v>478.61199999999991</v>
      </c>
      <c r="G53" s="204"/>
      <c r="H53" s="16">
        <v>19</v>
      </c>
      <c r="I53" s="149">
        <f t="shared" si="2"/>
        <v>0</v>
      </c>
      <c r="K53" s="16">
        <v>19</v>
      </c>
      <c r="L53" s="204">
        <f t="shared" si="8"/>
        <v>478.61199999999991</v>
      </c>
      <c r="M53" s="149">
        <f t="shared" si="6"/>
        <v>25.190105263157889</v>
      </c>
      <c r="N53" s="267">
        <f t="shared" si="3"/>
        <v>0.66891568785861544</v>
      </c>
      <c r="O53" s="149">
        <f t="shared" si="4"/>
        <v>25.189508790389226</v>
      </c>
      <c r="P53" s="149">
        <f t="shared" si="7"/>
        <v>478.60066701739527</v>
      </c>
    </row>
    <row r="54" spans="1:20" ht="14.1" customHeight="1" x14ac:dyDescent="0.2">
      <c r="B54" s="16">
        <v>20</v>
      </c>
      <c r="C54" s="238">
        <f t="shared" si="5"/>
        <v>503.29599999999994</v>
      </c>
      <c r="E54" s="16">
        <v>20</v>
      </c>
      <c r="F54" s="204">
        <f t="shared" si="9"/>
        <v>503.29599999999994</v>
      </c>
      <c r="G54" s="204"/>
      <c r="H54" s="16">
        <v>20</v>
      </c>
      <c r="I54" s="149">
        <f t="shared" si="2"/>
        <v>0</v>
      </c>
      <c r="K54" s="261">
        <v>20</v>
      </c>
      <c r="L54" s="262">
        <f t="shared" si="8"/>
        <v>503.29599999999994</v>
      </c>
      <c r="M54" s="263">
        <f t="shared" si="6"/>
        <v>25.164799999999996</v>
      </c>
      <c r="N54" s="266">
        <f t="shared" si="3"/>
        <v>0.66824371418741124</v>
      </c>
      <c r="O54" s="263">
        <f t="shared" si="4"/>
        <v>25.164204126430914</v>
      </c>
      <c r="P54" s="263">
        <f t="shared" si="7"/>
        <v>503.28408252861828</v>
      </c>
    </row>
    <row r="55" spans="1:20" ht="14.1" customHeight="1" x14ac:dyDescent="0.2">
      <c r="B55" s="16">
        <v>21</v>
      </c>
      <c r="C55" s="238">
        <f t="shared" si="5"/>
        <v>527.98</v>
      </c>
      <c r="E55" s="16">
        <v>21</v>
      </c>
      <c r="F55" s="204">
        <f t="shared" si="9"/>
        <v>527.98</v>
      </c>
      <c r="G55" s="204"/>
      <c r="H55" s="16">
        <v>21</v>
      </c>
      <c r="I55" s="149">
        <f t="shared" si="2"/>
        <v>0</v>
      </c>
      <c r="K55" s="16">
        <v>21</v>
      </c>
      <c r="L55" s="204">
        <f t="shared" si="8"/>
        <v>527.98</v>
      </c>
      <c r="M55" s="149">
        <f t="shared" si="6"/>
        <v>25.141904761904762</v>
      </c>
      <c r="N55" s="267">
        <f t="shared" si="3"/>
        <v>0.66763573800870268</v>
      </c>
      <c r="O55" s="149">
        <f t="shared" si="4"/>
        <v>25.141309430468624</v>
      </c>
      <c r="P55" s="149">
        <f t="shared" si="7"/>
        <v>527.96749803984108</v>
      </c>
    </row>
    <row r="56" spans="1:20" ht="14.1" customHeight="1" x14ac:dyDescent="0.2">
      <c r="B56" s="16">
        <v>22</v>
      </c>
      <c r="C56" s="238">
        <f t="shared" si="5"/>
        <v>552.66399999999999</v>
      </c>
      <c r="E56" s="16">
        <v>22</v>
      </c>
      <c r="F56" s="204">
        <f t="shared" si="9"/>
        <v>552.66399999999999</v>
      </c>
      <c r="G56" s="204"/>
      <c r="H56" s="16">
        <v>22</v>
      </c>
      <c r="I56" s="149">
        <f t="shared" si="2"/>
        <v>0</v>
      </c>
      <c r="K56" s="16">
        <v>22</v>
      </c>
      <c r="L56" s="204">
        <f t="shared" si="8"/>
        <v>552.66399999999999</v>
      </c>
      <c r="M56" s="149">
        <f t="shared" si="6"/>
        <v>25.12109090909091</v>
      </c>
      <c r="N56" s="267">
        <f t="shared" si="3"/>
        <v>0.66708303239169486</v>
      </c>
      <c r="O56" s="149">
        <f t="shared" si="4"/>
        <v>25.120496070502909</v>
      </c>
      <c r="P56" s="149">
        <f t="shared" si="7"/>
        <v>552.65091355106404</v>
      </c>
    </row>
    <row r="57" spans="1:20" ht="14.1" customHeight="1" x14ac:dyDescent="0.2">
      <c r="B57" s="16">
        <v>23</v>
      </c>
      <c r="C57" s="238">
        <f t="shared" si="5"/>
        <v>577.34799999999996</v>
      </c>
      <c r="E57" s="16">
        <v>23</v>
      </c>
      <c r="F57" s="204">
        <f t="shared" si="9"/>
        <v>577.34799999999996</v>
      </c>
      <c r="G57" s="204"/>
      <c r="H57" s="16">
        <v>23</v>
      </c>
      <c r="I57" s="149">
        <f t="shared" si="2"/>
        <v>0</v>
      </c>
      <c r="K57" s="16">
        <v>23</v>
      </c>
      <c r="L57" s="204">
        <f t="shared" si="8"/>
        <v>577.34799999999996</v>
      </c>
      <c r="M57" s="149">
        <f t="shared" si="6"/>
        <v>25.102086956521738</v>
      </c>
      <c r="N57" s="267">
        <f t="shared" si="3"/>
        <v>0.66657838813268766</v>
      </c>
      <c r="O57" s="149">
        <f t="shared" si="4"/>
        <v>25.101492567925515</v>
      </c>
      <c r="P57" s="149">
        <f t="shared" si="7"/>
        <v>577.33432906228688</v>
      </c>
    </row>
    <row r="58" spans="1:20" ht="14.1" customHeight="1" x14ac:dyDescent="0.2">
      <c r="B58" s="16">
        <v>24</v>
      </c>
      <c r="C58" s="238">
        <f t="shared" si="5"/>
        <v>602.03200000000004</v>
      </c>
      <c r="E58" s="16">
        <v>24</v>
      </c>
      <c r="F58" s="204">
        <f t="shared" si="9"/>
        <v>602.03200000000004</v>
      </c>
      <c r="G58" s="204"/>
      <c r="H58" s="16">
        <v>24</v>
      </c>
      <c r="I58" s="149">
        <f t="shared" si="2"/>
        <v>0</v>
      </c>
      <c r="K58" s="16">
        <v>24</v>
      </c>
      <c r="L58" s="204">
        <f t="shared" si="8"/>
        <v>602.03200000000004</v>
      </c>
      <c r="M58" s="149">
        <f t="shared" si="6"/>
        <v>25.084666666666667</v>
      </c>
      <c r="N58" s="267">
        <f t="shared" si="3"/>
        <v>0.66611579756193118</v>
      </c>
      <c r="O58" s="149">
        <f t="shared" si="4"/>
        <v>25.084072690562905</v>
      </c>
      <c r="P58" s="149">
        <f t="shared" si="7"/>
        <v>602.01774457350973</v>
      </c>
    </row>
    <row r="59" spans="1:20" ht="14.1" customHeight="1" x14ac:dyDescent="0.2">
      <c r="B59" s="228">
        <v>25</v>
      </c>
      <c r="C59" s="238">
        <f t="shared" si="5"/>
        <v>626.71600000000001</v>
      </c>
      <c r="E59" s="16">
        <v>25</v>
      </c>
      <c r="F59" s="204">
        <f t="shared" si="9"/>
        <v>626.71600000000001</v>
      </c>
      <c r="G59" s="204"/>
      <c r="H59" s="16">
        <v>25</v>
      </c>
      <c r="I59" s="149">
        <f t="shared" si="2"/>
        <v>0</v>
      </c>
      <c r="K59" s="16">
        <v>25</v>
      </c>
      <c r="L59" s="204">
        <f t="shared" si="8"/>
        <v>626.71600000000001</v>
      </c>
      <c r="M59" s="149">
        <f t="shared" si="6"/>
        <v>25.068640000000002</v>
      </c>
      <c r="N59" s="267">
        <f t="shared" si="3"/>
        <v>0.66569021423683516</v>
      </c>
      <c r="O59" s="149">
        <f t="shared" si="4"/>
        <v>25.068046403389307</v>
      </c>
      <c r="P59" s="149">
        <f t="shared" si="7"/>
        <v>626.70116008473269</v>
      </c>
    </row>
    <row r="60" spans="1:20" ht="14.1" customHeight="1" x14ac:dyDescent="0.2">
      <c r="A60" s="158"/>
      <c r="B60" s="239">
        <v>26</v>
      </c>
      <c r="C60" s="240">
        <f t="shared" si="5"/>
        <v>651.4</v>
      </c>
      <c r="D60" s="159"/>
      <c r="E60" s="239">
        <v>26</v>
      </c>
      <c r="F60" s="241">
        <f t="shared" si="9"/>
        <v>651.40000000000009</v>
      </c>
      <c r="G60" s="241"/>
      <c r="H60" s="239">
        <v>26</v>
      </c>
      <c r="I60" s="246">
        <f t="shared" si="2"/>
        <v>0</v>
      </c>
      <c r="J60" s="159"/>
      <c r="K60" s="239">
        <v>26</v>
      </c>
      <c r="L60" s="204">
        <f t="shared" si="8"/>
        <v>651.40000000000009</v>
      </c>
      <c r="M60" s="259">
        <f t="shared" si="6"/>
        <v>25.053846153846159</v>
      </c>
      <c r="N60" s="267">
        <f t="shared" si="3"/>
        <v>0.66529736809059281</v>
      </c>
      <c r="O60" s="149">
        <f t="shared" si="4"/>
        <v>25.053252907536756</v>
      </c>
      <c r="P60" s="149">
        <f t="shared" si="7"/>
        <v>651.38457559595565</v>
      </c>
    </row>
    <row r="61" spans="1:20" ht="14.1" customHeight="1" x14ac:dyDescent="0.2">
      <c r="B61" s="16">
        <v>27</v>
      </c>
      <c r="C61" s="238">
        <f t="shared" si="5"/>
        <v>676.08399999999995</v>
      </c>
      <c r="E61" s="16">
        <v>27</v>
      </c>
      <c r="F61" s="204">
        <f t="shared" si="9"/>
        <v>676.08400000000006</v>
      </c>
      <c r="G61" s="204"/>
      <c r="H61" s="16">
        <v>27</v>
      </c>
      <c r="I61" s="149">
        <f t="shared" si="2"/>
        <v>0</v>
      </c>
      <c r="K61" s="16">
        <v>27</v>
      </c>
      <c r="L61" s="204">
        <f t="shared" si="8"/>
        <v>676.08400000000006</v>
      </c>
      <c r="M61" s="149">
        <f t="shared" si="6"/>
        <v>25.040148148148152</v>
      </c>
      <c r="N61" s="267">
        <f t="shared" si="3"/>
        <v>0.6649336216588867</v>
      </c>
      <c r="O61" s="149">
        <f t="shared" si="4"/>
        <v>25.039555226191794</v>
      </c>
      <c r="P61" s="149">
        <f t="shared" si="7"/>
        <v>676.06799110717839</v>
      </c>
    </row>
    <row r="62" spans="1:20" ht="14.1" customHeight="1" x14ac:dyDescent="0.2">
      <c r="B62" s="16">
        <v>28</v>
      </c>
      <c r="C62" s="238">
        <f t="shared" si="5"/>
        <v>700.76800000000003</v>
      </c>
      <c r="E62" s="16">
        <v>28</v>
      </c>
      <c r="F62" s="204">
        <f t="shared" si="9"/>
        <v>700.76800000000003</v>
      </c>
      <c r="G62" s="204"/>
      <c r="H62" s="16">
        <v>28</v>
      </c>
      <c r="I62" s="149">
        <f t="shared" si="2"/>
        <v>0</v>
      </c>
      <c r="K62" s="16">
        <v>28</v>
      </c>
      <c r="L62" s="204">
        <f t="shared" si="8"/>
        <v>700.76800000000003</v>
      </c>
      <c r="M62" s="149">
        <f t="shared" si="6"/>
        <v>25.027428571428572</v>
      </c>
      <c r="N62" s="267">
        <f t="shared" si="3"/>
        <v>0.66459585711515956</v>
      </c>
      <c r="O62" s="149">
        <f t="shared" si="4"/>
        <v>25.026835950657183</v>
      </c>
      <c r="P62" s="149">
        <f t="shared" si="7"/>
        <v>700.75140661840112</v>
      </c>
    </row>
    <row r="63" spans="1:20" ht="14.1" customHeight="1" x14ac:dyDescent="0.2">
      <c r="B63" s="16">
        <v>29</v>
      </c>
      <c r="C63" s="238">
        <f t="shared" si="5"/>
        <v>725.452</v>
      </c>
      <c r="E63" s="16">
        <v>29</v>
      </c>
      <c r="F63" s="204">
        <f t="shared" si="9"/>
        <v>725.45200000000011</v>
      </c>
      <c r="G63" s="204"/>
      <c r="H63" s="16">
        <v>29</v>
      </c>
      <c r="I63" s="149">
        <f t="shared" si="2"/>
        <v>0</v>
      </c>
      <c r="K63" s="16">
        <v>29</v>
      </c>
      <c r="L63" s="204">
        <f t="shared" si="8"/>
        <v>725.45200000000011</v>
      </c>
      <c r="M63" s="149">
        <f t="shared" si="6"/>
        <v>25.015586206896554</v>
      </c>
      <c r="N63" s="267">
        <f t="shared" si="3"/>
        <v>0.6642813866778966</v>
      </c>
      <c r="O63" s="149">
        <f t="shared" si="4"/>
        <v>25.014993866538759</v>
      </c>
      <c r="P63" s="149">
        <f t="shared" si="7"/>
        <v>725.43482212962408</v>
      </c>
    </row>
    <row r="64" spans="1:20" ht="14.1" customHeight="1" x14ac:dyDescent="0.2">
      <c r="B64" s="16">
        <v>30</v>
      </c>
      <c r="C64" s="238">
        <f t="shared" si="5"/>
        <v>750.13599999999997</v>
      </c>
      <c r="E64" s="16">
        <v>30</v>
      </c>
      <c r="F64" s="204">
        <f t="shared" si="9"/>
        <v>750.13600000000008</v>
      </c>
      <c r="G64" s="204"/>
      <c r="H64" s="16">
        <v>30</v>
      </c>
      <c r="I64" s="149">
        <f t="shared" si="2"/>
        <v>0</v>
      </c>
      <c r="K64" s="261">
        <v>30</v>
      </c>
      <c r="L64" s="262">
        <f t="shared" si="8"/>
        <v>750.13600000000008</v>
      </c>
      <c r="M64" s="263">
        <f t="shared" si="6"/>
        <v>25.004533333333335</v>
      </c>
      <c r="N64" s="266">
        <f t="shared" si="3"/>
        <v>0.66398788093645089</v>
      </c>
      <c r="O64" s="263">
        <f t="shared" si="4"/>
        <v>25.003941254694894</v>
      </c>
      <c r="P64" s="263">
        <f t="shared" si="7"/>
        <v>750.11823764084681</v>
      </c>
    </row>
    <row r="65" spans="2:16" ht="14.1" customHeight="1" x14ac:dyDescent="0.2">
      <c r="B65" s="16">
        <v>31</v>
      </c>
      <c r="C65" s="238">
        <f t="shared" si="5"/>
        <v>774.82</v>
      </c>
      <c r="E65" s="16">
        <v>31</v>
      </c>
      <c r="F65" s="204">
        <f t="shared" si="9"/>
        <v>774.82</v>
      </c>
      <c r="G65" s="204"/>
      <c r="H65" s="16">
        <v>31</v>
      </c>
      <c r="I65" s="149">
        <f t="shared" si="2"/>
        <v>0</v>
      </c>
      <c r="K65" s="16">
        <v>31</v>
      </c>
      <c r="L65" s="204">
        <f t="shared" si="8"/>
        <v>774.82</v>
      </c>
      <c r="M65" s="149">
        <f t="shared" si="6"/>
        <v>24.994193548387099</v>
      </c>
      <c r="N65" s="267">
        <f t="shared" si="3"/>
        <v>0.66371331104929221</v>
      </c>
      <c r="O65" s="149">
        <f t="shared" si="4"/>
        <v>24.993601714582894</v>
      </c>
      <c r="P65" s="149">
        <f t="shared" si="7"/>
        <v>774.80165315206978</v>
      </c>
    </row>
    <row r="66" spans="2:16" ht="14.1" customHeight="1" x14ac:dyDescent="0.2">
      <c r="B66" s="16">
        <v>32</v>
      </c>
      <c r="C66" s="238">
        <f t="shared" si="5"/>
        <v>799.50400000000002</v>
      </c>
      <c r="E66" s="16">
        <v>32</v>
      </c>
      <c r="F66" s="204">
        <f t="shared" si="9"/>
        <v>799.50400000000002</v>
      </c>
      <c r="G66" s="204"/>
      <c r="H66" s="16">
        <v>32</v>
      </c>
      <c r="I66" s="149">
        <f t="shared" si="2"/>
        <v>0</v>
      </c>
      <c r="K66" s="16">
        <v>32</v>
      </c>
      <c r="L66" s="204">
        <f t="shared" si="8"/>
        <v>799.50400000000002</v>
      </c>
      <c r="M66" s="149">
        <f t="shared" si="6"/>
        <v>24.984500000000001</v>
      </c>
      <c r="N66" s="267">
        <f t="shared" si="3"/>
        <v>0.66345590178008085</v>
      </c>
      <c r="O66" s="149">
        <f t="shared" si="4"/>
        <v>24.983908395727891</v>
      </c>
      <c r="P66" s="149">
        <f t="shared" si="7"/>
        <v>799.48506866329251</v>
      </c>
    </row>
    <row r="67" spans="2:16" ht="14.1" customHeight="1" x14ac:dyDescent="0.2">
      <c r="B67" s="16">
        <v>33</v>
      </c>
      <c r="C67" s="238">
        <f t="shared" ref="C67:C85" si="13">(C$32*B67)+C$33</f>
        <v>824.18799999999999</v>
      </c>
      <c r="E67" s="16">
        <v>33</v>
      </c>
      <c r="F67" s="204">
        <f t="shared" si="9"/>
        <v>824.18799999999999</v>
      </c>
      <c r="G67" s="204"/>
      <c r="H67" s="16">
        <v>33</v>
      </c>
      <c r="I67" s="149">
        <f t="shared" si="2"/>
        <v>0</v>
      </c>
      <c r="K67" s="16">
        <v>33</v>
      </c>
      <c r="L67" s="204">
        <f t="shared" si="8"/>
        <v>824.18799999999999</v>
      </c>
      <c r="M67" s="149">
        <f t="shared" si="6"/>
        <v>24.975393939393939</v>
      </c>
      <c r="N67" s="267">
        <f t="shared" ref="N67:N85" si="14">SQRT(12*32.2*M67^2/(4*$Q$6*($Q$5*56)*$Q$4^2))</f>
        <v>0.6632140930726399</v>
      </c>
      <c r="O67" s="149">
        <f t="shared" ref="O67:O85" si="15">(N67*$Q$4)*SQRT(4*$Q$6*$Q$7/32.2)/12</f>
        <v>24.97480255074289</v>
      </c>
      <c r="P67" s="149">
        <f t="shared" si="7"/>
        <v>824.16848417451536</v>
      </c>
    </row>
    <row r="68" spans="2:16" ht="14.1" customHeight="1" x14ac:dyDescent="0.2">
      <c r="B68" s="16">
        <v>34</v>
      </c>
      <c r="C68" s="238">
        <f t="shared" si="13"/>
        <v>848.87200000000007</v>
      </c>
      <c r="E68" s="16">
        <v>34</v>
      </c>
      <c r="F68" s="204">
        <f t="shared" si="9"/>
        <v>848.87200000000007</v>
      </c>
      <c r="G68" s="204"/>
      <c r="H68" s="16">
        <v>34</v>
      </c>
      <c r="I68" s="149">
        <f t="shared" si="2"/>
        <v>0</v>
      </c>
      <c r="K68" s="16">
        <v>34</v>
      </c>
      <c r="L68" s="204">
        <f t="shared" si="8"/>
        <v>848.87200000000007</v>
      </c>
      <c r="M68" s="149">
        <f t="shared" si="6"/>
        <v>24.966823529411766</v>
      </c>
      <c r="N68" s="267">
        <f t="shared" si="14"/>
        <v>0.66298650840681317</v>
      </c>
      <c r="O68" s="149">
        <f t="shared" si="15"/>
        <v>24.966232343698181</v>
      </c>
      <c r="P68" s="149">
        <f t="shared" si="7"/>
        <v>848.85189968573809</v>
      </c>
    </row>
    <row r="69" spans="2:16" ht="14.1" customHeight="1" x14ac:dyDescent="0.2">
      <c r="B69" s="16">
        <v>35</v>
      </c>
      <c r="C69" s="238">
        <f t="shared" si="13"/>
        <v>873.55600000000004</v>
      </c>
      <c r="E69" s="16">
        <v>35</v>
      </c>
      <c r="F69" s="204">
        <f t="shared" si="9"/>
        <v>873.55600000000004</v>
      </c>
      <c r="G69" s="204"/>
      <c r="H69" s="16">
        <v>35</v>
      </c>
      <c r="I69" s="149">
        <f t="shared" si="2"/>
        <v>0</v>
      </c>
      <c r="K69" s="16">
        <v>35</v>
      </c>
      <c r="L69" s="204">
        <f t="shared" si="8"/>
        <v>873.55600000000004</v>
      </c>
      <c r="M69" s="149">
        <f t="shared" si="6"/>
        <v>24.958742857142859</v>
      </c>
      <c r="N69" s="267">
        <f t="shared" si="14"/>
        <v>0.66277192857903366</v>
      </c>
      <c r="O69" s="149">
        <f t="shared" si="15"/>
        <v>24.958151862770311</v>
      </c>
      <c r="P69" s="149">
        <f t="shared" si="7"/>
        <v>873.53531519696094</v>
      </c>
    </row>
    <row r="70" spans="2:16" ht="14.1" customHeight="1" x14ac:dyDescent="0.2">
      <c r="B70" s="16">
        <v>36</v>
      </c>
      <c r="C70" s="238">
        <f t="shared" si="13"/>
        <v>898.24</v>
      </c>
      <c r="E70" s="16">
        <v>36</v>
      </c>
      <c r="F70" s="204">
        <f t="shared" si="9"/>
        <v>898.24000000000012</v>
      </c>
      <c r="G70" s="204"/>
      <c r="H70" s="16">
        <v>36</v>
      </c>
      <c r="I70" s="149">
        <f t="shared" si="2"/>
        <v>0</v>
      </c>
      <c r="K70" s="16">
        <v>36</v>
      </c>
      <c r="L70" s="204">
        <f t="shared" si="8"/>
        <v>898.24000000000012</v>
      </c>
      <c r="M70" s="149">
        <f t="shared" si="6"/>
        <v>24.951111111111114</v>
      </c>
      <c r="N70" s="267">
        <f t="shared" si="14"/>
        <v>0.66256926985279752</v>
      </c>
      <c r="O70" s="149">
        <f t="shared" si="15"/>
        <v>24.950520297449557</v>
      </c>
      <c r="P70" s="149">
        <f t="shared" si="7"/>
        <v>898.21873070818401</v>
      </c>
    </row>
    <row r="71" spans="2:16" ht="14.1" customHeight="1" x14ac:dyDescent="0.2">
      <c r="B71" s="16">
        <v>37</v>
      </c>
      <c r="C71" s="238">
        <f t="shared" si="13"/>
        <v>922.92400000000009</v>
      </c>
      <c r="E71" s="16">
        <v>37</v>
      </c>
      <c r="F71" s="204">
        <f t="shared" si="9"/>
        <v>922.92400000000009</v>
      </c>
      <c r="G71" s="204"/>
      <c r="H71" s="16">
        <v>37</v>
      </c>
      <c r="I71" s="149">
        <f t="shared" si="2"/>
        <v>0</v>
      </c>
      <c r="K71" s="16">
        <v>37</v>
      </c>
      <c r="L71" s="204">
        <f t="shared" si="8"/>
        <v>922.92400000000009</v>
      </c>
      <c r="M71" s="149">
        <f t="shared" si="6"/>
        <v>24.943891891891894</v>
      </c>
      <c r="N71" s="267">
        <f t="shared" si="14"/>
        <v>0.66237756565230377</v>
      </c>
      <c r="O71" s="149">
        <f t="shared" si="15"/>
        <v>24.943301249173157</v>
      </c>
      <c r="P71" s="149">
        <f t="shared" si="7"/>
        <v>922.90214621940675</v>
      </c>
    </row>
    <row r="72" spans="2:16" ht="14.1" customHeight="1" x14ac:dyDescent="0.2">
      <c r="B72" s="16">
        <v>38</v>
      </c>
      <c r="C72" s="238">
        <f t="shared" si="13"/>
        <v>947.60800000000006</v>
      </c>
      <c r="E72" s="16">
        <v>38</v>
      </c>
      <c r="F72" s="204">
        <f t="shared" si="9"/>
        <v>947.60800000000006</v>
      </c>
      <c r="G72" s="204"/>
      <c r="H72" s="16">
        <v>38</v>
      </c>
      <c r="I72" s="149">
        <f t="shared" si="2"/>
        <v>0</v>
      </c>
      <c r="K72" s="16">
        <v>38</v>
      </c>
      <c r="L72" s="204">
        <f t="shared" si="8"/>
        <v>947.60800000000006</v>
      </c>
      <c r="M72" s="149">
        <f t="shared" si="6"/>
        <v>24.93705263157895</v>
      </c>
      <c r="N72" s="267">
        <f t="shared" si="14"/>
        <v>0.66219595114657293</v>
      </c>
      <c r="O72" s="149">
        <f t="shared" si="15"/>
        <v>24.93646215080604</v>
      </c>
      <c r="P72" s="149">
        <f t="shared" si="7"/>
        <v>947.58556173062948</v>
      </c>
    </row>
    <row r="73" spans="2:16" ht="14.1" customHeight="1" x14ac:dyDescent="0.2">
      <c r="B73" s="16">
        <v>39</v>
      </c>
      <c r="C73" s="238">
        <f t="shared" si="13"/>
        <v>972.29200000000003</v>
      </c>
      <c r="E73" s="16">
        <v>39</v>
      </c>
      <c r="F73" s="204">
        <f t="shared" si="9"/>
        <v>972.29200000000014</v>
      </c>
      <c r="G73" s="204"/>
      <c r="H73" s="16">
        <v>39</v>
      </c>
      <c r="I73" s="149">
        <f t="shared" si="2"/>
        <v>0</v>
      </c>
      <c r="K73" s="16">
        <v>39</v>
      </c>
      <c r="L73" s="204">
        <f t="shared" si="8"/>
        <v>972.29200000000014</v>
      </c>
      <c r="M73" s="149">
        <f t="shared" si="6"/>
        <v>24.930564102564105</v>
      </c>
      <c r="N73" s="267">
        <f t="shared" si="14"/>
        <v>0.66202365020523846</v>
      </c>
      <c r="O73" s="149">
        <f t="shared" si="15"/>
        <v>24.929973775432117</v>
      </c>
      <c r="P73" s="149">
        <f t="shared" si="7"/>
        <v>972.26897724185255</v>
      </c>
    </row>
    <row r="74" spans="2:16" ht="14.1" customHeight="1" x14ac:dyDescent="0.2">
      <c r="B74" s="16">
        <v>40</v>
      </c>
      <c r="C74" s="238">
        <f t="shared" si="13"/>
        <v>996.976</v>
      </c>
      <c r="E74" s="16">
        <v>40</v>
      </c>
      <c r="F74" s="204">
        <f t="shared" si="9"/>
        <v>996.976</v>
      </c>
      <c r="G74" s="204"/>
      <c r="H74" s="16">
        <v>40</v>
      </c>
      <c r="I74" s="149">
        <f t="shared" si="2"/>
        <v>0</v>
      </c>
      <c r="K74" s="261">
        <v>40</v>
      </c>
      <c r="L74" s="262">
        <f t="shared" si="8"/>
        <v>996.976</v>
      </c>
      <c r="M74" s="263">
        <f t="shared" si="6"/>
        <v>24.924399999999999</v>
      </c>
      <c r="N74" s="266">
        <f t="shared" si="14"/>
        <v>0.66185996431097072</v>
      </c>
      <c r="O74" s="263">
        <f t="shared" si="15"/>
        <v>24.923809818826882</v>
      </c>
      <c r="P74" s="263">
        <f t="shared" si="7"/>
        <v>996.95239275307529</v>
      </c>
    </row>
    <row r="75" spans="2:16" ht="14.1" customHeight="1" x14ac:dyDescent="0.2">
      <c r="B75" s="16">
        <v>41</v>
      </c>
      <c r="C75" s="238">
        <f t="shared" si="13"/>
        <v>1021.6600000000001</v>
      </c>
      <c r="E75" s="16">
        <v>41</v>
      </c>
      <c r="F75" s="204">
        <f t="shared" si="9"/>
        <v>1021.6600000000001</v>
      </c>
      <c r="G75" s="204"/>
      <c r="H75" s="16">
        <v>41</v>
      </c>
      <c r="I75" s="149">
        <f t="shared" si="2"/>
        <v>0</v>
      </c>
      <c r="K75" s="16">
        <v>41</v>
      </c>
      <c r="L75" s="204">
        <f t="shared" si="8"/>
        <v>1021.6600000000001</v>
      </c>
      <c r="M75" s="149">
        <f t="shared" si="6"/>
        <v>24.918536585365857</v>
      </c>
      <c r="N75" s="267">
        <f t="shared" si="14"/>
        <v>0.66170426309447217</v>
      </c>
      <c r="O75" s="149">
        <f t="shared" si="15"/>
        <v>24.917946543031661</v>
      </c>
      <c r="P75" s="149">
        <f t="shared" si="7"/>
        <v>1021.6358082642981</v>
      </c>
    </row>
    <row r="76" spans="2:16" ht="14.1" customHeight="1" x14ac:dyDescent="0.2">
      <c r="B76" s="16">
        <v>42</v>
      </c>
      <c r="C76" s="238">
        <f t="shared" si="13"/>
        <v>1046.3440000000001</v>
      </c>
      <c r="E76" s="16">
        <v>42</v>
      </c>
      <c r="F76" s="204">
        <f t="shared" si="9"/>
        <v>1046.3440000000003</v>
      </c>
      <c r="G76" s="204"/>
      <c r="H76" s="16">
        <v>42</v>
      </c>
      <c r="I76" s="149">
        <f t="shared" si="2"/>
        <v>0</v>
      </c>
      <c r="K76" s="16">
        <v>42</v>
      </c>
      <c r="L76" s="204">
        <f t="shared" si="8"/>
        <v>1046.3440000000003</v>
      </c>
      <c r="M76" s="149">
        <f t="shared" si="6"/>
        <v>24.912952380952387</v>
      </c>
      <c r="N76" s="267">
        <f t="shared" si="14"/>
        <v>0.66155597622161655</v>
      </c>
      <c r="O76" s="149">
        <f t="shared" si="15"/>
        <v>24.912362470845746</v>
      </c>
      <c r="P76" s="149">
        <f t="shared" si="7"/>
        <v>1046.3192237755213</v>
      </c>
    </row>
    <row r="77" spans="2:16" ht="14.1" customHeight="1" x14ac:dyDescent="0.2">
      <c r="B77" s="16">
        <v>43</v>
      </c>
      <c r="C77" s="238">
        <f t="shared" si="13"/>
        <v>1071.0280000000002</v>
      </c>
      <c r="E77" s="16">
        <v>43</v>
      </c>
      <c r="F77" s="204">
        <f t="shared" si="9"/>
        <v>1071.0280000000002</v>
      </c>
      <c r="G77" s="204"/>
      <c r="H77" s="16">
        <v>43</v>
      </c>
      <c r="I77" s="149">
        <f t="shared" si="2"/>
        <v>0</v>
      </c>
      <c r="K77" s="16">
        <v>43</v>
      </c>
      <c r="L77" s="204">
        <f t="shared" si="8"/>
        <v>1071.0280000000002</v>
      </c>
      <c r="M77" s="149">
        <f t="shared" si="6"/>
        <v>24.907627906976749</v>
      </c>
      <c r="N77" s="267">
        <f t="shared" si="14"/>
        <v>0.66141458641261452</v>
      </c>
      <c r="O77" s="149">
        <f t="shared" si="15"/>
        <v>24.907038122947537</v>
      </c>
      <c r="P77" s="149">
        <f t="shared" si="7"/>
        <v>1071.0026392867442</v>
      </c>
    </row>
    <row r="78" spans="2:16" ht="14.1" customHeight="1" x14ac:dyDescent="0.2">
      <c r="B78" s="16">
        <v>44</v>
      </c>
      <c r="C78" s="238">
        <f t="shared" si="13"/>
        <v>1095.712</v>
      </c>
      <c r="E78" s="16">
        <v>44</v>
      </c>
      <c r="F78" s="204">
        <f t="shared" si="9"/>
        <v>1095.712</v>
      </c>
      <c r="G78" s="204"/>
      <c r="H78" s="16">
        <v>44</v>
      </c>
      <c r="I78" s="149">
        <f t="shared" si="2"/>
        <v>0</v>
      </c>
      <c r="K78" s="16">
        <v>44</v>
      </c>
      <c r="L78" s="204">
        <f t="shared" si="8"/>
        <v>1095.712</v>
      </c>
      <c r="M78" s="149">
        <f t="shared" si="6"/>
        <v>24.902545454545454</v>
      </c>
      <c r="N78" s="267">
        <f t="shared" si="14"/>
        <v>0.66127962341311242</v>
      </c>
      <c r="O78" s="149">
        <f t="shared" si="15"/>
        <v>24.901955790862875</v>
      </c>
      <c r="P78" s="149">
        <f t="shared" si="7"/>
        <v>1095.6860547979666</v>
      </c>
    </row>
    <row r="79" spans="2:16" ht="14.1" customHeight="1" x14ac:dyDescent="0.2">
      <c r="B79" s="16">
        <v>45</v>
      </c>
      <c r="C79" s="238">
        <f t="shared" si="13"/>
        <v>1120.3960000000002</v>
      </c>
      <c r="E79" s="16">
        <v>45</v>
      </c>
      <c r="F79" s="204">
        <f t="shared" si="9"/>
        <v>1120.396</v>
      </c>
      <c r="G79" s="204"/>
      <c r="H79" s="16">
        <v>45</v>
      </c>
      <c r="I79" s="149">
        <f t="shared" si="2"/>
        <v>0</v>
      </c>
      <c r="K79" s="16">
        <v>45</v>
      </c>
      <c r="L79" s="204">
        <f t="shared" si="8"/>
        <v>1120.396</v>
      </c>
      <c r="M79" s="149">
        <f t="shared" si="6"/>
        <v>24.897688888888887</v>
      </c>
      <c r="N79" s="267">
        <f t="shared" si="14"/>
        <v>0.66115065876914392</v>
      </c>
      <c r="O79" s="149">
        <f t="shared" si="15"/>
        <v>24.89709934020421</v>
      </c>
      <c r="P79" s="149">
        <f t="shared" si="7"/>
        <v>1120.3694703091894</v>
      </c>
    </row>
    <row r="80" spans="2:16" ht="14.1" customHeight="1" x14ac:dyDescent="0.2">
      <c r="B80" s="16">
        <v>46</v>
      </c>
      <c r="C80" s="238">
        <f t="shared" si="13"/>
        <v>1145.08</v>
      </c>
      <c r="E80" s="16">
        <v>46</v>
      </c>
      <c r="F80" s="204">
        <f t="shared" si="9"/>
        <v>1145.08</v>
      </c>
      <c r="G80" s="204"/>
      <c r="H80" s="16">
        <v>46</v>
      </c>
      <c r="I80" s="149">
        <f t="shared" si="2"/>
        <v>0</v>
      </c>
      <c r="K80" s="16">
        <v>46</v>
      </c>
      <c r="L80" s="204">
        <f t="shared" si="8"/>
        <v>1145.08</v>
      </c>
      <c r="M80" s="149">
        <f t="shared" si="6"/>
        <v>24.893043478260868</v>
      </c>
      <c r="N80" s="267">
        <f t="shared" si="14"/>
        <v>0.66102730128360887</v>
      </c>
      <c r="O80" s="149">
        <f t="shared" si="15"/>
        <v>24.892454039574179</v>
      </c>
      <c r="P80" s="149">
        <f t="shared" si="7"/>
        <v>1145.0528858204123</v>
      </c>
    </row>
    <row r="81" spans="2:22" ht="14.1" customHeight="1" x14ac:dyDescent="0.2">
      <c r="B81" s="16">
        <v>47</v>
      </c>
      <c r="C81" s="238">
        <f t="shared" si="13"/>
        <v>1169.7640000000001</v>
      </c>
      <c r="E81" s="16">
        <v>47</v>
      </c>
      <c r="F81" s="204">
        <f t="shared" si="9"/>
        <v>1169.7640000000001</v>
      </c>
      <c r="G81" s="204"/>
      <c r="H81" s="16">
        <v>47</v>
      </c>
      <c r="I81" s="149">
        <f t="shared" si="2"/>
        <v>0</v>
      </c>
      <c r="K81" s="16">
        <v>47</v>
      </c>
      <c r="L81" s="204">
        <f t="shared" si="8"/>
        <v>1169.7640000000001</v>
      </c>
      <c r="M81" s="149">
        <f t="shared" si="6"/>
        <v>24.888595744680853</v>
      </c>
      <c r="N81" s="267">
        <f t="shared" si="14"/>
        <v>0.66090919305277751</v>
      </c>
      <c r="O81" s="149">
        <f t="shared" si="15"/>
        <v>24.888006411311391</v>
      </c>
      <c r="P81" s="149">
        <f t="shared" si="7"/>
        <v>1169.7363013316353</v>
      </c>
    </row>
    <row r="82" spans="2:22" ht="14.1" customHeight="1" x14ac:dyDescent="0.2">
      <c r="B82" s="16">
        <v>48</v>
      </c>
      <c r="C82" s="238">
        <f t="shared" si="13"/>
        <v>1194.4480000000003</v>
      </c>
      <c r="E82" s="16">
        <v>48</v>
      </c>
      <c r="F82" s="204">
        <f t="shared" si="9"/>
        <v>1194.4480000000001</v>
      </c>
      <c r="G82" s="204"/>
      <c r="H82" s="16">
        <v>48</v>
      </c>
      <c r="I82" s="149">
        <f t="shared" si="2"/>
        <v>0</v>
      </c>
      <c r="K82" s="16">
        <v>48</v>
      </c>
      <c r="L82" s="204">
        <f t="shared" si="8"/>
        <v>1194.4480000000001</v>
      </c>
      <c r="M82" s="149">
        <f t="shared" si="6"/>
        <v>24.884333333333334</v>
      </c>
      <c r="N82" s="267">
        <f t="shared" si="14"/>
        <v>0.66079600599823063</v>
      </c>
      <c r="O82" s="149">
        <f t="shared" si="15"/>
        <v>24.883744100892873</v>
      </c>
      <c r="P82" s="149">
        <f t="shared" si="7"/>
        <v>1194.419716842858</v>
      </c>
    </row>
    <row r="83" spans="2:22" ht="14.1" customHeight="1" x14ac:dyDescent="0.2">
      <c r="B83" s="16">
        <v>49</v>
      </c>
      <c r="C83" s="238">
        <f t="shared" si="13"/>
        <v>1219.1320000000001</v>
      </c>
      <c r="E83" s="16">
        <v>49</v>
      </c>
      <c r="F83" s="204">
        <f t="shared" si="9"/>
        <v>1219.1320000000001</v>
      </c>
      <c r="G83" s="204"/>
      <c r="H83" s="16">
        <v>49</v>
      </c>
      <c r="I83" s="149">
        <f t="shared" si="2"/>
        <v>0</v>
      </c>
      <c r="K83" s="16">
        <v>49</v>
      </c>
      <c r="L83" s="204">
        <f t="shared" si="8"/>
        <v>1219.1320000000001</v>
      </c>
      <c r="M83" s="149">
        <f t="shared" si="6"/>
        <v>24.880244897959184</v>
      </c>
      <c r="N83" s="267">
        <f t="shared" si="14"/>
        <v>0.66068743882346126</v>
      </c>
      <c r="O83" s="149">
        <f t="shared" si="15"/>
        <v>24.879655762328184</v>
      </c>
      <c r="P83" s="149">
        <f t="shared" si="7"/>
        <v>1219.103132354081</v>
      </c>
    </row>
    <row r="84" spans="2:22" ht="14.1" customHeight="1" x14ac:dyDescent="0.2">
      <c r="B84" s="16">
        <v>50</v>
      </c>
      <c r="C84" s="238">
        <f t="shared" si="13"/>
        <v>1243.8160000000003</v>
      </c>
      <c r="E84" s="16">
        <v>50</v>
      </c>
      <c r="F84" s="204">
        <f t="shared" si="9"/>
        <v>1243.816</v>
      </c>
      <c r="G84" s="204"/>
      <c r="H84" s="16">
        <v>50</v>
      </c>
      <c r="I84" s="149">
        <f t="shared" si="2"/>
        <v>0</v>
      </c>
      <c r="K84" s="261">
        <v>50</v>
      </c>
      <c r="L84" s="262">
        <f t="shared" si="8"/>
        <v>1243.816</v>
      </c>
      <c r="M84" s="263">
        <f t="shared" si="6"/>
        <v>24.87632</v>
      </c>
      <c r="N84" s="266">
        <f t="shared" si="14"/>
        <v>0.66058321433568257</v>
      </c>
      <c r="O84" s="263">
        <f t="shared" si="15"/>
        <v>24.875730957306075</v>
      </c>
      <c r="P84" s="263">
        <f t="shared" si="7"/>
        <v>1243.7865478653039</v>
      </c>
    </row>
    <row r="85" spans="2:22" ht="14.1" customHeight="1" x14ac:dyDescent="0.2">
      <c r="B85" s="16">
        <v>51</v>
      </c>
      <c r="C85" s="238">
        <f t="shared" si="13"/>
        <v>1268.5</v>
      </c>
      <c r="E85" s="16">
        <v>51</v>
      </c>
      <c r="F85" s="204">
        <f t="shared" si="9"/>
        <v>1268.5</v>
      </c>
      <c r="G85" s="204"/>
      <c r="H85" s="16">
        <v>51</v>
      </c>
      <c r="I85" s="149">
        <f>C85-F85</f>
        <v>0</v>
      </c>
      <c r="K85" s="16">
        <v>51</v>
      </c>
      <c r="L85" s="204">
        <f t="shared" si="8"/>
        <v>1268.5</v>
      </c>
      <c r="M85" s="149">
        <f t="shared" si="6"/>
        <v>24.872549019607842</v>
      </c>
      <c r="N85" s="267">
        <f t="shared" si="14"/>
        <v>0.66048307708271869</v>
      </c>
      <c r="O85" s="149">
        <f t="shared" si="15"/>
        <v>24.871960066206398</v>
      </c>
      <c r="P85" s="149">
        <f t="shared" si="7"/>
        <v>1268.4699633765263</v>
      </c>
    </row>
    <row r="86" spans="2:22" ht="14.1" customHeight="1" x14ac:dyDescent="0.2">
      <c r="E86" s="16"/>
    </row>
    <row r="87" spans="2:22" ht="14.1" customHeight="1" x14ac:dyDescent="0.2">
      <c r="E87" s="16"/>
      <c r="F87" s="276"/>
    </row>
    <row r="88" spans="2:22" ht="14.1" customHeight="1" x14ac:dyDescent="0.2">
      <c r="E88" s="16"/>
    </row>
    <row r="89" spans="2:22" ht="14.1" customHeight="1" x14ac:dyDescent="0.2">
      <c r="E89" s="16"/>
    </row>
    <row r="90" spans="2:22" ht="14.1" customHeight="1" x14ac:dyDescent="0.2">
      <c r="E90" s="16"/>
    </row>
    <row r="91" spans="2:22" ht="14.1" customHeight="1" x14ac:dyDescent="0.2">
      <c r="B91" t="s">
        <v>257</v>
      </c>
      <c r="E91" s="16"/>
      <c r="F91" t="s">
        <v>258</v>
      </c>
      <c r="J91" t="s">
        <v>259</v>
      </c>
      <c r="N91" t="s">
        <v>260</v>
      </c>
    </row>
    <row r="92" spans="2:22" ht="14.1" customHeight="1" x14ac:dyDescent="0.2">
      <c r="B92" s="317">
        <v>0.67714484962244759</v>
      </c>
      <c r="C92" s="331" t="s">
        <v>199</v>
      </c>
      <c r="D92" s="318">
        <v>51</v>
      </c>
      <c r="E92" s="16"/>
      <c r="F92" s="317">
        <v>0.67709174022247753</v>
      </c>
      <c r="G92" s="332" t="s">
        <v>202</v>
      </c>
      <c r="H92" s="318">
        <v>51</v>
      </c>
      <c r="J92" s="317">
        <v>0.67709174022247731</v>
      </c>
      <c r="K92" s="11" t="s">
        <v>203</v>
      </c>
      <c r="L92" s="318">
        <v>51</v>
      </c>
      <c r="N92" s="317">
        <v>0.67709174022247531</v>
      </c>
      <c r="O92" s="11" t="s">
        <v>204</v>
      </c>
      <c r="P92" s="318">
        <v>51</v>
      </c>
      <c r="S92">
        <v>887</v>
      </c>
      <c r="T92">
        <v>940</v>
      </c>
      <c r="U92">
        <v>997</v>
      </c>
      <c r="V92">
        <v>1054</v>
      </c>
    </row>
    <row r="93" spans="2:22" ht="14.1" customHeight="1" x14ac:dyDescent="0.2">
      <c r="B93" s="319">
        <v>0.62137997965354053</v>
      </c>
      <c r="C93" s="16" t="s">
        <v>66</v>
      </c>
      <c r="D93" s="320">
        <v>887</v>
      </c>
      <c r="E93" s="16"/>
      <c r="F93" s="319">
        <v>0.64360095260115102</v>
      </c>
      <c r="G93" s="16" t="s">
        <v>66</v>
      </c>
      <c r="H93" s="320">
        <v>940</v>
      </c>
      <c r="J93" s="319">
        <v>0.66750018258782562</v>
      </c>
      <c r="K93" s="16" t="s">
        <v>66</v>
      </c>
      <c r="L93" s="320">
        <v>997</v>
      </c>
      <c r="N93" s="319">
        <v>0.69139941257449977</v>
      </c>
      <c r="O93" s="16" t="s">
        <v>66</v>
      </c>
      <c r="P93" s="320">
        <v>1054</v>
      </c>
      <c r="T93">
        <f>T92-S92</f>
        <v>53</v>
      </c>
      <c r="U93">
        <f t="shared" ref="U93:V93" si="16">U92-T92</f>
        <v>57</v>
      </c>
      <c r="V93">
        <f t="shared" si="16"/>
        <v>57</v>
      </c>
    </row>
    <row r="94" spans="2:22" ht="14.1" customHeight="1" x14ac:dyDescent="0.2">
      <c r="B94" s="319">
        <v>0.58885047217167819</v>
      </c>
      <c r="C94" s="9"/>
      <c r="D94" s="15"/>
      <c r="E94" s="16"/>
      <c r="F94" s="319">
        <v>0.62406465982204407</v>
      </c>
      <c r="G94" s="9"/>
      <c r="H94" s="15"/>
      <c r="J94" s="319">
        <v>0.66190510730094543</v>
      </c>
      <c r="K94" s="9"/>
      <c r="L94" s="15"/>
      <c r="N94" s="319">
        <v>0.69974555477984712</v>
      </c>
      <c r="O94" s="9"/>
      <c r="P94" s="15"/>
      <c r="T94">
        <f>T92/S92</f>
        <v>1.0597519729425029</v>
      </c>
      <c r="U94">
        <f>U92/T92</f>
        <v>1.0606382978723403</v>
      </c>
      <c r="V94">
        <f>V92/U92</f>
        <v>1.0571715145436309</v>
      </c>
    </row>
    <row r="95" spans="2:22" ht="14.1" customHeight="1" x14ac:dyDescent="0.2">
      <c r="B95" s="321"/>
      <c r="C95" s="322"/>
      <c r="D95" s="323" t="s">
        <v>15</v>
      </c>
      <c r="E95" s="16"/>
      <c r="F95" s="321"/>
      <c r="G95" s="322"/>
      <c r="H95" s="323" t="s">
        <v>15</v>
      </c>
      <c r="J95" s="321"/>
      <c r="K95" s="322"/>
      <c r="L95" s="323" t="s">
        <v>15</v>
      </c>
      <c r="N95" s="321"/>
      <c r="O95" s="322"/>
      <c r="P95" s="323" t="s">
        <v>15</v>
      </c>
    </row>
    <row r="96" spans="2:22" ht="14.1" customHeight="1" x14ac:dyDescent="0.2">
      <c r="B96" s="321" t="s">
        <v>65</v>
      </c>
      <c r="C96" s="322" t="s">
        <v>12</v>
      </c>
      <c r="D96" s="323" t="s">
        <v>16</v>
      </c>
      <c r="E96" s="16"/>
      <c r="F96" s="321" t="s">
        <v>65</v>
      </c>
      <c r="G96" s="322" t="s">
        <v>12</v>
      </c>
      <c r="H96" s="323" t="s">
        <v>16</v>
      </c>
      <c r="J96" s="321" t="s">
        <v>65</v>
      </c>
      <c r="K96" s="322" t="s">
        <v>12</v>
      </c>
      <c r="L96" s="323" t="s">
        <v>16</v>
      </c>
      <c r="N96" s="321" t="s">
        <v>65</v>
      </c>
      <c r="O96" s="322" t="s">
        <v>12</v>
      </c>
      <c r="P96" s="323" t="s">
        <v>16</v>
      </c>
    </row>
    <row r="97" spans="2:17" ht="14.1" customHeight="1" x14ac:dyDescent="0.2">
      <c r="B97" s="191" t="s">
        <v>221</v>
      </c>
      <c r="C97" s="185">
        <v>0.77194512856959008</v>
      </c>
      <c r="D97" s="324">
        <v>29.069311655778932</v>
      </c>
      <c r="E97" s="382">
        <v>0.57999999999999996</v>
      </c>
      <c r="F97" s="191" t="s">
        <v>221</v>
      </c>
      <c r="G97" s="185">
        <v>0.77188458385362435</v>
      </c>
      <c r="H97" s="324">
        <v>29.067031709766734</v>
      </c>
      <c r="I97" s="382">
        <v>0.59</v>
      </c>
      <c r="J97" s="191" t="s">
        <v>221</v>
      </c>
      <c r="K97" s="185">
        <v>0.77188458385362402</v>
      </c>
      <c r="L97" s="324">
        <v>29.06703170976672</v>
      </c>
      <c r="M97" s="382">
        <v>0.6</v>
      </c>
      <c r="N97" s="191" t="s">
        <v>221</v>
      </c>
      <c r="O97" s="185">
        <v>0.7718845838536218</v>
      </c>
      <c r="P97" s="324">
        <v>29.067031709766638</v>
      </c>
      <c r="Q97" s="382">
        <v>0.62</v>
      </c>
    </row>
    <row r="98" spans="2:17" ht="14.1" customHeight="1" x14ac:dyDescent="0.2">
      <c r="B98" s="325">
        <v>2</v>
      </c>
      <c r="C98" s="377">
        <v>0.67714484962244759</v>
      </c>
      <c r="D98" s="327">
        <v>50.99879237855955</v>
      </c>
      <c r="E98" s="382">
        <v>0.56999999999999995</v>
      </c>
      <c r="F98" s="325">
        <v>2</v>
      </c>
      <c r="G98" s="377">
        <v>0.67709174022247753</v>
      </c>
      <c r="H98" s="327">
        <v>50.99479247327497</v>
      </c>
      <c r="I98" s="382">
        <v>0.59</v>
      </c>
      <c r="J98" s="325">
        <v>2</v>
      </c>
      <c r="K98" s="377">
        <v>0.67709174022247731</v>
      </c>
      <c r="L98" s="327">
        <v>50.994792473274963</v>
      </c>
      <c r="M98" s="382">
        <v>0.62</v>
      </c>
      <c r="N98" s="325">
        <v>2</v>
      </c>
      <c r="O98" s="377">
        <v>0.67709174022247531</v>
      </c>
      <c r="P98" s="327">
        <v>50.994792473274799</v>
      </c>
      <c r="Q98" s="382">
        <v>0.65</v>
      </c>
    </row>
    <row r="99" spans="2:17" ht="14.1" customHeight="1" x14ac:dyDescent="0.2">
      <c r="B99" s="191">
        <v>3</v>
      </c>
      <c r="C99" s="185">
        <v>0.64616436630638807</v>
      </c>
      <c r="D99" s="324">
        <v>72.998271443820528</v>
      </c>
      <c r="E99" s="382">
        <v>0.59</v>
      </c>
      <c r="F99" s="191">
        <v>3</v>
      </c>
      <c r="G99" s="185">
        <v>0.65848574709951846</v>
      </c>
      <c r="H99" s="324">
        <v>74.390238482858905</v>
      </c>
      <c r="I99" s="382">
        <v>0.62</v>
      </c>
      <c r="J99" s="191">
        <v>3</v>
      </c>
      <c r="K99" s="185">
        <v>0.67176309709211512</v>
      </c>
      <c r="L99" s="324">
        <v>75.890202964581206</v>
      </c>
      <c r="M99" s="382">
        <v>0.65</v>
      </c>
      <c r="N99" s="191">
        <v>3</v>
      </c>
      <c r="O99" s="185">
        <v>0.68504044708471112</v>
      </c>
      <c r="P99" s="324">
        <v>77.390167446303437</v>
      </c>
      <c r="Q99" s="382">
        <v>0.68</v>
      </c>
    </row>
    <row r="100" spans="2:17" ht="14.1" customHeight="1" x14ac:dyDescent="0.2">
      <c r="B100" s="191">
        <v>4</v>
      </c>
      <c r="C100" s="185">
        <v>0.63067412464835837</v>
      </c>
      <c r="D100" s="324">
        <v>94.997750509081541</v>
      </c>
      <c r="E100" s="143"/>
      <c r="F100" s="191">
        <v>4</v>
      </c>
      <c r="G100" s="185">
        <v>0.64918275053803876</v>
      </c>
      <c r="H100" s="324">
        <v>97.785684492442826</v>
      </c>
      <c r="I100" s="143"/>
      <c r="J100" s="191">
        <v>4</v>
      </c>
      <c r="K100" s="185">
        <v>0.66909877552693409</v>
      </c>
      <c r="L100" s="324">
        <v>100.78561345588747</v>
      </c>
      <c r="M100" s="143"/>
      <c r="N100" s="191">
        <v>4</v>
      </c>
      <c r="O100" s="185">
        <v>0.68901480051582897</v>
      </c>
      <c r="P100" s="324">
        <v>103.78554241933206</v>
      </c>
      <c r="Q100" s="143"/>
    </row>
    <row r="101" spans="2:17" ht="14.1" customHeight="1" x14ac:dyDescent="0.2">
      <c r="B101" s="325">
        <v>5</v>
      </c>
      <c r="C101" s="377">
        <v>0.62137997965354053</v>
      </c>
      <c r="D101" s="328">
        <v>116.99722957434255</v>
      </c>
      <c r="E101" s="143"/>
      <c r="F101" s="325">
        <v>5</v>
      </c>
      <c r="G101" s="377">
        <v>0.64360095260115102</v>
      </c>
      <c r="H101" s="328">
        <v>121.18113050202675</v>
      </c>
      <c r="I101" s="143"/>
      <c r="J101" s="325">
        <v>5</v>
      </c>
      <c r="K101" s="377">
        <v>0.66750018258782562</v>
      </c>
      <c r="L101" s="328">
        <v>125.68102394719376</v>
      </c>
      <c r="M101" s="143"/>
      <c r="N101" s="325">
        <v>5</v>
      </c>
      <c r="O101" s="377">
        <v>0.69139941257449977</v>
      </c>
      <c r="P101" s="328">
        <v>130.1809173923607</v>
      </c>
      <c r="Q101" s="143"/>
    </row>
    <row r="102" spans="2:17" ht="14.1" customHeight="1" x14ac:dyDescent="0.2">
      <c r="B102" s="191">
        <v>10</v>
      </c>
      <c r="C102" s="185">
        <v>0.60279168966390495</v>
      </c>
      <c r="D102" s="324">
        <v>226.99462490064761</v>
      </c>
      <c r="E102" s="143"/>
      <c r="F102" s="191">
        <v>10</v>
      </c>
      <c r="G102" s="185">
        <v>0.63243735672737555</v>
      </c>
      <c r="H102" s="324">
        <v>238.15836054994637</v>
      </c>
      <c r="I102" s="143"/>
      <c r="J102" s="191">
        <v>10</v>
      </c>
      <c r="K102" s="185">
        <v>0.66430299670960824</v>
      </c>
      <c r="L102" s="324">
        <v>250.15807640372512</v>
      </c>
      <c r="M102" s="143"/>
      <c r="N102" s="191">
        <v>10</v>
      </c>
      <c r="O102" s="185">
        <v>0.69616863669184137</v>
      </c>
      <c r="P102" s="324">
        <v>262.1577922575039</v>
      </c>
      <c r="Q102" s="143"/>
    </row>
    <row r="103" spans="2:17" ht="14.1" customHeight="1" x14ac:dyDescent="0.2">
      <c r="B103" s="191">
        <v>20</v>
      </c>
      <c r="C103" s="185">
        <v>0.59349754466908711</v>
      </c>
      <c r="D103" s="324">
        <v>446.98941555325769</v>
      </c>
      <c r="E103" s="143"/>
      <c r="F103" s="191">
        <v>20</v>
      </c>
      <c r="G103" s="185">
        <v>0.62685555879048771</v>
      </c>
      <c r="H103" s="324">
        <v>472.11282064578563</v>
      </c>
      <c r="I103" s="143"/>
      <c r="J103" s="191">
        <v>20</v>
      </c>
      <c r="K103" s="185">
        <v>0.66270440377049966</v>
      </c>
      <c r="L103" s="324">
        <v>499.11218131678771</v>
      </c>
      <c r="M103" s="143"/>
      <c r="N103" s="191">
        <v>20</v>
      </c>
      <c r="O103" s="185">
        <v>0.69855324875051183</v>
      </c>
      <c r="P103" s="324">
        <v>526.11154198779002</v>
      </c>
      <c r="Q103" s="143"/>
    </row>
    <row r="104" spans="2:17" ht="14.1" customHeight="1" x14ac:dyDescent="0.2">
      <c r="B104" s="191">
        <v>30</v>
      </c>
      <c r="C104" s="185">
        <v>0.59039949633748112</v>
      </c>
      <c r="D104" s="324">
        <v>666.98420620586774</v>
      </c>
      <c r="E104" s="143"/>
      <c r="F104" s="191">
        <v>30</v>
      </c>
      <c r="G104" s="185">
        <v>0.62499495947819184</v>
      </c>
      <c r="H104" s="324">
        <v>706.06728074162481</v>
      </c>
      <c r="I104" s="143"/>
      <c r="J104" s="191">
        <v>30</v>
      </c>
      <c r="K104" s="185">
        <v>0.66217153945746354</v>
      </c>
      <c r="L104" s="324">
        <v>748.06628622985045</v>
      </c>
      <c r="M104" s="143"/>
      <c r="N104" s="191">
        <v>30</v>
      </c>
      <c r="O104" s="185">
        <v>0.69934811943673536</v>
      </c>
      <c r="P104" s="324">
        <v>790.0652917180762</v>
      </c>
      <c r="Q104" s="143"/>
    </row>
    <row r="105" spans="2:17" ht="14.1" customHeight="1" x14ac:dyDescent="0.2">
      <c r="B105" s="325">
        <v>40</v>
      </c>
      <c r="C105" s="377">
        <v>0.58885047217167819</v>
      </c>
      <c r="D105" s="327">
        <v>886.9789968584779</v>
      </c>
      <c r="E105" s="143"/>
      <c r="F105" s="325">
        <v>40</v>
      </c>
      <c r="G105" s="377">
        <v>0.62406465982204407</v>
      </c>
      <c r="H105" s="327">
        <v>940.02174083746456</v>
      </c>
      <c r="I105" s="143"/>
      <c r="J105" s="325">
        <v>40</v>
      </c>
      <c r="K105" s="377">
        <v>0.66190510730094543</v>
      </c>
      <c r="L105" s="327">
        <v>997.02039114291324</v>
      </c>
      <c r="M105" s="143"/>
      <c r="N105" s="325">
        <v>40</v>
      </c>
      <c r="O105" s="377">
        <v>0.69974555477984712</v>
      </c>
      <c r="P105" s="327">
        <v>1054.0190414483623</v>
      </c>
      <c r="Q105" s="143"/>
    </row>
    <row r="106" spans="2:17" ht="14.1" customHeight="1" x14ac:dyDescent="0.2">
      <c r="B106" s="194">
        <v>50</v>
      </c>
      <c r="C106" s="378">
        <v>0.58792105767219649</v>
      </c>
      <c r="D106" s="330">
        <v>1106.9737875110882</v>
      </c>
      <c r="E106" s="143"/>
      <c r="F106" s="194">
        <v>50</v>
      </c>
      <c r="G106" s="378">
        <v>0.62350648002835529</v>
      </c>
      <c r="H106" s="330">
        <v>1173.9762009333037</v>
      </c>
      <c r="I106" s="143"/>
      <c r="J106" s="194">
        <v>50</v>
      </c>
      <c r="K106" s="378">
        <v>0.66174524800703471</v>
      </c>
      <c r="L106" s="330">
        <v>1245.9744960559763</v>
      </c>
      <c r="M106" s="143"/>
      <c r="N106" s="194">
        <v>50</v>
      </c>
      <c r="O106" s="378">
        <v>0.69998401598571403</v>
      </c>
      <c r="P106" s="330">
        <v>1317.9727911786481</v>
      </c>
      <c r="Q106" s="143"/>
    </row>
    <row r="107" spans="2:17" ht="14.1" customHeight="1" x14ac:dyDescent="0.2">
      <c r="E107" s="143"/>
      <c r="I107" s="143"/>
      <c r="M107" s="143"/>
      <c r="Q107" s="143"/>
    </row>
    <row r="108" spans="2:17" ht="14.1" customHeight="1" x14ac:dyDescent="0.2">
      <c r="B108" t="s">
        <v>261</v>
      </c>
      <c r="E108" s="143"/>
      <c r="F108" t="s">
        <v>262</v>
      </c>
      <c r="I108" s="143"/>
      <c r="J108" s="1" t="s">
        <v>263</v>
      </c>
      <c r="M108" s="143"/>
      <c r="N108" t="s">
        <v>264</v>
      </c>
      <c r="Q108" s="143"/>
    </row>
    <row r="109" spans="2:17" ht="14.1" customHeight="1" x14ac:dyDescent="0.2">
      <c r="B109" s="317">
        <v>0.73020114019286586</v>
      </c>
      <c r="C109" s="331" t="s">
        <v>205</v>
      </c>
      <c r="D109" s="318">
        <v>55</v>
      </c>
      <c r="E109" s="5"/>
      <c r="F109" s="317">
        <v>0.73012147609291012</v>
      </c>
      <c r="G109" s="332" t="s">
        <v>206</v>
      </c>
      <c r="H109" s="318">
        <v>55</v>
      </c>
      <c r="I109" s="5"/>
      <c r="J109" s="317">
        <v>0.73012147609290967</v>
      </c>
      <c r="K109" s="11" t="s">
        <v>207</v>
      </c>
      <c r="L109" s="318">
        <v>55</v>
      </c>
      <c r="M109" s="5"/>
      <c r="N109" s="317">
        <v>0.73012147609291189</v>
      </c>
      <c r="O109" s="11" t="s">
        <v>208</v>
      </c>
      <c r="P109" s="318">
        <v>55</v>
      </c>
      <c r="Q109" s="5"/>
    </row>
    <row r="110" spans="2:17" ht="14.1" customHeight="1" x14ac:dyDescent="0.2">
      <c r="B110" s="319">
        <v>0.64094548260263184</v>
      </c>
      <c r="C110" s="16" t="s">
        <v>66</v>
      </c>
      <c r="D110" s="320">
        <v>887</v>
      </c>
      <c r="E110" s="5"/>
      <c r="F110" s="319">
        <v>0.66312396803026596</v>
      </c>
      <c r="G110" s="16" t="s">
        <v>66</v>
      </c>
      <c r="H110" s="320">
        <v>940</v>
      </c>
      <c r="I110" s="5"/>
      <c r="J110" s="319">
        <v>0.68702319801694034</v>
      </c>
      <c r="K110" s="16" t="s">
        <v>66</v>
      </c>
      <c r="L110" s="320">
        <v>997</v>
      </c>
      <c r="M110" s="5"/>
      <c r="N110" s="319">
        <v>0.71092242800361594</v>
      </c>
      <c r="O110" s="16" t="s">
        <v>66</v>
      </c>
      <c r="P110" s="320">
        <v>1054</v>
      </c>
      <c r="Q110" s="5"/>
    </row>
    <row r="111" spans="2:17" ht="14.1" customHeight="1" x14ac:dyDescent="0.2">
      <c r="B111" s="319">
        <v>0.58887968234166199</v>
      </c>
      <c r="C111" s="9"/>
      <c r="D111" s="15"/>
      <c r="E111" s="5"/>
      <c r="F111" s="319">
        <v>0.62404208832705677</v>
      </c>
      <c r="G111" s="9"/>
      <c r="H111" s="15"/>
      <c r="I111" s="5"/>
      <c r="J111" s="319">
        <v>0.66188253580595813</v>
      </c>
      <c r="K111" s="9"/>
      <c r="L111" s="15"/>
      <c r="M111" s="5"/>
      <c r="N111" s="319">
        <v>0.69972298328485982</v>
      </c>
      <c r="O111" s="9"/>
      <c r="P111" s="15"/>
      <c r="Q111" s="5"/>
    </row>
    <row r="112" spans="2:17" ht="14.1" customHeight="1" x14ac:dyDescent="0.2">
      <c r="B112" s="321"/>
      <c r="C112" s="322"/>
      <c r="D112" s="323" t="s">
        <v>15</v>
      </c>
      <c r="E112" s="5"/>
      <c r="F112" s="321"/>
      <c r="G112" s="322"/>
      <c r="H112" s="323" t="s">
        <v>15</v>
      </c>
      <c r="I112" s="5"/>
      <c r="J112" s="321"/>
      <c r="K112" s="322"/>
      <c r="L112" s="323" t="s">
        <v>15</v>
      </c>
      <c r="M112" s="5"/>
      <c r="N112" s="321"/>
      <c r="O112" s="322"/>
      <c r="P112" s="323" t="s">
        <v>15</v>
      </c>
      <c r="Q112" s="5"/>
    </row>
    <row r="113" spans="2:17" ht="14.1" customHeight="1" x14ac:dyDescent="0.2">
      <c r="B113" s="321" t="s">
        <v>65</v>
      </c>
      <c r="C113" s="322" t="s">
        <v>12</v>
      </c>
      <c r="D113" s="323" t="s">
        <v>16</v>
      </c>
      <c r="E113" s="5"/>
      <c r="F113" s="321" t="s">
        <v>65</v>
      </c>
      <c r="G113" s="322" t="s">
        <v>12</v>
      </c>
      <c r="H113" s="323" t="s">
        <v>16</v>
      </c>
      <c r="I113" s="5"/>
      <c r="J113" s="321" t="s">
        <v>65</v>
      </c>
      <c r="K113" s="322" t="s">
        <v>12</v>
      </c>
      <c r="L113" s="323" t="s">
        <v>16</v>
      </c>
      <c r="M113" s="5"/>
      <c r="N113" s="321" t="s">
        <v>65</v>
      </c>
      <c r="O113" s="322" t="s">
        <v>12</v>
      </c>
      <c r="P113" s="323" t="s">
        <v>16</v>
      </c>
      <c r="Q113" s="5"/>
    </row>
    <row r="114" spans="2:17" ht="14.1" customHeight="1" x14ac:dyDescent="0.2">
      <c r="B114" s="191" t="s">
        <v>221</v>
      </c>
      <c r="C114" s="185">
        <v>0.83242929981986702</v>
      </c>
      <c r="D114" s="324">
        <v>31.3469777219847</v>
      </c>
      <c r="E114" s="382">
        <v>0.61</v>
      </c>
      <c r="F114" s="191" t="s">
        <v>221</v>
      </c>
      <c r="G114" s="185">
        <v>0.83233848274591749</v>
      </c>
      <c r="H114" s="324">
        <v>31.3469777219847</v>
      </c>
      <c r="I114" s="382">
        <v>0.62</v>
      </c>
      <c r="J114" s="191" t="s">
        <v>221</v>
      </c>
      <c r="K114" s="185">
        <v>0.83233848274591693</v>
      </c>
      <c r="L114" s="324">
        <v>31.343557802966345</v>
      </c>
      <c r="M114" s="382">
        <v>0.63</v>
      </c>
      <c r="N114" s="191" t="s">
        <v>221</v>
      </c>
      <c r="O114" s="185">
        <v>0.83233848274591937</v>
      </c>
      <c r="P114" s="324">
        <v>31.343557802966433</v>
      </c>
      <c r="Q114" s="382">
        <v>0.65</v>
      </c>
    </row>
    <row r="115" spans="2:17" ht="14.1" customHeight="1" x14ac:dyDescent="0.2">
      <c r="B115" s="325">
        <v>2</v>
      </c>
      <c r="C115" s="377">
        <v>0.73020114019286586</v>
      </c>
      <c r="D115" s="327">
        <v>54.994697757867897</v>
      </c>
      <c r="E115" s="382">
        <v>0.56999999999999995</v>
      </c>
      <c r="F115" s="325">
        <v>2</v>
      </c>
      <c r="G115" s="377">
        <v>0.73012147609291012</v>
      </c>
      <c r="H115" s="327">
        <v>54.988697899941002</v>
      </c>
      <c r="I115" s="382">
        <v>0.6</v>
      </c>
      <c r="J115" s="325">
        <v>2</v>
      </c>
      <c r="K115" s="377">
        <v>0.73012147609290967</v>
      </c>
      <c r="L115" s="327">
        <v>54.988697899940966</v>
      </c>
      <c r="M115" s="382">
        <v>0.63</v>
      </c>
      <c r="N115" s="325">
        <v>2</v>
      </c>
      <c r="O115" s="377">
        <v>0.73012147609291189</v>
      </c>
      <c r="P115" s="327">
        <v>54.988697899941137</v>
      </c>
      <c r="Q115" s="382">
        <v>0.66</v>
      </c>
    </row>
    <row r="116" spans="2:17" ht="14.1" customHeight="1" x14ac:dyDescent="0.2">
      <c r="B116" s="191">
        <v>3</v>
      </c>
      <c r="C116" s="185">
        <v>0.68061466375384694</v>
      </c>
      <c r="D116" s="324">
        <v>76.890179285729488</v>
      </c>
      <c r="E116" s="382">
        <v>0.6</v>
      </c>
      <c r="F116" s="191">
        <v>3</v>
      </c>
      <c r="G116" s="185">
        <v>0.69290063828032988</v>
      </c>
      <c r="H116" s="324">
        <v>78.278146419483221</v>
      </c>
      <c r="I116" s="382">
        <v>0.63</v>
      </c>
      <c r="J116" s="191">
        <v>3</v>
      </c>
      <c r="K116" s="185">
        <v>0.70617798827292677</v>
      </c>
      <c r="L116" s="324">
        <v>79.778110901205537</v>
      </c>
      <c r="M116" s="382">
        <v>0.66</v>
      </c>
      <c r="N116" s="191">
        <v>3</v>
      </c>
      <c r="O116" s="185">
        <v>0.71945533826552532</v>
      </c>
      <c r="P116" s="324">
        <v>81.278075382928051</v>
      </c>
      <c r="Q116" s="382">
        <v>0.69</v>
      </c>
    </row>
    <row r="117" spans="2:17" ht="14.1" customHeight="1" x14ac:dyDescent="0.2">
      <c r="B117" s="191">
        <v>4</v>
      </c>
      <c r="C117" s="185">
        <v>0.65582142553433753</v>
      </c>
      <c r="D117" s="324">
        <v>98.785660813591093</v>
      </c>
      <c r="E117" s="143"/>
      <c r="F117" s="191">
        <v>4</v>
      </c>
      <c r="G117" s="185">
        <v>0.67429021937403999</v>
      </c>
      <c r="H117" s="324">
        <v>101.56759493902545</v>
      </c>
      <c r="I117" s="143"/>
      <c r="J117" s="191">
        <v>4</v>
      </c>
      <c r="K117" s="185">
        <v>0.69420624436293532</v>
      </c>
      <c r="L117" s="324">
        <v>104.56752390247011</v>
      </c>
      <c r="M117" s="143"/>
      <c r="N117" s="191">
        <v>4</v>
      </c>
      <c r="O117" s="185">
        <v>0.71412226935183198</v>
      </c>
      <c r="P117" s="324">
        <v>107.56745286591496</v>
      </c>
      <c r="Q117" s="143"/>
    </row>
    <row r="118" spans="2:17" ht="14.1" customHeight="1" x14ac:dyDescent="0.2">
      <c r="B118" s="325">
        <v>5</v>
      </c>
      <c r="C118" s="377">
        <v>0.64094548260263184</v>
      </c>
      <c r="D118" s="328">
        <v>120.68114234145268</v>
      </c>
      <c r="E118" s="143"/>
      <c r="F118" s="325">
        <v>5</v>
      </c>
      <c r="G118" s="377">
        <v>0.66312396803026596</v>
      </c>
      <c r="H118" s="328">
        <v>124.85704345856769</v>
      </c>
      <c r="I118" s="143"/>
      <c r="J118" s="325">
        <v>5</v>
      </c>
      <c r="K118" s="377">
        <v>0.68702319801694034</v>
      </c>
      <c r="L118" s="328">
        <v>129.35693690373466</v>
      </c>
      <c r="M118" s="143"/>
      <c r="N118" s="325">
        <v>5</v>
      </c>
      <c r="O118" s="377">
        <v>0.71092242800361594</v>
      </c>
      <c r="P118" s="328">
        <v>133.85683034890184</v>
      </c>
      <c r="Q118" s="143"/>
    </row>
    <row r="119" spans="2:17" ht="14.1" customHeight="1" x14ac:dyDescent="0.2">
      <c r="B119" s="191">
        <v>10</v>
      </c>
      <c r="C119" s="185">
        <v>0.61119359673922069</v>
      </c>
      <c r="D119" s="324">
        <v>230.15854998076077</v>
      </c>
      <c r="E119" s="143"/>
      <c r="F119" s="191">
        <v>10</v>
      </c>
      <c r="G119" s="185">
        <v>0.64079146534271791</v>
      </c>
      <c r="H119" s="324">
        <v>241.30428605627884</v>
      </c>
      <c r="I119" s="143"/>
      <c r="J119" s="191">
        <v>10</v>
      </c>
      <c r="K119" s="185">
        <v>0.67265710532495049</v>
      </c>
      <c r="L119" s="324">
        <v>253.30400191005748</v>
      </c>
      <c r="M119" s="143"/>
      <c r="N119" s="191">
        <v>10</v>
      </c>
      <c r="O119" s="185">
        <v>0.70452274530718395</v>
      </c>
      <c r="P119" s="324">
        <v>265.3037177638364</v>
      </c>
      <c r="Q119" s="143"/>
    </row>
    <row r="120" spans="2:17" ht="14.1" customHeight="1" x14ac:dyDescent="0.2">
      <c r="B120" s="191">
        <v>20</v>
      </c>
      <c r="C120" s="185">
        <v>0.59631765380751478</v>
      </c>
      <c r="D120" s="324">
        <v>449.11336525937656</v>
      </c>
      <c r="E120" s="143"/>
      <c r="F120" s="191">
        <v>20</v>
      </c>
      <c r="G120" s="185">
        <v>0.62962521399894378</v>
      </c>
      <c r="H120" s="324">
        <v>474.19877125170103</v>
      </c>
      <c r="I120" s="143"/>
      <c r="J120" s="191">
        <v>20</v>
      </c>
      <c r="K120" s="185">
        <v>0.66547405897895562</v>
      </c>
      <c r="L120" s="324">
        <v>501.19813192270306</v>
      </c>
      <c r="M120" s="143"/>
      <c r="N120" s="191">
        <v>20</v>
      </c>
      <c r="O120" s="185">
        <v>0.7013229039589679</v>
      </c>
      <c r="P120" s="324">
        <v>528.19749259370542</v>
      </c>
      <c r="Q120" s="143"/>
    </row>
    <row r="121" spans="2:17" ht="14.1" customHeight="1" x14ac:dyDescent="0.2">
      <c r="B121" s="191">
        <v>30</v>
      </c>
      <c r="C121" s="185">
        <v>0.59135900616361292</v>
      </c>
      <c r="D121" s="324">
        <v>668.06818053799248</v>
      </c>
      <c r="E121" s="143"/>
      <c r="F121" s="191">
        <v>30</v>
      </c>
      <c r="G121" s="185">
        <v>0.62590313021768573</v>
      </c>
      <c r="H121" s="324">
        <v>707.09325644712339</v>
      </c>
      <c r="I121" s="143"/>
      <c r="J121" s="191">
        <v>30</v>
      </c>
      <c r="K121" s="185">
        <v>0.66307971019695733</v>
      </c>
      <c r="L121" s="324">
        <v>749.09226193534869</v>
      </c>
      <c r="M121" s="143"/>
      <c r="N121" s="191">
        <v>30</v>
      </c>
      <c r="O121" s="185">
        <v>0.70025629017622926</v>
      </c>
      <c r="P121" s="324">
        <v>791.09126742357466</v>
      </c>
      <c r="Q121" s="143"/>
    </row>
    <row r="122" spans="2:17" ht="14.1" customHeight="1" x14ac:dyDescent="0.2">
      <c r="B122" s="325">
        <v>40</v>
      </c>
      <c r="C122" s="377">
        <v>0.58887968234166199</v>
      </c>
      <c r="D122" s="327">
        <v>887.02299581660839</v>
      </c>
      <c r="E122" s="143"/>
      <c r="F122" s="325">
        <v>40</v>
      </c>
      <c r="G122" s="377">
        <v>0.62404208832705677</v>
      </c>
      <c r="H122" s="327">
        <v>939.98774164254553</v>
      </c>
      <c r="I122" s="143"/>
      <c r="J122" s="325">
        <v>40</v>
      </c>
      <c r="K122" s="377">
        <v>0.66188253580595813</v>
      </c>
      <c r="L122" s="327">
        <v>996.98639194799443</v>
      </c>
      <c r="M122" s="143"/>
      <c r="N122" s="325">
        <v>40</v>
      </c>
      <c r="O122" s="377">
        <v>0.69972298328485982</v>
      </c>
      <c r="P122" s="327">
        <v>1053.9850422534435</v>
      </c>
      <c r="Q122" s="143"/>
    </row>
    <row r="123" spans="2:17" ht="14.1" customHeight="1" x14ac:dyDescent="0.2">
      <c r="B123" s="194">
        <v>50</v>
      </c>
      <c r="C123" s="378">
        <v>0.58739208804849141</v>
      </c>
      <c r="D123" s="330">
        <v>1105.9778110952245</v>
      </c>
      <c r="E123" s="143"/>
      <c r="F123" s="194">
        <v>50</v>
      </c>
      <c r="G123" s="378">
        <v>0.62292546319267927</v>
      </c>
      <c r="H123" s="330">
        <v>1172.8822268379679</v>
      </c>
      <c r="I123" s="143"/>
      <c r="J123" s="194">
        <v>50</v>
      </c>
      <c r="K123" s="378">
        <v>0.66116423117135847</v>
      </c>
      <c r="L123" s="330">
        <v>1244.8805219606397</v>
      </c>
      <c r="M123" s="143"/>
      <c r="N123" s="194">
        <v>50</v>
      </c>
      <c r="O123" s="378">
        <v>0.69940299915003823</v>
      </c>
      <c r="P123" s="330">
        <v>1316.8788170833127</v>
      </c>
      <c r="Q123" s="143"/>
    </row>
    <row r="124" spans="2:17" ht="14.1" customHeight="1" x14ac:dyDescent="0.2">
      <c r="E124" s="143"/>
      <c r="I124" s="143"/>
      <c r="M124" s="143"/>
      <c r="Q124" s="143"/>
    </row>
    <row r="125" spans="2:17" ht="14.1" customHeight="1" x14ac:dyDescent="0.2">
      <c r="B125" t="s">
        <v>265</v>
      </c>
      <c r="E125" s="143"/>
      <c r="F125" t="s">
        <v>266</v>
      </c>
      <c r="I125" s="143"/>
      <c r="J125" t="s">
        <v>267</v>
      </c>
      <c r="M125" s="143"/>
      <c r="N125" t="s">
        <v>268</v>
      </c>
      <c r="Q125" s="143"/>
    </row>
    <row r="126" spans="2:17" ht="14.1" customHeight="1" x14ac:dyDescent="0.2">
      <c r="B126" s="317">
        <v>0.783230876063299</v>
      </c>
      <c r="C126" s="331" t="s">
        <v>209</v>
      </c>
      <c r="D126" s="318">
        <v>59</v>
      </c>
      <c r="E126" s="5"/>
      <c r="F126" s="317">
        <v>0.7831512119633417</v>
      </c>
      <c r="G126" s="332" t="s">
        <v>210</v>
      </c>
      <c r="H126" s="318">
        <v>59</v>
      </c>
      <c r="I126" s="5"/>
      <c r="J126" s="317">
        <v>0.78315121196333981</v>
      </c>
      <c r="K126" s="11" t="s">
        <v>211</v>
      </c>
      <c r="L126" s="318">
        <v>59</v>
      </c>
      <c r="M126" s="5"/>
      <c r="N126" s="317">
        <v>0.78315121196334236</v>
      </c>
      <c r="O126" s="11" t="s">
        <v>212</v>
      </c>
      <c r="P126" s="318">
        <v>59</v>
      </c>
      <c r="Q126" s="5"/>
    </row>
    <row r="127" spans="2:17" ht="14.1" customHeight="1" x14ac:dyDescent="0.2">
      <c r="B127" s="319">
        <v>0.6604684980317469</v>
      </c>
      <c r="C127" s="16" t="s">
        <v>66</v>
      </c>
      <c r="D127" s="320">
        <v>887</v>
      </c>
      <c r="E127" s="5"/>
      <c r="F127" s="319">
        <v>0.68264698345938002</v>
      </c>
      <c r="G127" s="16" t="s">
        <v>66</v>
      </c>
      <c r="H127" s="320">
        <v>940</v>
      </c>
      <c r="I127" s="5"/>
      <c r="J127" s="319">
        <v>0.70654621344605417</v>
      </c>
      <c r="K127" s="16" t="s">
        <v>66</v>
      </c>
      <c r="L127" s="320">
        <v>997</v>
      </c>
      <c r="M127" s="5"/>
      <c r="N127" s="319">
        <v>0.73044544343272955</v>
      </c>
      <c r="O127" s="16" t="s">
        <v>66</v>
      </c>
      <c r="P127" s="320">
        <v>1054</v>
      </c>
      <c r="Q127" s="5"/>
    </row>
    <row r="128" spans="2:17" ht="14.1" customHeight="1" x14ac:dyDescent="0.2">
      <c r="B128" s="319">
        <v>0.58885711084667458</v>
      </c>
      <c r="C128" s="9"/>
      <c r="D128" s="15"/>
      <c r="E128" s="5"/>
      <c r="F128" s="319">
        <v>0.62401951683206924</v>
      </c>
      <c r="G128" s="9"/>
      <c r="H128" s="15"/>
      <c r="I128" s="5"/>
      <c r="J128" s="319">
        <v>0.66185996431097072</v>
      </c>
      <c r="K128" s="9"/>
      <c r="L128" s="15"/>
      <c r="M128" s="5"/>
      <c r="N128" s="319">
        <v>0.6997004117898723</v>
      </c>
      <c r="O128" s="9"/>
      <c r="P128" s="15"/>
      <c r="Q128" s="5"/>
    </row>
    <row r="129" spans="2:17" ht="14.1" customHeight="1" x14ac:dyDescent="0.2">
      <c r="B129" s="321"/>
      <c r="C129" s="322"/>
      <c r="D129" s="323" t="s">
        <v>15</v>
      </c>
      <c r="E129" s="5"/>
      <c r="F129" s="321"/>
      <c r="G129" s="322"/>
      <c r="H129" s="323" t="s">
        <v>15</v>
      </c>
      <c r="I129" s="5"/>
      <c r="J129" s="321"/>
      <c r="K129" s="322"/>
      <c r="L129" s="323" t="s">
        <v>15</v>
      </c>
      <c r="M129" s="5"/>
      <c r="N129" s="321"/>
      <c r="O129" s="322"/>
      <c r="P129" s="323" t="s">
        <v>15</v>
      </c>
      <c r="Q129" s="5"/>
    </row>
    <row r="130" spans="2:17" ht="14.1" customHeight="1" x14ac:dyDescent="0.2">
      <c r="B130" s="321" t="s">
        <v>65</v>
      </c>
      <c r="C130" s="322" t="s">
        <v>12</v>
      </c>
      <c r="D130" s="323" t="s">
        <v>16</v>
      </c>
      <c r="E130" s="5"/>
      <c r="F130" s="321" t="s">
        <v>65</v>
      </c>
      <c r="G130" s="322" t="s">
        <v>12</v>
      </c>
      <c r="H130" s="323" t="s">
        <v>16</v>
      </c>
      <c r="I130" s="5"/>
      <c r="J130" s="321" t="s">
        <v>65</v>
      </c>
      <c r="K130" s="322" t="s">
        <v>12</v>
      </c>
      <c r="L130" s="323" t="s">
        <v>16</v>
      </c>
      <c r="M130" s="5"/>
      <c r="N130" s="321" t="s">
        <v>65</v>
      </c>
      <c r="O130" s="322" t="s">
        <v>12</v>
      </c>
      <c r="P130" s="323" t="s">
        <v>16</v>
      </c>
      <c r="Q130" s="5"/>
    </row>
    <row r="131" spans="2:17" ht="14.1" customHeight="1" x14ac:dyDescent="0.2">
      <c r="B131" s="191" t="s">
        <v>221</v>
      </c>
      <c r="C131" s="185">
        <v>0.89288319871216082</v>
      </c>
      <c r="D131" s="324">
        <v>33.623503815184357</v>
      </c>
      <c r="E131" s="382">
        <v>0.64</v>
      </c>
      <c r="F131" s="191" t="s">
        <v>221</v>
      </c>
      <c r="G131" s="185">
        <v>0.89279238163820929</v>
      </c>
      <c r="H131" s="324">
        <v>33.620083896165944</v>
      </c>
      <c r="I131" s="382">
        <v>0.66</v>
      </c>
      <c r="J131" s="191" t="s">
        <v>221</v>
      </c>
      <c r="K131" s="185">
        <v>0.89279238163820729</v>
      </c>
      <c r="L131" s="324">
        <v>33.620083896165873</v>
      </c>
      <c r="M131" s="382">
        <v>0.67</v>
      </c>
      <c r="N131" s="191" t="s">
        <v>221</v>
      </c>
      <c r="O131" s="185">
        <v>0.89279238163821018</v>
      </c>
      <c r="P131" s="324">
        <v>33.62008389616598</v>
      </c>
      <c r="Q131" s="382">
        <v>0.68</v>
      </c>
    </row>
    <row r="132" spans="2:17" ht="14.1" customHeight="1" x14ac:dyDescent="0.2">
      <c r="B132" s="325">
        <v>2</v>
      </c>
      <c r="C132" s="377">
        <v>0.783230876063299</v>
      </c>
      <c r="D132" s="327">
        <v>58.988603184533964</v>
      </c>
      <c r="E132" s="382">
        <v>0.57999999999999996</v>
      </c>
      <c r="F132" s="325">
        <v>2</v>
      </c>
      <c r="G132" s="377">
        <v>0.7831512119633417</v>
      </c>
      <c r="H132" s="327">
        <v>58.982603326606949</v>
      </c>
      <c r="I132" s="382">
        <v>0.61</v>
      </c>
      <c r="J132" s="325">
        <v>2</v>
      </c>
      <c r="K132" s="377">
        <v>0.78315121196333981</v>
      </c>
      <c r="L132" s="327">
        <v>58.982603326606807</v>
      </c>
      <c r="M132" s="382">
        <v>0.64</v>
      </c>
      <c r="N132" s="325">
        <v>2</v>
      </c>
      <c r="O132" s="377">
        <v>0.78315121196334236</v>
      </c>
      <c r="P132" s="327">
        <v>58.982603326606998</v>
      </c>
      <c r="Q132" s="382">
        <v>0.67</v>
      </c>
    </row>
    <row r="133" spans="2:17" ht="14.1" customHeight="1" x14ac:dyDescent="0.2">
      <c r="B133" s="191">
        <v>3</v>
      </c>
      <c r="C133" s="185">
        <v>0.71502955493465881</v>
      </c>
      <c r="D133" s="324">
        <v>80.778087222353847</v>
      </c>
      <c r="E133" s="382">
        <v>0.6</v>
      </c>
      <c r="F133" s="191">
        <v>3</v>
      </c>
      <c r="G133" s="185">
        <v>0.72731552946114075</v>
      </c>
      <c r="H133" s="324">
        <v>82.166054356107452</v>
      </c>
      <c r="I133" s="382">
        <v>0.63</v>
      </c>
      <c r="J133" s="191">
        <v>3</v>
      </c>
      <c r="K133" s="185">
        <v>0.74059287945373686</v>
      </c>
      <c r="L133" s="324">
        <v>83.666018837829682</v>
      </c>
      <c r="M133" s="382">
        <v>0.66</v>
      </c>
      <c r="N133" s="191">
        <v>3</v>
      </c>
      <c r="O133" s="185">
        <v>0.75387022944633553</v>
      </c>
      <c r="P133" s="324">
        <v>85.165983319552211</v>
      </c>
      <c r="Q133" s="382">
        <v>0.69</v>
      </c>
    </row>
    <row r="134" spans="2:17" ht="14.1" customHeight="1" x14ac:dyDescent="0.2">
      <c r="B134" s="191">
        <v>4</v>
      </c>
      <c r="C134" s="185">
        <v>0.68092889437033888</v>
      </c>
      <c r="D134" s="324">
        <v>102.56757126017374</v>
      </c>
      <c r="F134" s="191">
        <v>4</v>
      </c>
      <c r="G134" s="185">
        <v>0.69939768821004022</v>
      </c>
      <c r="H134" s="324">
        <v>105.34950538560794</v>
      </c>
      <c r="J134" s="191">
        <v>4</v>
      </c>
      <c r="K134" s="185">
        <v>0.71931371319893511</v>
      </c>
      <c r="L134" s="324">
        <v>108.34943434905254</v>
      </c>
      <c r="N134" s="191">
        <v>4</v>
      </c>
      <c r="O134" s="185">
        <v>0.73922973818783178</v>
      </c>
      <c r="P134" s="324">
        <v>111.34936331249737</v>
      </c>
    </row>
    <row r="135" spans="2:17" ht="14.1" customHeight="1" x14ac:dyDescent="0.2">
      <c r="B135" s="325">
        <v>5</v>
      </c>
      <c r="C135" s="377">
        <v>0.6604684980317469</v>
      </c>
      <c r="D135" s="328">
        <v>124.35705529799364</v>
      </c>
      <c r="F135" s="325">
        <v>5</v>
      </c>
      <c r="G135" s="377">
        <v>0.68264698345938002</v>
      </c>
      <c r="H135" s="328">
        <v>128.53295641510846</v>
      </c>
      <c r="J135" s="325">
        <v>5</v>
      </c>
      <c r="K135" s="377">
        <v>0.70654621344605417</v>
      </c>
      <c r="L135" s="328">
        <v>133.03284986027541</v>
      </c>
      <c r="N135" s="325">
        <v>5</v>
      </c>
      <c r="O135" s="377">
        <v>0.73044544343272955</v>
      </c>
      <c r="P135" s="328">
        <v>137.53274330544255</v>
      </c>
    </row>
    <row r="136" spans="2:17" ht="14.1" customHeight="1" x14ac:dyDescent="0.2">
      <c r="B136" s="191">
        <v>10</v>
      </c>
      <c r="C136" s="185">
        <v>0.61954770535456272</v>
      </c>
      <c r="D136" s="324">
        <v>233.30447548709301</v>
      </c>
      <c r="F136" s="191">
        <v>10</v>
      </c>
      <c r="G136" s="185">
        <v>0.64914557395805961</v>
      </c>
      <c r="H136" s="324">
        <v>244.45021156261103</v>
      </c>
      <c r="J136" s="191">
        <v>10</v>
      </c>
      <c r="K136" s="185">
        <v>0.68101121394029229</v>
      </c>
      <c r="L136" s="324">
        <v>256.44992741638976</v>
      </c>
      <c r="N136" s="191">
        <v>10</v>
      </c>
      <c r="O136" s="185">
        <v>0.71287685392252553</v>
      </c>
      <c r="P136" s="324">
        <v>268.44964327016851</v>
      </c>
    </row>
    <row r="137" spans="2:17" ht="14.1" customHeight="1" x14ac:dyDescent="0.2">
      <c r="B137" s="191">
        <v>20</v>
      </c>
      <c r="C137" s="185">
        <v>0.59908730901597074</v>
      </c>
      <c r="D137" s="324">
        <v>451.19931586529191</v>
      </c>
      <c r="F137" s="191">
        <v>20</v>
      </c>
      <c r="G137" s="185">
        <v>0.63239486920739929</v>
      </c>
      <c r="H137" s="324">
        <v>476.28472185761609</v>
      </c>
      <c r="J137" s="191">
        <v>20</v>
      </c>
      <c r="K137" s="185">
        <v>0.66824371418741124</v>
      </c>
      <c r="L137" s="324">
        <v>503.28408252861828</v>
      </c>
      <c r="N137" s="191">
        <v>20</v>
      </c>
      <c r="O137" s="185">
        <v>0.70409255916742342</v>
      </c>
      <c r="P137" s="324">
        <v>530.28344319962048</v>
      </c>
    </row>
    <row r="138" spans="2:17" ht="14.1" customHeight="1" x14ac:dyDescent="0.2">
      <c r="B138" s="191">
        <v>30</v>
      </c>
      <c r="C138" s="185">
        <v>0.5922671769031066</v>
      </c>
      <c r="D138" s="324">
        <v>669.0941562434906</v>
      </c>
      <c r="F138" s="191">
        <v>30</v>
      </c>
      <c r="G138" s="185">
        <v>0.62681130095717918</v>
      </c>
      <c r="H138" s="324">
        <v>708.11923215262118</v>
      </c>
      <c r="J138" s="191">
        <v>30</v>
      </c>
      <c r="K138" s="185">
        <v>0.66398788093645089</v>
      </c>
      <c r="L138" s="324">
        <v>750.11823764084681</v>
      </c>
      <c r="N138" s="191">
        <v>30</v>
      </c>
      <c r="O138" s="185">
        <v>0.7011644609157226</v>
      </c>
      <c r="P138" s="324">
        <v>792.11724312907245</v>
      </c>
    </row>
    <row r="139" spans="2:17" ht="14.1" customHeight="1" x14ac:dyDescent="0.2">
      <c r="B139" s="325">
        <v>40</v>
      </c>
      <c r="C139" s="377">
        <v>0.58885711084667458</v>
      </c>
      <c r="D139" s="327">
        <v>886.98899662168958</v>
      </c>
      <c r="F139" s="325">
        <v>40</v>
      </c>
      <c r="G139" s="377">
        <v>0.62401951683206924</v>
      </c>
      <c r="H139" s="327">
        <v>939.95374244762627</v>
      </c>
      <c r="J139" s="325">
        <v>40</v>
      </c>
      <c r="K139" s="377">
        <v>0.66185996431097072</v>
      </c>
      <c r="L139" s="327">
        <v>996.95239275307529</v>
      </c>
      <c r="N139" s="325">
        <v>40</v>
      </c>
      <c r="O139" s="377">
        <v>0.6997004117898723</v>
      </c>
      <c r="P139" s="327">
        <v>1053.9510430585244</v>
      </c>
    </row>
    <row r="140" spans="2:17" ht="14.1" customHeight="1" x14ac:dyDescent="0.2">
      <c r="B140" s="194">
        <v>50</v>
      </c>
      <c r="C140" s="378">
        <v>0.58681107121281528</v>
      </c>
      <c r="D140" s="330">
        <v>1104.8838369998882</v>
      </c>
      <c r="F140" s="194">
        <v>50</v>
      </c>
      <c r="G140" s="378">
        <v>0.62234444635700326</v>
      </c>
      <c r="H140" s="330">
        <v>1171.7882527426318</v>
      </c>
      <c r="J140" s="194">
        <v>50</v>
      </c>
      <c r="K140" s="378">
        <v>0.66058321433568257</v>
      </c>
      <c r="L140" s="330">
        <v>1243.7865478653039</v>
      </c>
      <c r="N140" s="194">
        <v>50</v>
      </c>
      <c r="O140" s="378">
        <v>0.69882198231436199</v>
      </c>
      <c r="P140" s="330">
        <v>1315.7848429879762</v>
      </c>
    </row>
    <row r="141" spans="2:17" ht="14.1" customHeight="1" x14ac:dyDescent="0.2"/>
    <row r="142" spans="2:17" ht="14.1" customHeight="1" x14ac:dyDescent="0.2"/>
    <row r="143" spans="2:17" ht="14.1" customHeight="1" x14ac:dyDescent="0.2"/>
    <row r="144" spans="2:17" ht="14.1" customHeight="1" x14ac:dyDescent="0.2"/>
    <row r="145" spans="27:27" ht="14.1" customHeight="1" x14ac:dyDescent="0.2"/>
    <row r="146" spans="27:27" ht="14.1" customHeight="1" x14ac:dyDescent="0.2"/>
    <row r="147" spans="27:27" ht="14.1" customHeight="1" x14ac:dyDescent="0.2"/>
    <row r="148" spans="27:27" ht="14.1" customHeight="1" x14ac:dyDescent="0.2"/>
    <row r="149" spans="27:27" ht="14.1" customHeight="1" x14ac:dyDescent="0.2"/>
    <row r="150" spans="27:27" ht="14.1" customHeight="1" x14ac:dyDescent="0.2"/>
    <row r="151" spans="27:27" ht="14.1" customHeight="1" x14ac:dyDescent="0.2"/>
    <row r="152" spans="27:27" ht="14.1" customHeight="1" x14ac:dyDescent="0.2"/>
    <row r="153" spans="27:27" ht="14.1" customHeight="1" x14ac:dyDescent="0.2"/>
    <row r="154" spans="27:27" ht="14.1" customHeight="1" x14ac:dyDescent="0.2"/>
    <row r="160" spans="27:27" x14ac:dyDescent="0.2">
      <c r="AA160" s="16"/>
    </row>
  </sheetData>
  <phoneticPr fontId="64" type="noConversion"/>
  <pageMargins left="0.7" right="0.7" top="0.25" bottom="0.25" header="0.3" footer="0.3"/>
  <pageSetup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6752-623A-4A12-AF72-D12FCE070EE0}">
  <sheetPr transitionEvaluation="1" transitionEntry="1">
    <pageSetUpPr fitToPage="1"/>
  </sheetPr>
  <dimension ref="A2:AM159"/>
  <sheetViews>
    <sheetView showGridLines="0" topLeftCell="A43" zoomScale="90" zoomScaleNormal="90" zoomScaleSheetLayoutView="80" workbookViewId="0">
      <selection activeCell="H28" sqref="H28"/>
    </sheetView>
  </sheetViews>
  <sheetFormatPr defaultRowHeight="12.75" x14ac:dyDescent="0.2"/>
  <cols>
    <col min="1" max="33" width="9.42578125" customWidth="1"/>
    <col min="34" max="38" width="10.7109375" customWidth="1"/>
    <col min="39" max="44" width="9.7109375" customWidth="1"/>
    <col min="45" max="48" width="10.7109375" customWidth="1"/>
    <col min="49" max="49" width="13" customWidth="1"/>
    <col min="50" max="50" width="13.5703125" customWidth="1"/>
    <col min="51" max="51" width="12.5703125" customWidth="1"/>
    <col min="52" max="52" width="10.7109375" customWidth="1"/>
    <col min="53" max="54" width="12.140625" customWidth="1"/>
    <col min="55" max="55" width="14.140625" customWidth="1"/>
    <col min="56" max="59" width="10.7109375" customWidth="1"/>
    <col min="60" max="63" width="12.7109375" customWidth="1"/>
    <col min="64" max="73" width="10.7109375" customWidth="1"/>
  </cols>
  <sheetData>
    <row r="2" spans="1:39" ht="14.1" customHeight="1" x14ac:dyDescent="0.2">
      <c r="A2" t="s">
        <v>22</v>
      </c>
    </row>
    <row r="3" spans="1:39" ht="14.1" customHeight="1" x14ac:dyDescent="0.2">
      <c r="AM3" t="s">
        <v>7</v>
      </c>
    </row>
    <row r="4" spans="1:39" ht="14.1" customHeight="1" x14ac:dyDescent="0.2">
      <c r="Q4" s="284">
        <v>2.5150000000000001</v>
      </c>
      <c r="R4" s="285" t="s">
        <v>10</v>
      </c>
      <c r="S4" s="286"/>
      <c r="T4" s="286"/>
      <c r="U4" s="287"/>
      <c r="V4" s="208" t="s">
        <v>186</v>
      </c>
    </row>
    <row r="5" spans="1:39" ht="14.1" customHeight="1" x14ac:dyDescent="0.2">
      <c r="Q5" s="288">
        <v>4.55</v>
      </c>
      <c r="R5" s="157" t="s">
        <v>0</v>
      </c>
      <c r="S5" s="9"/>
      <c r="T5" s="9"/>
      <c r="U5" s="289"/>
      <c r="V5" t="s">
        <v>177</v>
      </c>
    </row>
    <row r="6" spans="1:39" ht="14.1" customHeight="1" x14ac:dyDescent="0.2">
      <c r="Q6" s="288">
        <v>85</v>
      </c>
      <c r="R6" s="156" t="s">
        <v>1</v>
      </c>
      <c r="S6" s="9"/>
      <c r="T6" s="9"/>
      <c r="U6" s="289"/>
      <c r="V6" s="271" t="s">
        <v>178</v>
      </c>
    </row>
    <row r="7" spans="1:39" ht="14.1" customHeight="1" x14ac:dyDescent="0.25">
      <c r="Q7" s="290">
        <f>(Q5*2.20462*25.4*12)</f>
        <v>3057.4552007999996</v>
      </c>
      <c r="R7" s="58" t="s">
        <v>14</v>
      </c>
      <c r="S7" s="9"/>
      <c r="T7" s="9"/>
      <c r="U7" s="289"/>
      <c r="V7" s="88" t="s">
        <v>179</v>
      </c>
      <c r="W7" s="88"/>
    </row>
    <row r="8" spans="1:39" ht="14.1" customHeight="1" x14ac:dyDescent="0.2">
      <c r="Q8" s="291"/>
      <c r="R8" s="9"/>
      <c r="S8" s="9"/>
      <c r="T8" s="9"/>
      <c r="U8" s="289"/>
    </row>
    <row r="9" spans="1:39" ht="14.1" customHeight="1" x14ac:dyDescent="0.2">
      <c r="Q9" s="292" t="s">
        <v>3</v>
      </c>
      <c r="R9" s="18" t="s">
        <v>2</v>
      </c>
      <c r="S9" s="18" t="s">
        <v>3</v>
      </c>
      <c r="T9" s="21" t="s">
        <v>5</v>
      </c>
      <c r="U9" s="293" t="s">
        <v>4</v>
      </c>
      <c r="V9" s="88" t="s">
        <v>171</v>
      </c>
      <c r="W9" s="88"/>
    </row>
    <row r="10" spans="1:39" ht="14.1" customHeight="1" x14ac:dyDescent="0.2">
      <c r="Q10" s="294"/>
      <c r="R10" s="16">
        <v>1</v>
      </c>
      <c r="S10" s="140">
        <v>33.561842105263182</v>
      </c>
      <c r="T10" s="27">
        <f>S10/R10</f>
        <v>33.561842105263182</v>
      </c>
      <c r="U10" s="295">
        <f t="shared" ref="U10:U19" si="0">SQRT(12*32.2*T10^2/(4*$Q$6*($Q$5*56)*$Q$4^2))</f>
        <v>0.89122464805571744</v>
      </c>
      <c r="V10" s="271" t="s">
        <v>172</v>
      </c>
      <c r="W10" s="88"/>
    </row>
    <row r="11" spans="1:39" ht="14.1" customHeight="1" x14ac:dyDescent="0.2">
      <c r="Q11" s="296"/>
      <c r="R11" s="26">
        <v>2</v>
      </c>
      <c r="S11" s="141">
        <v>55.500000000000021</v>
      </c>
      <c r="T11" s="28">
        <f t="shared" ref="T11:T19" si="1">S11/R11</f>
        <v>27.750000000000011</v>
      </c>
      <c r="U11" s="302">
        <f t="shared" si="0"/>
        <v>0.73689292458913536</v>
      </c>
      <c r="V11" s="88"/>
      <c r="W11" s="271" t="s">
        <v>176</v>
      </c>
    </row>
    <row r="12" spans="1:39" ht="14.1" customHeight="1" x14ac:dyDescent="0.2">
      <c r="B12" s="268" t="s">
        <v>158</v>
      </c>
      <c r="Q12" s="294"/>
      <c r="R12" s="16">
        <v>3</v>
      </c>
      <c r="S12" s="140">
        <v>77.438157894736861</v>
      </c>
      <c r="T12" s="27">
        <f t="shared" si="1"/>
        <v>25.812719298245622</v>
      </c>
      <c r="U12" s="295">
        <f t="shared" si="0"/>
        <v>0.68544901676694137</v>
      </c>
      <c r="V12" s="88"/>
      <c r="W12" s="271" t="s">
        <v>175</v>
      </c>
    </row>
    <row r="13" spans="1:39" ht="14.1" customHeight="1" x14ac:dyDescent="0.2">
      <c r="A13" s="272" t="s">
        <v>180</v>
      </c>
      <c r="B13" s="1" t="s">
        <v>163</v>
      </c>
      <c r="Q13" s="294"/>
      <c r="R13" s="16">
        <v>4</v>
      </c>
      <c r="S13" s="140">
        <v>99.376315789473708</v>
      </c>
      <c r="T13" s="27">
        <f t="shared" si="1"/>
        <v>24.844078947368427</v>
      </c>
      <c r="U13" s="295">
        <f t="shared" si="0"/>
        <v>0.65972706285584437</v>
      </c>
      <c r="V13" s="88"/>
      <c r="W13" s="88" t="s">
        <v>173</v>
      </c>
    </row>
    <row r="14" spans="1:39" ht="14.1" customHeight="1" x14ac:dyDescent="0.2">
      <c r="B14" t="s">
        <v>164</v>
      </c>
      <c r="Q14" s="296"/>
      <c r="R14" s="26">
        <v>5</v>
      </c>
      <c r="S14" s="141">
        <v>121.31447368421055</v>
      </c>
      <c r="T14" s="28">
        <f t="shared" si="1"/>
        <v>24.26289473684211</v>
      </c>
      <c r="U14" s="302">
        <f t="shared" si="0"/>
        <v>0.64429389050918606</v>
      </c>
      <c r="V14" s="88"/>
      <c r="W14" s="88" t="s">
        <v>174</v>
      </c>
    </row>
    <row r="15" spans="1:39" ht="14.1" customHeight="1" x14ac:dyDescent="0.2">
      <c r="C15" s="1" t="s">
        <v>161</v>
      </c>
      <c r="Q15" s="294"/>
      <c r="R15" s="16">
        <v>10</v>
      </c>
      <c r="S15" s="140">
        <v>231.00526315789477</v>
      </c>
      <c r="T15" s="27">
        <f t="shared" si="1"/>
        <v>23.100526315789477</v>
      </c>
      <c r="U15" s="295">
        <f t="shared" si="0"/>
        <v>0.61342754581586967</v>
      </c>
    </row>
    <row r="16" spans="1:39" ht="14.1" customHeight="1" x14ac:dyDescent="0.2">
      <c r="B16" t="s">
        <v>160</v>
      </c>
      <c r="Q16" s="294"/>
      <c r="R16" s="16">
        <v>20</v>
      </c>
      <c r="S16" s="140">
        <v>450.38684210526321</v>
      </c>
      <c r="T16" s="27">
        <f t="shared" si="1"/>
        <v>22.51934210526316</v>
      </c>
      <c r="U16" s="295">
        <f t="shared" si="0"/>
        <v>0.59799437346921147</v>
      </c>
    </row>
    <row r="17" spans="1:38" ht="14.1" customHeight="1" x14ac:dyDescent="0.2">
      <c r="B17" t="s">
        <v>162</v>
      </c>
      <c r="Q17" s="294"/>
      <c r="R17" s="16">
        <v>30</v>
      </c>
      <c r="S17" s="140">
        <v>669.76842105263165</v>
      </c>
      <c r="T17" s="27">
        <f t="shared" si="1"/>
        <v>22.325614035087721</v>
      </c>
      <c r="U17" s="295">
        <f t="shared" si="0"/>
        <v>0.59284998268699207</v>
      </c>
    </row>
    <row r="18" spans="1:38" ht="14.1" customHeight="1" x14ac:dyDescent="0.2">
      <c r="Q18" s="296"/>
      <c r="R18" s="26">
        <v>40</v>
      </c>
      <c r="S18" s="141">
        <v>889.15000000000009</v>
      </c>
      <c r="T18" s="28">
        <f t="shared" si="1"/>
        <v>22.228750000000002</v>
      </c>
      <c r="U18" s="302">
        <f t="shared" si="0"/>
        <v>0.59027778729588243</v>
      </c>
    </row>
    <row r="19" spans="1:38" ht="14.1" customHeight="1" x14ac:dyDescent="0.2">
      <c r="B19" t="s">
        <v>116</v>
      </c>
      <c r="Q19" s="297"/>
      <c r="R19" s="298">
        <v>50</v>
      </c>
      <c r="S19" s="299">
        <v>1108.5315789473684</v>
      </c>
      <c r="T19" s="300">
        <f t="shared" si="1"/>
        <v>22.170631578947368</v>
      </c>
      <c r="U19" s="301">
        <f t="shared" si="0"/>
        <v>0.58873447006121649</v>
      </c>
    </row>
    <row r="20" spans="1:38" ht="14.1" customHeight="1" x14ac:dyDescent="0.2">
      <c r="B20" s="1" t="s">
        <v>153</v>
      </c>
      <c r="L20" s="42"/>
      <c r="M20" s="16"/>
      <c r="N20" s="140"/>
      <c r="O20" s="27"/>
      <c r="P20" s="44"/>
      <c r="Q20" s="46"/>
      <c r="R20" s="163"/>
    </row>
    <row r="21" spans="1:38" ht="14.1" customHeight="1" x14ac:dyDescent="0.2">
      <c r="B21" t="s">
        <v>144</v>
      </c>
      <c r="L21" s="42"/>
      <c r="M21" s="16"/>
      <c r="N21" s="140"/>
      <c r="O21" s="27"/>
      <c r="P21" s="44"/>
      <c r="Q21" s="46"/>
    </row>
    <row r="22" spans="1:38" ht="14.1" customHeight="1" x14ac:dyDescent="0.2">
      <c r="L22" s="42"/>
      <c r="M22" s="16"/>
      <c r="N22" s="140"/>
      <c r="O22" s="27"/>
      <c r="P22" s="44"/>
      <c r="Q22" s="46"/>
    </row>
    <row r="23" spans="1:38" ht="14.1" customHeight="1" x14ac:dyDescent="0.2">
      <c r="A23" s="1" t="s">
        <v>190</v>
      </c>
      <c r="L23" s="42"/>
      <c r="M23" s="16"/>
      <c r="N23" s="140"/>
      <c r="O23" s="27"/>
      <c r="P23" s="44"/>
      <c r="Q23" s="46"/>
    </row>
    <row r="24" spans="1:38" ht="14.1" customHeight="1" x14ac:dyDescent="0.2">
      <c r="A24" s="1" t="s">
        <v>192</v>
      </c>
      <c r="F24" s="242"/>
      <c r="L24" s="42"/>
      <c r="M24" s="16"/>
      <c r="N24" s="140"/>
      <c r="O24" s="27"/>
      <c r="P24" s="44"/>
      <c r="Q24" s="46"/>
      <c r="R24" t="s">
        <v>187</v>
      </c>
    </row>
    <row r="25" spans="1:38" ht="14.1" customHeight="1" x14ac:dyDescent="0.2">
      <c r="A25" s="1" t="s">
        <v>191</v>
      </c>
      <c r="E25" s="252"/>
      <c r="F25" s="252" t="s">
        <v>146</v>
      </c>
      <c r="R25" s="1" t="s">
        <v>189</v>
      </c>
    </row>
    <row r="26" spans="1:38" ht="14.1" customHeight="1" x14ac:dyDescent="0.25">
      <c r="B26" s="146" t="s">
        <v>65</v>
      </c>
      <c r="C26" s="146" t="s">
        <v>66</v>
      </c>
      <c r="E26" s="23" t="s">
        <v>65</v>
      </c>
      <c r="F26" s="23" t="s">
        <v>145</v>
      </c>
      <c r="G26" s="234" t="s">
        <v>126</v>
      </c>
      <c r="H26" s="244"/>
      <c r="I26" s="243"/>
      <c r="J26" s="243"/>
      <c r="R26" s="1" t="s">
        <v>188</v>
      </c>
      <c r="AJ26" t="s">
        <v>152</v>
      </c>
    </row>
    <row r="27" spans="1:38" ht="14.1" customHeight="1" x14ac:dyDescent="0.25">
      <c r="B27" s="147">
        <v>1</v>
      </c>
      <c r="C27" s="273">
        <v>31.3</v>
      </c>
      <c r="E27" s="24">
        <v>1</v>
      </c>
      <c r="F27" s="149">
        <f>C27</f>
        <v>31.3</v>
      </c>
      <c r="G27" s="196" cm="1">
        <f t="array" ref="G27">_xlfn.SINGLE(INDEX(LINEST(F$27:F$29,(E$27:E$29)^{1,2}),1))</f>
        <v>9.5999999999999891E-2</v>
      </c>
      <c r="H27" s="274">
        <f>C59</f>
        <v>640.19999999999993</v>
      </c>
      <c r="I27" s="253" t="s">
        <v>148</v>
      </c>
      <c r="J27" s="243"/>
    </row>
    <row r="28" spans="1:38" ht="14.1" customHeight="1" x14ac:dyDescent="0.25">
      <c r="B28" s="147">
        <v>51</v>
      </c>
      <c r="C28" s="273">
        <v>1249.0999999999999</v>
      </c>
      <c r="D28" s="155"/>
      <c r="E28" s="24">
        <v>26</v>
      </c>
      <c r="F28" s="303">
        <f>H29</f>
        <v>580.19999999999993</v>
      </c>
      <c r="G28" s="196" cm="1">
        <f t="array" ref="G28">_xlfn.SINGLE(INDEX(LINEST(F$27:F$29,(E$27:E$29)^{1,2}),2))</f>
        <v>19.364000000000008</v>
      </c>
      <c r="H28" s="304">
        <v>-60</v>
      </c>
      <c r="I28" s="253" t="s">
        <v>149</v>
      </c>
      <c r="J28" s="243"/>
      <c r="AJ28" s="23" t="s">
        <v>65</v>
      </c>
      <c r="AK28" s="23" t="s">
        <v>66</v>
      </c>
      <c r="AL28" s="234" t="s">
        <v>127</v>
      </c>
    </row>
    <row r="29" spans="1:38" ht="14.1" customHeight="1" x14ac:dyDescent="0.25">
      <c r="B29" s="282">
        <v>50</v>
      </c>
      <c r="C29" s="283">
        <f>C83</f>
        <v>1224.7440000000001</v>
      </c>
      <c r="D29" s="102"/>
      <c r="E29" s="24">
        <v>51</v>
      </c>
      <c r="F29" s="149">
        <f>C28</f>
        <v>1249.0999999999999</v>
      </c>
      <c r="G29" s="196" cm="1">
        <f t="array" ref="G29">_xlfn.SINGLE(INDEX(LINEST(F$27:F$29,(E$27:E$29)^{1,2}),3))</f>
        <v>11.839999999999819</v>
      </c>
      <c r="H29" s="305">
        <f>SUM(H27:H28)</f>
        <v>580.19999999999993</v>
      </c>
      <c r="I29" s="243"/>
      <c r="J29" s="243"/>
      <c r="O29" s="82" t="s">
        <v>157</v>
      </c>
      <c r="P29" s="82" t="s">
        <v>157</v>
      </c>
      <c r="X29" s="10" t="s">
        <v>177</v>
      </c>
      <c r="Y29" s="11"/>
      <c r="Z29" s="11"/>
      <c r="AA29" s="11"/>
      <c r="AB29" s="11"/>
      <c r="AC29" s="11"/>
      <c r="AD29" s="11"/>
      <c r="AE29" s="11"/>
      <c r="AF29" s="11"/>
      <c r="AG29" s="12"/>
      <c r="AJ29" s="24">
        <v>1</v>
      </c>
      <c r="AK29" s="236">
        <v>30</v>
      </c>
      <c r="AL29" s="235" cm="1">
        <f t="array" ref="AL29">_xlfn.SINGLE(INDEX(LINEST(AK$29:AK$31,(AJ$29:AJ$31)^{1,2,3}),1))</f>
        <v>-1.7664998074701597E-2</v>
      </c>
    </row>
    <row r="30" spans="1:38" ht="14.1" customHeight="1" x14ac:dyDescent="0.2">
      <c r="B30" s="82"/>
      <c r="D30" s="82"/>
      <c r="J30" s="88"/>
      <c r="O30" s="82" t="s">
        <v>156</v>
      </c>
      <c r="P30" s="82" t="s">
        <v>156</v>
      </c>
      <c r="S30" s="102">
        <f>T36</f>
        <v>0.67650753682280151</v>
      </c>
      <c r="X30" s="13" t="s">
        <v>183</v>
      </c>
      <c r="Y30" s="9"/>
      <c r="Z30" s="9"/>
      <c r="AA30" s="9"/>
      <c r="AB30" s="9"/>
      <c r="AC30" s="9"/>
      <c r="AD30" s="9"/>
      <c r="AE30" s="9"/>
      <c r="AF30" s="9"/>
      <c r="AG30" s="15"/>
      <c r="AJ30" s="24">
        <v>25</v>
      </c>
      <c r="AK30" s="236">
        <v>610</v>
      </c>
      <c r="AL30" s="235" cm="1">
        <f t="array" ref="AL30">_xlfn.SINGLE(INDEX(LINEST(AK$29:AK$31,(AJ$29:AJ$31)^{1,2,3}),2))</f>
        <v>1.3717915543575927</v>
      </c>
    </row>
    <row r="31" spans="1:38" ht="14.1" customHeight="1" x14ac:dyDescent="0.2">
      <c r="B31" s="82"/>
      <c r="C31" s="237" cm="1">
        <f t="array" ref="C31">_xlfn.SINGLE(INDEX(LINEST(C27:C28,($B27:$B28)^{1}),1))</f>
        <v>24.356000000000005</v>
      </c>
      <c r="D31" s="82"/>
      <c r="O31" s="82" t="s">
        <v>154</v>
      </c>
      <c r="P31" s="82" t="s">
        <v>154</v>
      </c>
      <c r="S31" s="102">
        <f>T39</f>
        <v>0.58983299607112949</v>
      </c>
      <c r="X31" s="13" t="s">
        <v>184</v>
      </c>
      <c r="Y31" s="9"/>
      <c r="Z31" s="9"/>
      <c r="AA31" s="9"/>
      <c r="AB31" s="9"/>
      <c r="AC31" s="9"/>
      <c r="AD31" s="9"/>
      <c r="AE31" s="9"/>
      <c r="AF31" s="9"/>
      <c r="AG31" s="15"/>
      <c r="AJ31" s="24">
        <v>50</v>
      </c>
      <c r="AK31" s="236">
        <v>1250</v>
      </c>
      <c r="AL31" s="235" cm="1">
        <f t="array" ref="AL31">_xlfn.SINGLE(INDEX(LINEST(AK$29:AK$31,(AJ$29:AJ$31)^{1,2,3}),3))</f>
        <v>0</v>
      </c>
    </row>
    <row r="32" spans="1:38" ht="14.1" customHeight="1" x14ac:dyDescent="0.2">
      <c r="C32" s="237" cm="1">
        <f t="array" ref="C32">INDEX(LINEST(C27:C28,($B27:$B28)^{1}),1,2)</f>
        <v>6.9439999999998463</v>
      </c>
      <c r="E32" s="222"/>
      <c r="F32" s="255" t="s">
        <v>150</v>
      </c>
      <c r="G32" s="256"/>
      <c r="H32" s="222"/>
      <c r="I32" s="245" t="s">
        <v>151</v>
      </c>
      <c r="J32" s="222"/>
      <c r="K32" s="222"/>
      <c r="L32" s="257"/>
      <c r="M32" s="258"/>
      <c r="O32" s="82" t="s">
        <v>155</v>
      </c>
      <c r="P32" s="82" t="s">
        <v>155</v>
      </c>
      <c r="S32" s="102">
        <f>T43</f>
        <v>0.62403544965206026</v>
      </c>
      <c r="X32" s="32" t="s">
        <v>185</v>
      </c>
      <c r="Y32" s="9"/>
      <c r="Z32" s="9"/>
      <c r="AA32" s="9"/>
      <c r="AB32" s="9"/>
      <c r="AC32" s="9"/>
      <c r="AD32" s="9"/>
      <c r="AE32" s="9"/>
      <c r="AF32" s="9"/>
      <c r="AG32" s="15"/>
      <c r="AL32" s="235" cm="1">
        <f t="array" ref="AL32">_xlfn.SINGLE(INDEX(LINEST(AK$29:AK$31,(AJ$29:AJ$31)^{1,2,3}),4))</f>
        <v>28.645873443717392</v>
      </c>
    </row>
    <row r="33" spans="2:38" ht="14.1" customHeight="1" x14ac:dyDescent="0.2">
      <c r="B33" s="248" t="s">
        <v>65</v>
      </c>
      <c r="C33" s="249" t="s">
        <v>66</v>
      </c>
      <c r="D33" s="247"/>
      <c r="E33" s="248" t="s">
        <v>65</v>
      </c>
      <c r="F33" s="250" t="s">
        <v>126</v>
      </c>
      <c r="G33" s="35"/>
      <c r="H33" s="248" t="s">
        <v>65</v>
      </c>
      <c r="I33" s="251" t="s">
        <v>147</v>
      </c>
      <c r="K33" s="248" t="s">
        <v>65</v>
      </c>
      <c r="L33" s="147" t="s">
        <v>143</v>
      </c>
      <c r="M33" s="254" t="s">
        <v>134</v>
      </c>
      <c r="N33" s="23" t="s">
        <v>4</v>
      </c>
      <c r="O33" s="260" t="s">
        <v>134</v>
      </c>
      <c r="P33" s="23" t="s">
        <v>145</v>
      </c>
      <c r="S33" s="264"/>
      <c r="T33" s="264"/>
      <c r="U33" s="275" t="s">
        <v>15</v>
      </c>
      <c r="X33" s="71"/>
      <c r="Y33" s="72" t="s">
        <v>19</v>
      </c>
      <c r="Z33" s="63"/>
      <c r="AA33" s="63" t="s">
        <v>15</v>
      </c>
      <c r="AB33" s="9"/>
      <c r="AC33" s="9"/>
      <c r="AD33" s="9"/>
      <c r="AE33" s="9"/>
      <c r="AF33" s="9"/>
      <c r="AG33" s="15"/>
    </row>
    <row r="34" spans="2:38" ht="14.1" customHeight="1" x14ac:dyDescent="0.2">
      <c r="B34" s="16">
        <v>1</v>
      </c>
      <c r="C34" s="238">
        <f t="shared" ref="C34:C65" si="2">(C$31*B34)+C$32</f>
        <v>31.299999999999851</v>
      </c>
      <c r="E34" s="16">
        <v>1</v>
      </c>
      <c r="F34" s="204">
        <f t="shared" ref="F34:F84" si="3">(G$27*(E34)^2)+(G$28*(E34)^1)+(G$29)</f>
        <v>31.299999999999827</v>
      </c>
      <c r="H34" s="16">
        <v>1</v>
      </c>
      <c r="I34" s="149">
        <f t="shared" ref="I34:I83" si="4">C34-F34</f>
        <v>0</v>
      </c>
      <c r="K34" s="261">
        <v>1</v>
      </c>
      <c r="L34" s="262">
        <f>F34</f>
        <v>31.299999999999827</v>
      </c>
      <c r="M34" s="263">
        <f>L34/K34</f>
        <v>31.299999999999827</v>
      </c>
      <c r="N34" s="266">
        <f t="shared" ref="N34:N65" si="5">SQRT(12*32.2*M34^2/(4*$Q$6*($Q$5*56)*$Q$4^2))</f>
        <v>0.83116210953656933</v>
      </c>
      <c r="O34" s="263">
        <f t="shared" ref="O34:O65" si="6">(N34*$Q$4)*SQRT(4*$Q$6*$Q$7/32.2)/12</f>
        <v>31.299258851939346</v>
      </c>
      <c r="P34" s="263">
        <f>(K34*O34)</f>
        <v>31.299258851939346</v>
      </c>
      <c r="S34" s="264" t="s">
        <v>65</v>
      </c>
      <c r="T34" s="264" t="s">
        <v>12</v>
      </c>
      <c r="U34" s="275" t="s">
        <v>16</v>
      </c>
      <c r="X34" s="71" t="s">
        <v>2</v>
      </c>
      <c r="Y34" s="63" t="s">
        <v>12</v>
      </c>
      <c r="Z34" s="277" t="s">
        <v>17</v>
      </c>
      <c r="AA34" s="63" t="s">
        <v>16</v>
      </c>
      <c r="AB34" s="9"/>
      <c r="AC34" s="9"/>
      <c r="AD34" s="9"/>
      <c r="AE34" s="9"/>
      <c r="AF34" s="9"/>
      <c r="AG34" s="15"/>
      <c r="AL34" s="35"/>
    </row>
    <row r="35" spans="2:38" ht="14.1" customHeight="1" x14ac:dyDescent="0.25">
      <c r="B35" s="16">
        <v>2</v>
      </c>
      <c r="C35" s="238">
        <f t="shared" si="2"/>
        <v>55.655999999999857</v>
      </c>
      <c r="E35" s="16">
        <v>2</v>
      </c>
      <c r="F35" s="204">
        <f t="shared" si="3"/>
        <v>50.951999999999835</v>
      </c>
      <c r="H35" s="16">
        <v>2</v>
      </c>
      <c r="I35" s="149">
        <f t="shared" si="4"/>
        <v>4.7040000000000219</v>
      </c>
      <c r="K35" s="261">
        <v>2</v>
      </c>
      <c r="L35" s="262">
        <f>F35</f>
        <v>50.951999999999835</v>
      </c>
      <c r="M35" s="263">
        <f t="shared" ref="M35:M84" si="7">L35/K35</f>
        <v>25.475999999999917</v>
      </c>
      <c r="N35" s="266">
        <f t="shared" si="5"/>
        <v>0.67650753682280151</v>
      </c>
      <c r="O35" s="263">
        <f t="shared" si="6"/>
        <v>25.475396757572156</v>
      </c>
      <c r="P35" s="263">
        <f t="shared" ref="P35:P84" si="8">(K35*O35)</f>
        <v>50.950793515144312</v>
      </c>
      <c r="S35" s="82">
        <v>1</v>
      </c>
      <c r="T35" s="306">
        <f>N34</f>
        <v>0.83116210953656933</v>
      </c>
      <c r="U35" s="107">
        <f>P34</f>
        <v>31.299258851939346</v>
      </c>
      <c r="X35" s="73">
        <v>1</v>
      </c>
      <c r="Y35" s="65">
        <v>0.92510000000000003</v>
      </c>
      <c r="Z35" s="59">
        <v>34.838084318002032</v>
      </c>
      <c r="AA35" s="79">
        <v>34.838084318002032</v>
      </c>
      <c r="AB35" s="9" t="s">
        <v>181</v>
      </c>
      <c r="AC35" s="9"/>
      <c r="AD35" s="9"/>
      <c r="AE35" s="9"/>
      <c r="AF35" s="9"/>
      <c r="AG35" s="15"/>
      <c r="AJ35" s="2" t="s">
        <v>65</v>
      </c>
      <c r="AK35" s="205" t="s">
        <v>127</v>
      </c>
      <c r="AL35" s="35"/>
    </row>
    <row r="36" spans="2:38" ht="14.1" customHeight="1" x14ac:dyDescent="0.25">
      <c r="B36" s="16">
        <v>3</v>
      </c>
      <c r="C36" s="238">
        <f t="shared" si="2"/>
        <v>80.011999999999858</v>
      </c>
      <c r="E36" s="16">
        <v>3</v>
      </c>
      <c r="F36" s="204">
        <f>(G$27*(E36)^2)+(G$28*(E36)^1)+(G$29)</f>
        <v>70.79599999999985</v>
      </c>
      <c r="H36" s="16">
        <v>3</v>
      </c>
      <c r="I36" s="149">
        <f t="shared" si="4"/>
        <v>9.2160000000000082</v>
      </c>
      <c r="K36" s="261">
        <v>3</v>
      </c>
      <c r="L36" s="262">
        <f t="shared" ref="L36:L84" si="9">F36</f>
        <v>70.79599999999985</v>
      </c>
      <c r="M36" s="263">
        <f t="shared" si="7"/>
        <v>23.598666666666617</v>
      </c>
      <c r="N36" s="266">
        <f t="shared" si="5"/>
        <v>0.62665551338393144</v>
      </c>
      <c r="O36" s="263">
        <f t="shared" si="6"/>
        <v>23.598107877336588</v>
      </c>
      <c r="P36" s="263">
        <f t="shared" si="8"/>
        <v>70.794323632009764</v>
      </c>
      <c r="R36" s="309">
        <f>T36</f>
        <v>0.67650753682280151</v>
      </c>
      <c r="S36" s="265">
        <v>2</v>
      </c>
      <c r="T36" s="307">
        <f>N35</f>
        <v>0.67650753682280151</v>
      </c>
      <c r="U36" s="311">
        <f>P35</f>
        <v>50.950793515144312</v>
      </c>
      <c r="V36" s="1" t="s">
        <v>193</v>
      </c>
      <c r="X36" s="73">
        <v>2</v>
      </c>
      <c r="Y36" s="66">
        <v>0.81499999999999995</v>
      </c>
      <c r="Z36" s="56">
        <v>30.691858954893149</v>
      </c>
      <c r="AA36" s="80">
        <v>61.383717909786299</v>
      </c>
      <c r="AB36" s="14" t="s">
        <v>182</v>
      </c>
      <c r="AC36" s="9"/>
      <c r="AD36" s="9"/>
      <c r="AE36" s="9"/>
      <c r="AF36" s="9"/>
      <c r="AG36" s="15"/>
      <c r="AJ36" s="16">
        <v>1</v>
      </c>
      <c r="AK36" s="204">
        <f>(AL$29*(AJ36)^3)+(AL$30*(AJ36)^2)+(AL$31*(AJ36)^1)+(AL$32)</f>
        <v>30.000000000000284</v>
      </c>
    </row>
    <row r="37" spans="2:38" ht="14.1" customHeight="1" x14ac:dyDescent="0.25">
      <c r="B37" s="16">
        <v>4</v>
      </c>
      <c r="C37" s="238">
        <f t="shared" si="2"/>
        <v>104.36799999999987</v>
      </c>
      <c r="E37" s="16">
        <v>4</v>
      </c>
      <c r="F37" s="204">
        <f t="shared" si="3"/>
        <v>90.831999999999852</v>
      </c>
      <c r="H37" s="16">
        <v>4</v>
      </c>
      <c r="I37" s="149">
        <f t="shared" si="4"/>
        <v>13.536000000000016</v>
      </c>
      <c r="K37" s="261">
        <v>4</v>
      </c>
      <c r="L37" s="262">
        <f t="shared" si="9"/>
        <v>90.831999999999852</v>
      </c>
      <c r="M37" s="263">
        <f t="shared" si="7"/>
        <v>22.707999999999963</v>
      </c>
      <c r="N37" s="266">
        <f t="shared" si="5"/>
        <v>0.60300412726378561</v>
      </c>
      <c r="O37" s="263">
        <f t="shared" si="6"/>
        <v>22.70746230063391</v>
      </c>
      <c r="P37" s="263">
        <f t="shared" si="8"/>
        <v>90.829849202535641</v>
      </c>
      <c r="R37" s="310"/>
      <c r="S37" s="82">
        <v>3</v>
      </c>
      <c r="T37" s="306">
        <f>N36</f>
        <v>0.62665551338393144</v>
      </c>
      <c r="U37" s="107">
        <f>P36</f>
        <v>70.794323632009764</v>
      </c>
      <c r="X37" s="73">
        <v>3</v>
      </c>
      <c r="Y37" s="67">
        <v>0.74</v>
      </c>
      <c r="Z37" s="55">
        <v>27.867454756590096</v>
      </c>
      <c r="AA37" s="53">
        <v>83.602364269770291</v>
      </c>
      <c r="AB37" s="9"/>
      <c r="AC37" s="9"/>
      <c r="AD37" s="9"/>
      <c r="AE37" s="9"/>
      <c r="AF37" s="9"/>
      <c r="AG37" s="15"/>
      <c r="AJ37" s="16">
        <v>2</v>
      </c>
      <c r="AK37" s="204">
        <f>(AL$29*(AJ37)^3)+(AL$30*(AJ37)^2)+(AL$31*(AJ37)^1)+(AL$32)</f>
        <v>33.991719676550147</v>
      </c>
    </row>
    <row r="38" spans="2:38" ht="14.1" customHeight="1" x14ac:dyDescent="0.25">
      <c r="B38" s="16">
        <v>5</v>
      </c>
      <c r="C38" s="238">
        <f t="shared" si="2"/>
        <v>128.72399999999988</v>
      </c>
      <c r="E38" s="16">
        <v>5</v>
      </c>
      <c r="F38" s="204">
        <f t="shared" si="3"/>
        <v>111.05999999999985</v>
      </c>
      <c r="G38" s="204"/>
      <c r="H38" s="16">
        <v>5</v>
      </c>
      <c r="I38" s="149">
        <f t="shared" si="4"/>
        <v>17.66400000000003</v>
      </c>
      <c r="K38" s="261">
        <v>5</v>
      </c>
      <c r="L38" s="262">
        <f t="shared" si="9"/>
        <v>111.05999999999985</v>
      </c>
      <c r="M38" s="263">
        <f t="shared" si="7"/>
        <v>22.211999999999968</v>
      </c>
      <c r="N38" s="266">
        <f t="shared" si="5"/>
        <v>0.58983299607112949</v>
      </c>
      <c r="O38" s="263">
        <f t="shared" si="6"/>
        <v>22.211474045344399</v>
      </c>
      <c r="P38" s="263">
        <f t="shared" si="8"/>
        <v>111.057370226722</v>
      </c>
      <c r="R38" s="310"/>
      <c r="S38" s="82">
        <v>4</v>
      </c>
      <c r="T38" s="306">
        <f>N37</f>
        <v>0.60300412726378561</v>
      </c>
      <c r="U38" s="107">
        <f>P37</f>
        <v>90.829849202535641</v>
      </c>
      <c r="X38" s="73">
        <v>4</v>
      </c>
      <c r="Y38" s="67">
        <v>0.70499999999999996</v>
      </c>
      <c r="Z38" s="55">
        <v>26.549399464048673</v>
      </c>
      <c r="AA38" s="53">
        <v>106.19759785619469</v>
      </c>
      <c r="AB38" s="9"/>
      <c r="AC38" s="9"/>
      <c r="AD38" s="9"/>
      <c r="AE38" s="9"/>
      <c r="AF38" s="9"/>
      <c r="AG38" s="15"/>
      <c r="AJ38" s="16">
        <v>3</v>
      </c>
      <c r="AK38" s="204">
        <f>(AL$29*(AJ38)^3)+(AL$30*(AJ38)^2)+(AL$31*(AJ38)^1)+(AL$32)</f>
        <v>40.51504248491878</v>
      </c>
    </row>
    <row r="39" spans="2:38" ht="14.1" customHeight="1" x14ac:dyDescent="0.25">
      <c r="B39" s="16">
        <v>6</v>
      </c>
      <c r="C39" s="238">
        <f t="shared" si="2"/>
        <v>153.07999999999987</v>
      </c>
      <c r="E39" s="16">
        <v>6</v>
      </c>
      <c r="F39" s="204">
        <f t="shared" si="3"/>
        <v>131.47999999999985</v>
      </c>
      <c r="G39" s="204"/>
      <c r="H39" s="16">
        <v>6</v>
      </c>
      <c r="I39" s="149">
        <f t="shared" si="4"/>
        <v>21.600000000000023</v>
      </c>
      <c r="K39" s="16">
        <v>6</v>
      </c>
      <c r="L39" s="204">
        <f t="shared" si="9"/>
        <v>131.47999999999985</v>
      </c>
      <c r="M39" s="149">
        <f t="shared" si="7"/>
        <v>21.913333333333309</v>
      </c>
      <c r="N39" s="267">
        <f t="shared" si="5"/>
        <v>0.5819019923422184</v>
      </c>
      <c r="O39" s="149">
        <f t="shared" si="6"/>
        <v>21.91281445076147</v>
      </c>
      <c r="P39" s="149">
        <f t="shared" si="8"/>
        <v>131.47688670456881</v>
      </c>
      <c r="R39" s="309">
        <f>T39</f>
        <v>0.58983299607112949</v>
      </c>
      <c r="S39" s="265">
        <v>5</v>
      </c>
      <c r="T39" s="307">
        <f>N38</f>
        <v>0.58983299607112949</v>
      </c>
      <c r="U39" s="308">
        <f>P38</f>
        <v>111.057370226722</v>
      </c>
      <c r="X39" s="73">
        <v>5</v>
      </c>
      <c r="Y39" s="66">
        <v>0.67849999999999999</v>
      </c>
      <c r="Z39" s="56">
        <v>25.551443313981597</v>
      </c>
      <c r="AA39" s="80">
        <v>127.75721656990798</v>
      </c>
      <c r="AB39" s="9"/>
      <c r="AC39" s="9"/>
      <c r="AD39" s="9"/>
      <c r="AE39" s="9"/>
      <c r="AF39" s="9"/>
      <c r="AG39" s="15"/>
      <c r="AJ39" s="16">
        <v>4</v>
      </c>
      <c r="AK39" s="204">
        <f>(AL$29*(AJ39)^3)+(AL$30*(AJ39)^2)+(AL$31*(AJ39)^1)+(AL$32)</f>
        <v>49.463978436657968</v>
      </c>
    </row>
    <row r="40" spans="2:38" ht="14.1" customHeight="1" x14ac:dyDescent="0.25">
      <c r="B40" s="16">
        <v>7</v>
      </c>
      <c r="C40" s="238">
        <f t="shared" si="2"/>
        <v>177.43599999999989</v>
      </c>
      <c r="E40" s="16">
        <v>7</v>
      </c>
      <c r="F40" s="204">
        <f t="shared" si="3"/>
        <v>152.09199999999987</v>
      </c>
      <c r="G40" s="204"/>
      <c r="H40" s="16">
        <v>7</v>
      </c>
      <c r="I40" s="149">
        <f>C40-F40</f>
        <v>25.344000000000023</v>
      </c>
      <c r="K40" s="16">
        <v>7</v>
      </c>
      <c r="L40" s="204">
        <f t="shared" si="9"/>
        <v>152.09199999999987</v>
      </c>
      <c r="M40" s="149">
        <f t="shared" si="7"/>
        <v>21.727428571428554</v>
      </c>
      <c r="N40" s="267">
        <f t="shared" si="5"/>
        <v>0.5769653471640187</v>
      </c>
      <c r="O40" s="149">
        <f t="shared" si="6"/>
        <v>21.726914090868018</v>
      </c>
      <c r="P40" s="149">
        <f t="shared" si="8"/>
        <v>152.08839863607614</v>
      </c>
      <c r="R40" s="310"/>
      <c r="S40" s="82">
        <v>10</v>
      </c>
      <c r="T40" s="306">
        <f>N43</f>
        <v>0.57113848728155336</v>
      </c>
      <c r="U40" s="107">
        <f>P43</f>
        <v>215.07490715256066</v>
      </c>
      <c r="X40" s="73">
        <v>10</v>
      </c>
      <c r="Y40" s="76">
        <v>0.64</v>
      </c>
      <c r="Z40" s="55">
        <v>24.101582492186029</v>
      </c>
      <c r="AA40" s="53">
        <v>241.01582492186029</v>
      </c>
      <c r="AB40" s="9"/>
      <c r="AC40" s="9"/>
      <c r="AD40" s="9"/>
      <c r="AE40" s="9"/>
      <c r="AF40" s="9"/>
      <c r="AG40" s="15"/>
      <c r="AJ40" s="16">
        <v>5</v>
      </c>
      <c r="AK40" s="204">
        <f>(AL$29*(AJ40)^3)+(AL$30*(AJ40)^2)+(AL$31*(AJ40)^1)+(AL$32)</f>
        <v>60.732537543319509</v>
      </c>
      <c r="AL40" s="204"/>
    </row>
    <row r="41" spans="2:38" ht="14.1" customHeight="1" x14ac:dyDescent="0.25">
      <c r="B41" s="16">
        <v>8</v>
      </c>
      <c r="C41" s="238">
        <f t="shared" si="2"/>
        <v>201.79199999999989</v>
      </c>
      <c r="E41" s="16">
        <v>8</v>
      </c>
      <c r="F41" s="204">
        <f t="shared" si="3"/>
        <v>172.8959999999999</v>
      </c>
      <c r="G41" s="204"/>
      <c r="H41" s="16">
        <v>8</v>
      </c>
      <c r="I41" s="149">
        <f t="shared" si="4"/>
        <v>28.895999999999987</v>
      </c>
      <c r="K41" s="16">
        <v>8</v>
      </c>
      <c r="L41" s="204">
        <f t="shared" si="9"/>
        <v>172.8959999999999</v>
      </c>
      <c r="M41" s="149">
        <f t="shared" si="7"/>
        <v>21.611999999999988</v>
      </c>
      <c r="N41" s="267">
        <f t="shared" si="5"/>
        <v>0.57390017608001354</v>
      </c>
      <c r="O41" s="149">
        <f t="shared" si="6"/>
        <v>21.611488252655477</v>
      </c>
      <c r="P41" s="149">
        <f t="shared" si="8"/>
        <v>172.89190602124381</v>
      </c>
      <c r="R41" s="310"/>
      <c r="S41" s="82">
        <v>20</v>
      </c>
      <c r="T41" s="306">
        <f>N53</f>
        <v>0.58091061687610512</v>
      </c>
      <c r="U41" s="107">
        <f>P53</f>
        <v>437.50964002877248</v>
      </c>
      <c r="X41" s="73">
        <v>20</v>
      </c>
      <c r="Y41" s="76">
        <v>0.65</v>
      </c>
      <c r="Z41" s="55">
        <v>24.478169718626436</v>
      </c>
      <c r="AA41" s="53">
        <v>489.56339437252871</v>
      </c>
      <c r="AB41" s="9"/>
      <c r="AC41" s="9"/>
      <c r="AD41" s="9"/>
      <c r="AE41" s="9"/>
      <c r="AF41" s="9"/>
      <c r="AG41" s="15"/>
    </row>
    <row r="42" spans="2:38" ht="14.1" customHeight="1" x14ac:dyDescent="0.25">
      <c r="B42" s="16">
        <v>9</v>
      </c>
      <c r="C42" s="238">
        <f t="shared" si="2"/>
        <v>226.14799999999988</v>
      </c>
      <c r="E42" s="16">
        <v>9</v>
      </c>
      <c r="F42" s="204">
        <f t="shared" si="3"/>
        <v>193.89199999999988</v>
      </c>
      <c r="G42" s="204"/>
      <c r="H42" s="16">
        <v>9</v>
      </c>
      <c r="I42" s="149">
        <f t="shared" si="4"/>
        <v>32.256</v>
      </c>
      <c r="K42" s="16">
        <v>9</v>
      </c>
      <c r="L42" s="204">
        <f t="shared" si="9"/>
        <v>193.89199999999988</v>
      </c>
      <c r="M42" s="149">
        <f t="shared" si="7"/>
        <v>21.543555555555542</v>
      </c>
      <c r="N42" s="267">
        <f t="shared" si="5"/>
        <v>0.57208265439213801</v>
      </c>
      <c r="O42" s="149">
        <f t="shared" si="6"/>
        <v>21.543045428896889</v>
      </c>
      <c r="P42" s="149">
        <f t="shared" si="8"/>
        <v>193.88740886007201</v>
      </c>
      <c r="R42" s="310"/>
      <c r="S42" s="82">
        <v>30</v>
      </c>
      <c r="T42" s="306">
        <f>N63</f>
        <v>0.60116300139814638</v>
      </c>
      <c r="U42" s="107">
        <f>P63</f>
        <v>679.14391827103009</v>
      </c>
      <c r="X42" s="73">
        <v>30</v>
      </c>
      <c r="Y42" s="76">
        <v>0.66500000000000004</v>
      </c>
      <c r="Z42" s="55">
        <v>25.04305055828705</v>
      </c>
      <c r="AA42" s="53">
        <v>751.29151674861146</v>
      </c>
      <c r="AB42" s="9"/>
      <c r="AC42" s="9"/>
      <c r="AD42" s="9"/>
      <c r="AE42" s="9"/>
      <c r="AF42" s="9"/>
      <c r="AG42" s="15"/>
    </row>
    <row r="43" spans="2:38" ht="14.1" customHeight="1" x14ac:dyDescent="0.25">
      <c r="B43" s="16">
        <v>10</v>
      </c>
      <c r="C43" s="238">
        <f t="shared" si="2"/>
        <v>250.50399999999991</v>
      </c>
      <c r="E43" s="16">
        <v>10</v>
      </c>
      <c r="F43" s="204">
        <f t="shared" si="3"/>
        <v>215.07999999999987</v>
      </c>
      <c r="G43" s="204"/>
      <c r="H43" s="16">
        <v>10</v>
      </c>
      <c r="I43" s="149">
        <f t="shared" si="4"/>
        <v>35.424000000000035</v>
      </c>
      <c r="K43" s="261">
        <v>10</v>
      </c>
      <c r="L43" s="262">
        <f>F43</f>
        <v>215.07999999999987</v>
      </c>
      <c r="M43" s="263">
        <f t="shared" si="7"/>
        <v>21.507999999999988</v>
      </c>
      <c r="N43" s="266">
        <f t="shared" si="5"/>
        <v>0.57113848728155336</v>
      </c>
      <c r="O43" s="263">
        <f t="shared" si="6"/>
        <v>21.507490715256065</v>
      </c>
      <c r="P43" s="263">
        <f t="shared" si="8"/>
        <v>215.07490715256066</v>
      </c>
      <c r="R43" s="309">
        <f>T43</f>
        <v>0.62403544965206026</v>
      </c>
      <c r="S43" s="265">
        <v>40</v>
      </c>
      <c r="T43" s="307">
        <f>N73</f>
        <v>0.62403544965206026</v>
      </c>
      <c r="U43" s="311">
        <f>P73</f>
        <v>939.97774187933385</v>
      </c>
      <c r="V43" s="1" t="s">
        <v>194</v>
      </c>
      <c r="X43" s="73">
        <v>40</v>
      </c>
      <c r="Y43" s="77">
        <v>0.68</v>
      </c>
      <c r="Z43" s="56">
        <v>25.607931397947663</v>
      </c>
      <c r="AA43" s="80">
        <v>1024.3172559179066</v>
      </c>
      <c r="AB43" s="9"/>
      <c r="AC43" s="9"/>
      <c r="AD43" s="9"/>
      <c r="AE43" s="9"/>
      <c r="AF43" s="9"/>
      <c r="AG43" s="15"/>
    </row>
    <row r="44" spans="2:38" ht="14.1" customHeight="1" x14ac:dyDescent="0.25">
      <c r="B44" s="16">
        <v>11</v>
      </c>
      <c r="C44" s="238">
        <f t="shared" si="2"/>
        <v>274.8599999999999</v>
      </c>
      <c r="E44" s="16">
        <v>11</v>
      </c>
      <c r="F44" s="204">
        <f t="shared" si="3"/>
        <v>236.45999999999987</v>
      </c>
      <c r="G44" s="204"/>
      <c r="H44" s="16">
        <v>11</v>
      </c>
      <c r="I44" s="149">
        <f t="shared" si="4"/>
        <v>38.400000000000034</v>
      </c>
      <c r="K44" s="16">
        <v>11</v>
      </c>
      <c r="L44" s="204">
        <f t="shared" si="9"/>
        <v>236.45999999999987</v>
      </c>
      <c r="M44" s="149">
        <f t="shared" si="7"/>
        <v>21.496363636363625</v>
      </c>
      <c r="N44" s="267">
        <f t="shared" si="5"/>
        <v>0.57082948713627113</v>
      </c>
      <c r="O44" s="149">
        <f t="shared" si="6"/>
        <v>21.495854627155428</v>
      </c>
      <c r="P44" s="149">
        <f t="shared" si="8"/>
        <v>236.45440089870971</v>
      </c>
      <c r="S44" s="82">
        <v>50</v>
      </c>
      <c r="T44" s="306">
        <f>N83</f>
        <v>0.6479559233987231</v>
      </c>
      <c r="U44" s="107">
        <f>P83</f>
        <v>1220.0111108536837</v>
      </c>
      <c r="X44" s="278">
        <v>50</v>
      </c>
      <c r="Y44" s="279">
        <v>0.7</v>
      </c>
      <c r="Z44" s="280">
        <v>26.361105850828469</v>
      </c>
      <c r="AA44" s="281">
        <v>1318.0552925414236</v>
      </c>
      <c r="AB44" s="3"/>
      <c r="AC44" s="3"/>
      <c r="AD44" s="3"/>
      <c r="AE44" s="3"/>
      <c r="AF44" s="3"/>
      <c r="AG44" s="7"/>
    </row>
    <row r="45" spans="2:38" ht="14.1" customHeight="1" x14ac:dyDescent="0.2">
      <c r="B45" s="16">
        <v>12</v>
      </c>
      <c r="C45" s="238">
        <f t="shared" si="2"/>
        <v>299.21599999999989</v>
      </c>
      <c r="E45" s="16">
        <v>12</v>
      </c>
      <c r="F45" s="204">
        <f t="shared" si="3"/>
        <v>258.03199999999993</v>
      </c>
      <c r="G45" s="204"/>
      <c r="H45" s="16">
        <v>12</v>
      </c>
      <c r="I45" s="149">
        <f t="shared" si="4"/>
        <v>41.183999999999969</v>
      </c>
      <c r="K45" s="16">
        <v>12</v>
      </c>
      <c r="L45" s="204">
        <f t="shared" si="9"/>
        <v>258.03199999999993</v>
      </c>
      <c r="M45" s="149">
        <f t="shared" si="7"/>
        <v>21.502666666666659</v>
      </c>
      <c r="N45" s="267">
        <f t="shared" si="5"/>
        <v>0.57099686221496582</v>
      </c>
      <c r="O45" s="149">
        <f t="shared" si="6"/>
        <v>21.502157508209944</v>
      </c>
      <c r="P45" s="149">
        <f t="shared" si="8"/>
        <v>258.02589009851931</v>
      </c>
      <c r="S45" s="229"/>
    </row>
    <row r="46" spans="2:38" ht="14.1" customHeight="1" x14ac:dyDescent="0.2">
      <c r="B46" s="16">
        <v>13</v>
      </c>
      <c r="C46" s="238">
        <f t="shared" si="2"/>
        <v>323.57199999999989</v>
      </c>
      <c r="E46" s="16">
        <v>13</v>
      </c>
      <c r="F46" s="204">
        <f t="shared" si="3"/>
        <v>279.79599999999988</v>
      </c>
      <c r="G46" s="204"/>
      <c r="H46" s="16">
        <v>13</v>
      </c>
      <c r="I46" s="149">
        <f t="shared" si="4"/>
        <v>43.77600000000001</v>
      </c>
      <c r="K46" s="16">
        <v>13</v>
      </c>
      <c r="L46" s="204">
        <f t="shared" si="9"/>
        <v>279.79599999999988</v>
      </c>
      <c r="M46" s="149">
        <f t="shared" si="7"/>
        <v>21.522769230769221</v>
      </c>
      <c r="N46" s="267">
        <f t="shared" si="5"/>
        <v>0.57153067977364258</v>
      </c>
      <c r="O46" s="149">
        <f t="shared" si="6"/>
        <v>21.522259596306878</v>
      </c>
      <c r="P46" s="149">
        <f t="shared" si="8"/>
        <v>279.78937475198939</v>
      </c>
    </row>
    <row r="47" spans="2:38" ht="14.1" customHeight="1" x14ac:dyDescent="0.2">
      <c r="B47" s="16">
        <v>14</v>
      </c>
      <c r="C47" s="238">
        <f t="shared" si="2"/>
        <v>347.92799999999994</v>
      </c>
      <c r="E47" s="16">
        <v>14</v>
      </c>
      <c r="F47" s="204">
        <f t="shared" si="3"/>
        <v>301.7519999999999</v>
      </c>
      <c r="G47" s="204"/>
      <c r="H47" s="16">
        <v>14</v>
      </c>
      <c r="I47" s="149">
        <f t="shared" si="4"/>
        <v>46.176000000000045</v>
      </c>
      <c r="K47" s="16">
        <v>14</v>
      </c>
      <c r="L47" s="204">
        <f t="shared" si="9"/>
        <v>301.7519999999999</v>
      </c>
      <c r="M47" s="149">
        <f t="shared" si="7"/>
        <v>21.553714285714278</v>
      </c>
      <c r="N47" s="267">
        <f t="shared" si="5"/>
        <v>0.57235241642373391</v>
      </c>
      <c r="O47" s="149">
        <f t="shared" si="6"/>
        <v>21.553203918508562</v>
      </c>
      <c r="P47" s="149">
        <f t="shared" si="8"/>
        <v>301.74485485911987</v>
      </c>
    </row>
    <row r="48" spans="2:38" ht="14.1" customHeight="1" x14ac:dyDescent="0.2">
      <c r="B48" s="16">
        <v>15</v>
      </c>
      <c r="C48" s="238">
        <f t="shared" si="2"/>
        <v>372.28399999999993</v>
      </c>
      <c r="E48" s="16">
        <v>15</v>
      </c>
      <c r="F48" s="204">
        <f t="shared" si="3"/>
        <v>323.89999999999986</v>
      </c>
      <c r="G48" s="204"/>
      <c r="H48" s="16">
        <v>15</v>
      </c>
      <c r="I48" s="149">
        <f t="shared" si="4"/>
        <v>48.384000000000071</v>
      </c>
      <c r="K48" s="16">
        <v>15</v>
      </c>
      <c r="L48" s="204">
        <f t="shared" si="9"/>
        <v>323.89999999999986</v>
      </c>
      <c r="M48" s="149">
        <f t="shared" si="7"/>
        <v>21.593333333333323</v>
      </c>
      <c r="N48" s="267">
        <f t="shared" si="5"/>
        <v>0.57340448834695668</v>
      </c>
      <c r="O48" s="149">
        <f t="shared" si="6"/>
        <v>21.592822027994046</v>
      </c>
      <c r="P48" s="149">
        <f t="shared" si="8"/>
        <v>323.89233041991071</v>
      </c>
    </row>
    <row r="49" spans="1:16" ht="14.1" customHeight="1" x14ac:dyDescent="0.2">
      <c r="B49" s="16">
        <v>16</v>
      </c>
      <c r="C49" s="238">
        <f t="shared" si="2"/>
        <v>396.63999999999993</v>
      </c>
      <c r="E49" s="16">
        <v>16</v>
      </c>
      <c r="F49" s="204">
        <f t="shared" si="3"/>
        <v>346.2399999999999</v>
      </c>
      <c r="G49" s="204"/>
      <c r="H49" s="16">
        <v>16</v>
      </c>
      <c r="I49" s="149">
        <f t="shared" si="4"/>
        <v>50.400000000000034</v>
      </c>
      <c r="K49" s="16">
        <v>16</v>
      </c>
      <c r="L49" s="204">
        <f t="shared" si="9"/>
        <v>346.2399999999999</v>
      </c>
      <c r="M49" s="149">
        <f t="shared" si="7"/>
        <v>21.639999999999993</v>
      </c>
      <c r="N49" s="267">
        <f t="shared" si="5"/>
        <v>0.57464370767959916</v>
      </c>
      <c r="O49" s="149">
        <f t="shared" si="6"/>
        <v>21.639487589647633</v>
      </c>
      <c r="P49" s="149">
        <f t="shared" si="8"/>
        <v>346.23180143436213</v>
      </c>
    </row>
    <row r="50" spans="1:16" ht="14.1" customHeight="1" x14ac:dyDescent="0.2">
      <c r="B50" s="16">
        <v>17</v>
      </c>
      <c r="C50" s="238">
        <f t="shared" si="2"/>
        <v>420.99599999999992</v>
      </c>
      <c r="E50" s="16">
        <v>17</v>
      </c>
      <c r="F50" s="204">
        <f t="shared" si="3"/>
        <v>368.77199999999993</v>
      </c>
      <c r="G50" s="204"/>
      <c r="H50" s="16">
        <v>17</v>
      </c>
      <c r="I50" s="149">
        <f t="shared" si="4"/>
        <v>52.22399999999999</v>
      </c>
      <c r="K50" s="16">
        <v>17</v>
      </c>
      <c r="L50" s="204">
        <f t="shared" si="9"/>
        <v>368.77199999999993</v>
      </c>
      <c r="M50" s="149">
        <f t="shared" si="7"/>
        <v>21.692470588235292</v>
      </c>
      <c r="N50" s="267">
        <f t="shared" si="5"/>
        <v>0.57603704840823411</v>
      </c>
      <c r="O50" s="149">
        <f t="shared" si="6"/>
        <v>21.691956935439652</v>
      </c>
      <c r="P50" s="149">
        <f t="shared" si="8"/>
        <v>368.76326790247407</v>
      </c>
    </row>
    <row r="51" spans="1:16" ht="14.1" customHeight="1" x14ac:dyDescent="0.2">
      <c r="B51" s="16">
        <v>18</v>
      </c>
      <c r="C51" s="238">
        <f t="shared" si="2"/>
        <v>445.35199999999992</v>
      </c>
      <c r="E51" s="16">
        <v>18</v>
      </c>
      <c r="F51" s="204">
        <f t="shared" si="3"/>
        <v>391.49599999999992</v>
      </c>
      <c r="G51" s="204"/>
      <c r="H51" s="16">
        <v>18</v>
      </c>
      <c r="I51" s="149">
        <f t="shared" si="4"/>
        <v>53.855999999999995</v>
      </c>
      <c r="K51" s="16">
        <v>18</v>
      </c>
      <c r="L51" s="204">
        <f t="shared" si="9"/>
        <v>391.49599999999992</v>
      </c>
      <c r="M51" s="149">
        <f t="shared" si="7"/>
        <v>21.749777777777773</v>
      </c>
      <c r="N51" s="267">
        <f t="shared" si="5"/>
        <v>0.57755882363352939</v>
      </c>
      <c r="O51" s="149">
        <f t="shared" si="6"/>
        <v>21.749262768013683</v>
      </c>
      <c r="P51" s="149">
        <f t="shared" si="8"/>
        <v>391.48672982424631</v>
      </c>
    </row>
    <row r="52" spans="1:16" ht="14.1" customHeight="1" x14ac:dyDescent="0.2">
      <c r="B52" s="16">
        <v>19</v>
      </c>
      <c r="C52" s="238">
        <f t="shared" si="2"/>
        <v>469.70799999999997</v>
      </c>
      <c r="E52" s="16">
        <v>19</v>
      </c>
      <c r="F52" s="204">
        <f t="shared" si="3"/>
        <v>414.41199999999992</v>
      </c>
      <c r="G52" s="204"/>
      <c r="H52" s="16">
        <v>19</v>
      </c>
      <c r="I52" s="149">
        <f t="shared" si="4"/>
        <v>55.296000000000049</v>
      </c>
      <c r="K52" s="16">
        <v>19</v>
      </c>
      <c r="L52" s="204">
        <f t="shared" si="9"/>
        <v>414.41199999999992</v>
      </c>
      <c r="M52" s="149">
        <f t="shared" si="7"/>
        <v>21.811157894736837</v>
      </c>
      <c r="N52" s="267">
        <f t="shared" si="5"/>
        <v>0.5791887542244335</v>
      </c>
      <c r="O52" s="149">
        <f t="shared" si="6"/>
        <v>21.810641431562061</v>
      </c>
      <c r="P52" s="149">
        <f t="shared" si="8"/>
        <v>414.40218719967913</v>
      </c>
    </row>
    <row r="53" spans="1:16" ht="14.1" customHeight="1" x14ac:dyDescent="0.2">
      <c r="B53" s="16">
        <v>20</v>
      </c>
      <c r="C53" s="238">
        <f t="shared" si="2"/>
        <v>494.06399999999996</v>
      </c>
      <c r="E53" s="16">
        <v>20</v>
      </c>
      <c r="F53" s="204">
        <f t="shared" si="3"/>
        <v>437.51999999999992</v>
      </c>
      <c r="G53" s="204"/>
      <c r="H53" s="16">
        <v>20</v>
      </c>
      <c r="I53" s="149">
        <f t="shared" si="4"/>
        <v>56.54400000000004</v>
      </c>
      <c r="K53" s="261">
        <v>20</v>
      </c>
      <c r="L53" s="262">
        <f t="shared" si="9"/>
        <v>437.51999999999992</v>
      </c>
      <c r="M53" s="263">
        <f t="shared" si="7"/>
        <v>21.875999999999998</v>
      </c>
      <c r="N53" s="266">
        <f t="shared" si="5"/>
        <v>0.58091061687610512</v>
      </c>
      <c r="O53" s="263">
        <f t="shared" si="6"/>
        <v>21.875482001438623</v>
      </c>
      <c r="P53" s="263">
        <f t="shared" si="8"/>
        <v>437.50964002877248</v>
      </c>
    </row>
    <row r="54" spans="1:16" ht="14.1" customHeight="1" x14ac:dyDescent="0.2">
      <c r="B54" s="16">
        <v>21</v>
      </c>
      <c r="C54" s="238">
        <f t="shared" si="2"/>
        <v>518.41999999999996</v>
      </c>
      <c r="E54" s="16">
        <v>21</v>
      </c>
      <c r="F54" s="204">
        <f t="shared" si="3"/>
        <v>460.81999999999994</v>
      </c>
      <c r="G54" s="204"/>
      <c r="H54" s="16">
        <v>21</v>
      </c>
      <c r="I54" s="149">
        <f t="shared" si="4"/>
        <v>57.600000000000023</v>
      </c>
      <c r="K54" s="16">
        <v>21</v>
      </c>
      <c r="L54" s="204">
        <f t="shared" si="9"/>
        <v>460.81999999999994</v>
      </c>
      <c r="M54" s="149">
        <f t="shared" si="7"/>
        <v>21.94380952380952</v>
      </c>
      <c r="N54" s="267">
        <f t="shared" si="5"/>
        <v>0.58271127843700588</v>
      </c>
      <c r="O54" s="149">
        <f t="shared" si="6"/>
        <v>21.943289919596484</v>
      </c>
      <c r="P54" s="149">
        <f t="shared" si="8"/>
        <v>460.80908831152618</v>
      </c>
    </row>
    <row r="55" spans="1:16" ht="14.1" customHeight="1" x14ac:dyDescent="0.2">
      <c r="B55" s="16">
        <v>22</v>
      </c>
      <c r="C55" s="238">
        <f t="shared" si="2"/>
        <v>542.77599999999995</v>
      </c>
      <c r="E55" s="16">
        <v>22</v>
      </c>
      <c r="F55" s="204">
        <f t="shared" si="3"/>
        <v>484.3119999999999</v>
      </c>
      <c r="G55" s="204"/>
      <c r="H55" s="16">
        <v>22</v>
      </c>
      <c r="I55" s="149">
        <f t="shared" si="4"/>
        <v>58.464000000000055</v>
      </c>
      <c r="K55" s="16">
        <v>22</v>
      </c>
      <c r="L55" s="204">
        <f t="shared" si="9"/>
        <v>484.3119999999999</v>
      </c>
      <c r="M55" s="149">
        <f t="shared" si="7"/>
        <v>22.014181818181815</v>
      </c>
      <c r="N55" s="267">
        <f t="shared" si="5"/>
        <v>0.58457999360133184</v>
      </c>
      <c r="O55" s="149">
        <f t="shared" si="6"/>
        <v>22.013660547633648</v>
      </c>
      <c r="P55" s="149">
        <f t="shared" si="8"/>
        <v>484.30053204794024</v>
      </c>
    </row>
    <row r="56" spans="1:16" ht="14.1" customHeight="1" x14ac:dyDescent="0.2">
      <c r="B56" s="16">
        <v>23</v>
      </c>
      <c r="C56" s="238">
        <f t="shared" si="2"/>
        <v>567.13199999999995</v>
      </c>
      <c r="E56" s="16">
        <v>23</v>
      </c>
      <c r="F56" s="204">
        <f t="shared" si="3"/>
        <v>507.99599999999992</v>
      </c>
      <c r="G56" s="204"/>
      <c r="H56" s="16">
        <v>23</v>
      </c>
      <c r="I56" s="149">
        <f t="shared" si="4"/>
        <v>59.136000000000024</v>
      </c>
      <c r="K56" s="16">
        <v>23</v>
      </c>
      <c r="L56" s="204">
        <f t="shared" si="9"/>
        <v>507.99599999999992</v>
      </c>
      <c r="M56" s="149">
        <f t="shared" si="7"/>
        <v>22.08678260869565</v>
      </c>
      <c r="N56" s="267">
        <f t="shared" si="5"/>
        <v>0.58650788581211466</v>
      </c>
      <c r="O56" s="149">
        <f t="shared" si="6"/>
        <v>22.086259619044124</v>
      </c>
      <c r="P56" s="149">
        <f t="shared" si="8"/>
        <v>507.98397123801487</v>
      </c>
    </row>
    <row r="57" spans="1:16" ht="14.1" customHeight="1" x14ac:dyDescent="0.2">
      <c r="B57" s="16">
        <v>24</v>
      </c>
      <c r="C57" s="238">
        <f t="shared" si="2"/>
        <v>591.48799999999994</v>
      </c>
      <c r="E57" s="16">
        <v>24</v>
      </c>
      <c r="F57" s="204">
        <f t="shared" si="3"/>
        <v>531.87199999999996</v>
      </c>
      <c r="G57" s="204"/>
      <c r="H57" s="16">
        <v>24</v>
      </c>
      <c r="I57" s="149">
        <f t="shared" si="4"/>
        <v>59.615999999999985</v>
      </c>
      <c r="K57" s="16">
        <v>24</v>
      </c>
      <c r="L57" s="204">
        <f t="shared" si="9"/>
        <v>531.87199999999996</v>
      </c>
      <c r="M57" s="149">
        <f t="shared" si="7"/>
        <v>22.161333333333332</v>
      </c>
      <c r="N57" s="267">
        <f t="shared" si="5"/>
        <v>0.58848755793854712</v>
      </c>
      <c r="O57" s="149">
        <f t="shared" si="6"/>
        <v>22.16080857840625</v>
      </c>
      <c r="P57" s="149">
        <f t="shared" si="8"/>
        <v>531.85940588175004</v>
      </c>
    </row>
    <row r="58" spans="1:16" ht="14.1" customHeight="1" x14ac:dyDescent="0.2">
      <c r="B58" s="228">
        <v>25</v>
      </c>
      <c r="C58" s="238">
        <f t="shared" si="2"/>
        <v>615.84399999999994</v>
      </c>
      <c r="E58" s="16">
        <v>25</v>
      </c>
      <c r="F58" s="204">
        <f t="shared" si="3"/>
        <v>555.93999999999994</v>
      </c>
      <c r="G58" s="204"/>
      <c r="H58" s="16">
        <v>25</v>
      </c>
      <c r="I58" s="149">
        <f t="shared" si="4"/>
        <v>59.903999999999996</v>
      </c>
      <c r="K58" s="16">
        <v>25</v>
      </c>
      <c r="L58" s="204">
        <f t="shared" si="9"/>
        <v>555.93999999999994</v>
      </c>
      <c r="M58" s="149">
        <f t="shared" si="7"/>
        <v>22.237599999999997</v>
      </c>
      <c r="N58" s="267">
        <f t="shared" si="5"/>
        <v>0.59051279639075127</v>
      </c>
      <c r="O58" s="149">
        <f t="shared" si="6"/>
        <v>22.237073439165822</v>
      </c>
      <c r="P58" s="149">
        <f t="shared" si="8"/>
        <v>555.92683597914561</v>
      </c>
    </row>
    <row r="59" spans="1:16" ht="14.1" customHeight="1" x14ac:dyDescent="0.2">
      <c r="A59" s="158"/>
      <c r="B59" s="239">
        <v>26</v>
      </c>
      <c r="C59" s="240">
        <f t="shared" si="2"/>
        <v>640.19999999999993</v>
      </c>
      <c r="D59" s="159"/>
      <c r="E59" s="239">
        <v>26</v>
      </c>
      <c r="F59" s="241">
        <f t="shared" si="3"/>
        <v>580.19999999999993</v>
      </c>
      <c r="G59" s="241"/>
      <c r="H59" s="239">
        <v>26</v>
      </c>
      <c r="I59" s="246">
        <f t="shared" si="4"/>
        <v>60</v>
      </c>
      <c r="J59" s="159"/>
      <c r="K59" s="239">
        <v>26</v>
      </c>
      <c r="L59" s="204">
        <f t="shared" si="9"/>
        <v>580.19999999999993</v>
      </c>
      <c r="M59" s="259">
        <f t="shared" si="7"/>
        <v>22.315384615384612</v>
      </c>
      <c r="N59" s="267">
        <f t="shared" si="5"/>
        <v>0.59257834351575334</v>
      </c>
      <c r="O59" s="149">
        <f t="shared" si="6"/>
        <v>22.314856212700054</v>
      </c>
      <c r="P59" s="149">
        <f t="shared" si="8"/>
        <v>580.18626153020136</v>
      </c>
    </row>
    <row r="60" spans="1:16" ht="14.1" customHeight="1" x14ac:dyDescent="0.2">
      <c r="B60" s="16">
        <v>27</v>
      </c>
      <c r="C60" s="238">
        <f t="shared" si="2"/>
        <v>664.55600000000004</v>
      </c>
      <c r="E60" s="16">
        <v>27</v>
      </c>
      <c r="F60" s="204">
        <f t="shared" si="3"/>
        <v>604.65199999999993</v>
      </c>
      <c r="G60" s="204"/>
      <c r="H60" s="16">
        <v>27</v>
      </c>
      <c r="I60" s="149">
        <f t="shared" si="4"/>
        <v>59.90400000000011</v>
      </c>
      <c r="K60" s="16">
        <v>27</v>
      </c>
      <c r="L60" s="204">
        <f t="shared" si="9"/>
        <v>604.65199999999993</v>
      </c>
      <c r="M60" s="149">
        <f t="shared" si="7"/>
        <v>22.394518518518517</v>
      </c>
      <c r="N60" s="267">
        <f t="shared" si="5"/>
        <v>0.59467972057213159</v>
      </c>
      <c r="O60" s="149">
        <f t="shared" si="6"/>
        <v>22.393988242033998</v>
      </c>
      <c r="P60" s="149">
        <f t="shared" si="8"/>
        <v>604.63768253491799</v>
      </c>
    </row>
    <row r="61" spans="1:16" ht="14.1" customHeight="1" x14ac:dyDescent="0.2">
      <c r="B61" s="16">
        <v>28</v>
      </c>
      <c r="C61" s="238">
        <f t="shared" si="2"/>
        <v>688.91200000000003</v>
      </c>
      <c r="E61" s="16">
        <v>28</v>
      </c>
      <c r="F61" s="204">
        <f t="shared" si="3"/>
        <v>629.29599999999994</v>
      </c>
      <c r="G61" s="204"/>
      <c r="H61" s="16">
        <v>28</v>
      </c>
      <c r="I61" s="149">
        <f t="shared" si="4"/>
        <v>59.616000000000099</v>
      </c>
      <c r="K61" s="16">
        <v>28</v>
      </c>
      <c r="L61" s="204">
        <f t="shared" si="9"/>
        <v>629.29599999999994</v>
      </c>
      <c r="M61" s="149">
        <f t="shared" si="7"/>
        <v>22.47485714285714</v>
      </c>
      <c r="N61" s="267">
        <f t="shared" si="5"/>
        <v>0.596813088638667</v>
      </c>
      <c r="O61" s="149">
        <f t="shared" si="6"/>
        <v>22.474324964046247</v>
      </c>
      <c r="P61" s="149">
        <f t="shared" si="8"/>
        <v>629.2810989932949</v>
      </c>
    </row>
    <row r="62" spans="1:16" ht="14.1" customHeight="1" x14ac:dyDescent="0.2">
      <c r="B62" s="16">
        <v>29</v>
      </c>
      <c r="C62" s="238">
        <f t="shared" si="2"/>
        <v>713.26800000000003</v>
      </c>
      <c r="E62" s="16">
        <v>29</v>
      </c>
      <c r="F62" s="204">
        <f t="shared" si="3"/>
        <v>654.13199999999995</v>
      </c>
      <c r="G62" s="204"/>
      <c r="H62" s="16">
        <v>29</v>
      </c>
      <c r="I62" s="149">
        <f t="shared" si="4"/>
        <v>59.136000000000081</v>
      </c>
      <c r="K62" s="16">
        <v>29</v>
      </c>
      <c r="L62" s="204">
        <f t="shared" si="9"/>
        <v>654.13199999999995</v>
      </c>
      <c r="M62" s="149">
        <f t="shared" si="7"/>
        <v>22.556275862068965</v>
      </c>
      <c r="N62" s="267">
        <f t="shared" si="5"/>
        <v>0.59897513830051574</v>
      </c>
      <c r="O62" s="149">
        <f t="shared" si="6"/>
        <v>22.555741755356284</v>
      </c>
      <c r="P62" s="149">
        <f t="shared" si="8"/>
        <v>654.11651090533223</v>
      </c>
    </row>
    <row r="63" spans="1:16" ht="14.1" customHeight="1" x14ac:dyDescent="0.2">
      <c r="B63" s="16">
        <v>30</v>
      </c>
      <c r="C63" s="238">
        <f t="shared" si="2"/>
        <v>737.62400000000002</v>
      </c>
      <c r="E63" s="16">
        <v>30</v>
      </c>
      <c r="F63" s="204">
        <f t="shared" si="3"/>
        <v>679.15999999999985</v>
      </c>
      <c r="G63" s="204"/>
      <c r="H63" s="16">
        <v>30</v>
      </c>
      <c r="I63" s="149">
        <f t="shared" si="4"/>
        <v>58.464000000000169</v>
      </c>
      <c r="K63" s="261">
        <v>30</v>
      </c>
      <c r="L63" s="262">
        <f t="shared" si="9"/>
        <v>679.15999999999985</v>
      </c>
      <c r="M63" s="263">
        <f t="shared" si="7"/>
        <v>22.638666666666662</v>
      </c>
      <c r="N63" s="266">
        <f t="shared" si="5"/>
        <v>0.60116300139814638</v>
      </c>
      <c r="O63" s="263">
        <f t="shared" si="6"/>
        <v>22.638130609034334</v>
      </c>
      <c r="P63" s="263">
        <f t="shared" si="8"/>
        <v>679.14391827103009</v>
      </c>
    </row>
    <row r="64" spans="1:16" ht="14.1" customHeight="1" x14ac:dyDescent="0.2">
      <c r="B64" s="16">
        <v>31</v>
      </c>
      <c r="C64" s="238">
        <f t="shared" si="2"/>
        <v>761.98</v>
      </c>
      <c r="E64" s="16">
        <v>31</v>
      </c>
      <c r="F64" s="204">
        <f t="shared" si="3"/>
        <v>704.37999999999988</v>
      </c>
      <c r="G64" s="204"/>
      <c r="H64" s="16">
        <v>31</v>
      </c>
      <c r="I64" s="149">
        <f t="shared" si="4"/>
        <v>57.600000000000136</v>
      </c>
      <c r="K64" s="16">
        <v>31</v>
      </c>
      <c r="L64" s="204">
        <f t="shared" si="9"/>
        <v>704.37999999999988</v>
      </c>
      <c r="M64" s="149">
        <f t="shared" si="7"/>
        <v>22.721935483870965</v>
      </c>
      <c r="N64" s="267">
        <f t="shared" si="5"/>
        <v>0.6033741798571286</v>
      </c>
      <c r="O64" s="149">
        <f t="shared" si="6"/>
        <v>22.72139745452866</v>
      </c>
      <c r="P64" s="149">
        <f t="shared" si="8"/>
        <v>704.36332109038847</v>
      </c>
    </row>
    <row r="65" spans="2:16" ht="14.1" customHeight="1" x14ac:dyDescent="0.2">
      <c r="B65" s="16">
        <v>32</v>
      </c>
      <c r="C65" s="238">
        <f t="shared" si="2"/>
        <v>786.33600000000001</v>
      </c>
      <c r="E65" s="16">
        <v>32</v>
      </c>
      <c r="F65" s="204">
        <f t="shared" si="3"/>
        <v>729.79199999999992</v>
      </c>
      <c r="G65" s="204"/>
      <c r="H65" s="16">
        <v>32</v>
      </c>
      <c r="I65" s="149">
        <f t="shared" si="4"/>
        <v>56.544000000000096</v>
      </c>
      <c r="K65" s="16">
        <v>32</v>
      </c>
      <c r="L65" s="204">
        <f t="shared" si="9"/>
        <v>729.79199999999992</v>
      </c>
      <c r="M65" s="149">
        <f t="shared" si="7"/>
        <v>22.805999999999997</v>
      </c>
      <c r="N65" s="267">
        <f t="shared" si="5"/>
        <v>0.60560648786233551</v>
      </c>
      <c r="O65" s="149">
        <f t="shared" si="6"/>
        <v>22.805459980106473</v>
      </c>
      <c r="P65" s="149">
        <f t="shared" si="8"/>
        <v>729.77471936340714</v>
      </c>
    </row>
    <row r="66" spans="2:16" ht="14.1" customHeight="1" x14ac:dyDescent="0.2">
      <c r="B66" s="16">
        <v>33</v>
      </c>
      <c r="C66" s="238">
        <f t="shared" ref="C66:C84" si="10">(C$31*B66)+C$32</f>
        <v>810.69200000000001</v>
      </c>
      <c r="E66" s="16">
        <v>33</v>
      </c>
      <c r="F66" s="204">
        <f t="shared" si="3"/>
        <v>755.39599999999996</v>
      </c>
      <c r="G66" s="204"/>
      <c r="H66" s="16">
        <v>33</v>
      </c>
      <c r="I66" s="149">
        <f t="shared" si="4"/>
        <v>55.296000000000049</v>
      </c>
      <c r="K66" s="16">
        <v>33</v>
      </c>
      <c r="L66" s="204">
        <f t="shared" si="9"/>
        <v>755.39599999999996</v>
      </c>
      <c r="M66" s="149">
        <f t="shared" si="7"/>
        <v>22.890787878787876</v>
      </c>
      <c r="N66" s="267">
        <f t="shared" ref="N66:N84" si="11">SQRT(12*32.2*M66^2/(4*$Q$6*($Q$5*56)*$Q$4^2))</f>
        <v>0.60785800454592864</v>
      </c>
      <c r="O66" s="149">
        <f t="shared" ref="O66:O84" si="12">(N66*$Q$4)*SQRT(4*$Q$6*$Q$7/32.2)/12</f>
        <v>22.89024585121474</v>
      </c>
      <c r="P66" s="149">
        <f t="shared" si="8"/>
        <v>755.37811309008646</v>
      </c>
    </row>
    <row r="67" spans="2:16" ht="14.1" customHeight="1" x14ac:dyDescent="0.2">
      <c r="B67" s="16">
        <v>34</v>
      </c>
      <c r="C67" s="238">
        <f t="shared" si="10"/>
        <v>835.048</v>
      </c>
      <c r="E67" s="16">
        <v>34</v>
      </c>
      <c r="F67" s="204">
        <f t="shared" si="3"/>
        <v>781.19200000000001</v>
      </c>
      <c r="G67" s="204"/>
      <c r="H67" s="16">
        <v>34</v>
      </c>
      <c r="I67" s="149">
        <f t="shared" si="4"/>
        <v>53.855999999999995</v>
      </c>
      <c r="K67" s="16">
        <v>34</v>
      </c>
      <c r="L67" s="204">
        <f t="shared" si="9"/>
        <v>781.19200000000001</v>
      </c>
      <c r="M67" s="149">
        <f t="shared" si="7"/>
        <v>22.976235294117647</v>
      </c>
      <c r="N67" s="267">
        <f t="shared" si="11"/>
        <v>0.61012703502452093</v>
      </c>
      <c r="O67" s="149">
        <f t="shared" si="12"/>
        <v>22.975691243247823</v>
      </c>
      <c r="P67" s="149">
        <f t="shared" si="8"/>
        <v>781.17350227042596</v>
      </c>
    </row>
    <row r="68" spans="2:16" ht="14.1" customHeight="1" x14ac:dyDescent="0.2">
      <c r="B68" s="16">
        <v>35</v>
      </c>
      <c r="C68" s="238">
        <f t="shared" si="10"/>
        <v>859.404</v>
      </c>
      <c r="E68" s="16">
        <v>35</v>
      </c>
      <c r="F68" s="204">
        <f t="shared" si="3"/>
        <v>807.18</v>
      </c>
      <c r="G68" s="204"/>
      <c r="H68" s="16">
        <v>35</v>
      </c>
      <c r="I68" s="149">
        <f t="shared" si="4"/>
        <v>52.224000000000046</v>
      </c>
      <c r="K68" s="16">
        <v>35</v>
      </c>
      <c r="L68" s="204">
        <f t="shared" si="9"/>
        <v>807.18</v>
      </c>
      <c r="M68" s="149">
        <f t="shared" si="7"/>
        <v>23.062285714285714</v>
      </c>
      <c r="N68" s="267">
        <f t="shared" si="11"/>
        <v>0.61241207811568388</v>
      </c>
      <c r="O68" s="149">
        <f t="shared" si="12"/>
        <v>23.061739625840747</v>
      </c>
      <c r="P68" s="149">
        <f t="shared" si="8"/>
        <v>807.16088690442621</v>
      </c>
    </row>
    <row r="69" spans="2:16" ht="14.1" customHeight="1" x14ac:dyDescent="0.2">
      <c r="B69" s="16">
        <v>36</v>
      </c>
      <c r="C69" s="238">
        <f t="shared" si="10"/>
        <v>883.76</v>
      </c>
      <c r="E69" s="16">
        <v>36</v>
      </c>
      <c r="F69" s="204">
        <f t="shared" si="3"/>
        <v>833.3599999999999</v>
      </c>
      <c r="G69" s="204"/>
      <c r="H69" s="16">
        <v>36</v>
      </c>
      <c r="I69" s="149">
        <f t="shared" si="4"/>
        <v>50.400000000000091</v>
      </c>
      <c r="K69" s="16">
        <v>36</v>
      </c>
      <c r="L69" s="204">
        <f t="shared" si="9"/>
        <v>833.3599999999999</v>
      </c>
      <c r="M69" s="149">
        <f t="shared" si="7"/>
        <v>23.148888888888887</v>
      </c>
      <c r="N69" s="267">
        <f t="shared" si="11"/>
        <v>0.61471179943503662</v>
      </c>
      <c r="O69" s="149">
        <f t="shared" si="12"/>
        <v>23.148340749780193</v>
      </c>
      <c r="P69" s="149">
        <f t="shared" si="8"/>
        <v>833.34026699208698</v>
      </c>
    </row>
    <row r="70" spans="2:16" ht="14.1" customHeight="1" x14ac:dyDescent="0.2">
      <c r="B70" s="16">
        <v>37</v>
      </c>
      <c r="C70" s="238">
        <f t="shared" si="10"/>
        <v>908.11599999999999</v>
      </c>
      <c r="E70" s="16">
        <v>37</v>
      </c>
      <c r="F70" s="204">
        <f t="shared" si="3"/>
        <v>859.73199999999997</v>
      </c>
      <c r="G70" s="204"/>
      <c r="H70" s="16">
        <v>37</v>
      </c>
      <c r="I70" s="149">
        <f t="shared" si="4"/>
        <v>48.384000000000015</v>
      </c>
      <c r="K70" s="16">
        <v>37</v>
      </c>
      <c r="L70" s="204">
        <f t="shared" si="9"/>
        <v>859.73199999999997</v>
      </c>
      <c r="M70" s="149">
        <f t="shared" si="7"/>
        <v>23.236000000000001</v>
      </c>
      <c r="N70" s="267">
        <f t="shared" si="11"/>
        <v>0.61702500885596911</v>
      </c>
      <c r="O70" s="149">
        <f t="shared" si="12"/>
        <v>23.235449798200218</v>
      </c>
      <c r="P70" s="149">
        <f t="shared" si="8"/>
        <v>859.71164253340805</v>
      </c>
    </row>
    <row r="71" spans="2:16" ht="14.1" customHeight="1" x14ac:dyDescent="0.2">
      <c r="B71" s="16">
        <v>38</v>
      </c>
      <c r="C71" s="238">
        <f t="shared" si="10"/>
        <v>932.47200000000009</v>
      </c>
      <c r="E71" s="16">
        <v>38</v>
      </c>
      <c r="F71" s="204">
        <f t="shared" si="3"/>
        <v>886.29599999999994</v>
      </c>
      <c r="G71" s="204"/>
      <c r="H71" s="16">
        <v>38</v>
      </c>
      <c r="I71" s="149">
        <f t="shared" si="4"/>
        <v>46.176000000000158</v>
      </c>
      <c r="K71" s="16">
        <v>38</v>
      </c>
      <c r="L71" s="204">
        <f t="shared" si="9"/>
        <v>886.29599999999994</v>
      </c>
      <c r="M71" s="149">
        <f t="shared" si="7"/>
        <v>23.323578947368418</v>
      </c>
      <c r="N71" s="267">
        <f t="shared" si="11"/>
        <v>0.6193506415283565</v>
      </c>
      <c r="O71" s="149">
        <f t="shared" si="12"/>
        <v>23.32302667179972</v>
      </c>
      <c r="P71" s="149">
        <f t="shared" si="8"/>
        <v>886.27501352838942</v>
      </c>
    </row>
    <row r="72" spans="2:16" ht="14.1" customHeight="1" x14ac:dyDescent="0.2">
      <c r="B72" s="16">
        <v>39</v>
      </c>
      <c r="C72" s="238">
        <f t="shared" si="10"/>
        <v>956.82800000000009</v>
      </c>
      <c r="E72" s="16">
        <v>39</v>
      </c>
      <c r="F72" s="204">
        <f t="shared" si="3"/>
        <v>913.05199999999991</v>
      </c>
      <c r="G72" s="204"/>
      <c r="H72" s="16">
        <v>39</v>
      </c>
      <c r="I72" s="149">
        <f t="shared" si="4"/>
        <v>43.776000000000181</v>
      </c>
      <c r="K72" s="16">
        <v>39</v>
      </c>
      <c r="L72" s="204">
        <f t="shared" si="9"/>
        <v>913.05199999999991</v>
      </c>
      <c r="M72" s="149">
        <f t="shared" si="7"/>
        <v>23.41158974358974</v>
      </c>
      <c r="N72" s="267">
        <f t="shared" si="11"/>
        <v>0.62168774181747177</v>
      </c>
      <c r="O72" s="149">
        <f t="shared" si="12"/>
        <v>23.411035384026444</v>
      </c>
      <c r="P72" s="149">
        <f t="shared" si="8"/>
        <v>913.03037997703132</v>
      </c>
    </row>
    <row r="73" spans="2:16" ht="14.1" customHeight="1" x14ac:dyDescent="0.2">
      <c r="B73" s="16">
        <v>40</v>
      </c>
      <c r="C73" s="238">
        <f t="shared" si="10"/>
        <v>981.18400000000008</v>
      </c>
      <c r="E73" s="16">
        <v>40</v>
      </c>
      <c r="F73" s="204">
        <f t="shared" si="3"/>
        <v>939.99999999999989</v>
      </c>
      <c r="G73" s="204"/>
      <c r="H73" s="16">
        <v>40</v>
      </c>
      <c r="I73" s="149">
        <f t="shared" si="4"/>
        <v>41.184000000000196</v>
      </c>
      <c r="K73" s="261">
        <v>40</v>
      </c>
      <c r="L73" s="262">
        <f t="shared" si="9"/>
        <v>939.99999999999989</v>
      </c>
      <c r="M73" s="263">
        <f t="shared" si="7"/>
        <v>23.499999999999996</v>
      </c>
      <c r="N73" s="266">
        <f t="shared" si="11"/>
        <v>0.62403544965206026</v>
      </c>
      <c r="O73" s="263">
        <f t="shared" si="12"/>
        <v>23.499443546983347</v>
      </c>
      <c r="P73" s="263">
        <f t="shared" si="8"/>
        <v>939.97774187933385</v>
      </c>
    </row>
    <row r="74" spans="2:16" ht="14.1" customHeight="1" x14ac:dyDescent="0.2">
      <c r="B74" s="16">
        <v>41</v>
      </c>
      <c r="C74" s="238">
        <f t="shared" si="10"/>
        <v>1005.5400000000001</v>
      </c>
      <c r="E74" s="16">
        <v>41</v>
      </c>
      <c r="F74" s="204">
        <f t="shared" si="3"/>
        <v>967.14</v>
      </c>
      <c r="G74" s="204"/>
      <c r="H74" s="16">
        <v>41</v>
      </c>
      <c r="I74" s="149">
        <f t="shared" si="4"/>
        <v>38.400000000000091</v>
      </c>
      <c r="K74" s="16">
        <v>41</v>
      </c>
      <c r="L74" s="204">
        <f t="shared" si="9"/>
        <v>967.14</v>
      </c>
      <c r="M74" s="149">
        <f t="shared" si="7"/>
        <v>23.588780487804879</v>
      </c>
      <c r="N74" s="267">
        <f t="shared" si="11"/>
        <v>0.62639298887025796</v>
      </c>
      <c r="O74" s="149">
        <f t="shared" si="12"/>
        <v>23.588221932568214</v>
      </c>
      <c r="P74" s="149">
        <f t="shared" si="8"/>
        <v>967.11709923529679</v>
      </c>
    </row>
    <row r="75" spans="2:16" ht="14.1" customHeight="1" x14ac:dyDescent="0.2">
      <c r="B75" s="16">
        <v>42</v>
      </c>
      <c r="C75" s="238">
        <f t="shared" si="10"/>
        <v>1029.8960000000002</v>
      </c>
      <c r="E75" s="16">
        <v>42</v>
      </c>
      <c r="F75" s="204">
        <f t="shared" si="3"/>
        <v>994.47199999999998</v>
      </c>
      <c r="G75" s="204"/>
      <c r="H75" s="16">
        <v>42</v>
      </c>
      <c r="I75" s="149">
        <f t="shared" si="4"/>
        <v>35.424000000000206</v>
      </c>
      <c r="K75" s="16">
        <v>42</v>
      </c>
      <c r="L75" s="204">
        <f t="shared" si="9"/>
        <v>994.47199999999998</v>
      </c>
      <c r="M75" s="149">
        <f t="shared" si="7"/>
        <v>23.677904761904763</v>
      </c>
      <c r="N75" s="267">
        <f t="shared" si="11"/>
        <v>0.62875965723037863</v>
      </c>
      <c r="O75" s="149">
        <f t="shared" si="12"/>
        <v>23.677344096307621</v>
      </c>
      <c r="P75" s="149">
        <f t="shared" si="8"/>
        <v>994.44845204492003</v>
      </c>
    </row>
    <row r="76" spans="2:16" ht="14.1" customHeight="1" x14ac:dyDescent="0.2">
      <c r="B76" s="16">
        <v>43</v>
      </c>
      <c r="C76" s="238">
        <f t="shared" si="10"/>
        <v>1054.252</v>
      </c>
      <c r="E76" s="16">
        <v>43</v>
      </c>
      <c r="F76" s="204">
        <f t="shared" si="3"/>
        <v>1021.996</v>
      </c>
      <c r="G76" s="204"/>
      <c r="H76" s="16">
        <v>43</v>
      </c>
      <c r="I76" s="149">
        <f t="shared" si="4"/>
        <v>32.255999999999972</v>
      </c>
      <c r="K76" s="16">
        <v>43</v>
      </c>
      <c r="L76" s="204">
        <f t="shared" si="9"/>
        <v>1021.996</v>
      </c>
      <c r="M76" s="149">
        <f t="shared" si="7"/>
        <v>23.767348837209301</v>
      </c>
      <c r="N76" s="267">
        <f t="shared" si="11"/>
        <v>0.63113481781554381</v>
      </c>
      <c r="O76" s="149">
        <f t="shared" si="12"/>
        <v>23.766786053679159</v>
      </c>
      <c r="P76" s="149">
        <f t="shared" si="8"/>
        <v>1021.9718003082038</v>
      </c>
    </row>
    <row r="77" spans="2:16" ht="14.1" customHeight="1" x14ac:dyDescent="0.2">
      <c r="B77" s="16">
        <v>44</v>
      </c>
      <c r="C77" s="238">
        <f t="shared" si="10"/>
        <v>1078.6080000000002</v>
      </c>
      <c r="E77" s="16">
        <v>44</v>
      </c>
      <c r="F77" s="204">
        <f t="shared" si="3"/>
        <v>1049.712</v>
      </c>
      <c r="G77" s="204"/>
      <c r="H77" s="16">
        <v>44</v>
      </c>
      <c r="I77" s="149">
        <f t="shared" si="4"/>
        <v>28.896000000000186</v>
      </c>
      <c r="K77" s="16">
        <v>44</v>
      </c>
      <c r="L77" s="204">
        <f t="shared" si="9"/>
        <v>1049.712</v>
      </c>
      <c r="M77" s="149">
        <f t="shared" si="7"/>
        <v>23.85709090909091</v>
      </c>
      <c r="N77" s="267">
        <f t="shared" si="11"/>
        <v>0.63351789161040961</v>
      </c>
      <c r="O77" s="149">
        <f t="shared" si="12"/>
        <v>23.856526000571552</v>
      </c>
      <c r="P77" s="149">
        <f t="shared" si="8"/>
        <v>1049.6871440251482</v>
      </c>
    </row>
    <row r="78" spans="2:16" ht="14.1" customHeight="1" x14ac:dyDescent="0.2">
      <c r="B78" s="16">
        <v>45</v>
      </c>
      <c r="C78" s="238">
        <f t="shared" si="10"/>
        <v>1102.9639999999999</v>
      </c>
      <c r="E78" s="16">
        <v>45</v>
      </c>
      <c r="F78" s="204">
        <f t="shared" si="3"/>
        <v>1077.6200000000001</v>
      </c>
      <c r="G78" s="204"/>
      <c r="H78" s="16">
        <v>45</v>
      </c>
      <c r="I78" s="149">
        <f t="shared" si="4"/>
        <v>25.343999999999824</v>
      </c>
      <c r="K78" s="16">
        <v>45</v>
      </c>
      <c r="L78" s="204">
        <f t="shared" si="9"/>
        <v>1077.6200000000001</v>
      </c>
      <c r="M78" s="149">
        <f t="shared" si="7"/>
        <v>23.947111111111113</v>
      </c>
      <c r="N78" s="267">
        <f t="shared" si="11"/>
        <v>0.63590835106766264</v>
      </c>
      <c r="O78" s="149">
        <f t="shared" si="12"/>
        <v>23.946544071016731</v>
      </c>
      <c r="P78" s="149">
        <f t="shared" si="8"/>
        <v>1077.5944831957529</v>
      </c>
    </row>
    <row r="79" spans="2:16" ht="14.1" customHeight="1" x14ac:dyDescent="0.2">
      <c r="B79" s="16">
        <v>46</v>
      </c>
      <c r="C79" s="238">
        <f t="shared" si="10"/>
        <v>1127.3200000000002</v>
      </c>
      <c r="E79" s="16">
        <v>46</v>
      </c>
      <c r="F79" s="204">
        <f t="shared" si="3"/>
        <v>1105.72</v>
      </c>
      <c r="G79" s="204"/>
      <c r="H79" s="16">
        <v>46</v>
      </c>
      <c r="I79" s="149">
        <f t="shared" si="4"/>
        <v>21.600000000000136</v>
      </c>
      <c r="K79" s="16">
        <v>46</v>
      </c>
      <c r="L79" s="204">
        <f t="shared" si="9"/>
        <v>1105.72</v>
      </c>
      <c r="M79" s="149">
        <f t="shared" si="7"/>
        <v>24.037391304347828</v>
      </c>
      <c r="N79" s="267">
        <f t="shared" si="11"/>
        <v>0.63830571451366902</v>
      </c>
      <c r="O79" s="149">
        <f t="shared" si="12"/>
        <v>24.036822126522139</v>
      </c>
      <c r="P79" s="149">
        <f t="shared" si="8"/>
        <v>1105.6938178200185</v>
      </c>
    </row>
    <row r="80" spans="2:16" ht="14.1" customHeight="1" x14ac:dyDescent="0.2">
      <c r="B80" s="16">
        <v>47</v>
      </c>
      <c r="C80" s="238">
        <f t="shared" si="10"/>
        <v>1151.6759999999999</v>
      </c>
      <c r="E80" s="16">
        <v>47</v>
      </c>
      <c r="F80" s="204">
        <f t="shared" si="3"/>
        <v>1134.0120000000002</v>
      </c>
      <c r="G80" s="204"/>
      <c r="H80" s="16">
        <v>47</v>
      </c>
      <c r="I80" s="149">
        <f t="shared" si="4"/>
        <v>17.66399999999976</v>
      </c>
      <c r="K80" s="16">
        <v>47</v>
      </c>
      <c r="L80" s="204">
        <f t="shared" si="9"/>
        <v>1134.0120000000002</v>
      </c>
      <c r="M80" s="149">
        <f t="shared" si="7"/>
        <v>24.127914893617024</v>
      </c>
      <c r="N80" s="267">
        <f t="shared" si="11"/>
        <v>0.64070954126829538</v>
      </c>
      <c r="O80" s="149">
        <f t="shared" si="12"/>
        <v>24.127343572296677</v>
      </c>
      <c r="P80" s="149">
        <f t="shared" si="8"/>
        <v>1133.9851478979438</v>
      </c>
    </row>
    <row r="81" spans="2:16" ht="14.1" customHeight="1" x14ac:dyDescent="0.2">
      <c r="B81" s="16">
        <v>48</v>
      </c>
      <c r="C81" s="238">
        <f t="shared" si="10"/>
        <v>1176.0320000000002</v>
      </c>
      <c r="E81" s="16">
        <v>48</v>
      </c>
      <c r="F81" s="204">
        <f t="shared" si="3"/>
        <v>1162.4960000000001</v>
      </c>
      <c r="G81" s="204"/>
      <c r="H81" s="16">
        <v>48</v>
      </c>
      <c r="I81" s="149">
        <f t="shared" si="4"/>
        <v>13.536000000000058</v>
      </c>
      <c r="K81" s="16">
        <v>48</v>
      </c>
      <c r="L81" s="204">
        <f t="shared" si="9"/>
        <v>1162.4960000000001</v>
      </c>
      <c r="M81" s="149">
        <f t="shared" si="7"/>
        <v>24.218666666666667</v>
      </c>
      <c r="N81" s="267">
        <f t="shared" si="11"/>
        <v>0.64311942737475314</v>
      </c>
      <c r="O81" s="149">
        <f t="shared" si="12"/>
        <v>24.218093196448539</v>
      </c>
      <c r="P81" s="149">
        <f t="shared" si="8"/>
        <v>1162.4684734295299</v>
      </c>
    </row>
    <row r="82" spans="2:16" ht="14.1" customHeight="1" x14ac:dyDescent="0.2">
      <c r="B82" s="16">
        <v>49</v>
      </c>
      <c r="C82" s="238">
        <f t="shared" si="10"/>
        <v>1200.3879999999999</v>
      </c>
      <c r="E82" s="16">
        <v>49</v>
      </c>
      <c r="F82" s="204">
        <f t="shared" si="3"/>
        <v>1191.172</v>
      </c>
      <c r="G82" s="204"/>
      <c r="H82" s="16">
        <v>49</v>
      </c>
      <c r="I82" s="149">
        <f t="shared" si="4"/>
        <v>9.2159999999998945</v>
      </c>
      <c r="K82" s="16">
        <v>49</v>
      </c>
      <c r="L82" s="204">
        <f t="shared" si="9"/>
        <v>1191.172</v>
      </c>
      <c r="M82" s="149">
        <f t="shared" si="7"/>
        <v>24.309632653061225</v>
      </c>
      <c r="N82" s="267">
        <f t="shared" si="11"/>
        <v>0.64553500185231782</v>
      </c>
      <c r="O82" s="149">
        <f t="shared" si="12"/>
        <v>24.309057028872989</v>
      </c>
      <c r="P82" s="149">
        <f t="shared" si="8"/>
        <v>1191.1437944147765</v>
      </c>
    </row>
    <row r="83" spans="2:16" ht="14.1" customHeight="1" x14ac:dyDescent="0.2">
      <c r="B83" s="16">
        <v>50</v>
      </c>
      <c r="C83" s="238">
        <f t="shared" si="10"/>
        <v>1224.7440000000001</v>
      </c>
      <c r="E83" s="16">
        <v>50</v>
      </c>
      <c r="F83" s="204">
        <f t="shared" si="3"/>
        <v>1220.04</v>
      </c>
      <c r="G83" s="204"/>
      <c r="H83" s="16">
        <v>50</v>
      </c>
      <c r="I83" s="149">
        <f t="shared" si="4"/>
        <v>4.7040000000001783</v>
      </c>
      <c r="K83" s="261">
        <v>50</v>
      </c>
      <c r="L83" s="262">
        <f t="shared" si="9"/>
        <v>1220.04</v>
      </c>
      <c r="M83" s="263">
        <f t="shared" si="7"/>
        <v>24.4008</v>
      </c>
      <c r="N83" s="266">
        <f t="shared" si="11"/>
        <v>0.6479559233987231</v>
      </c>
      <c r="O83" s="263">
        <f t="shared" si="12"/>
        <v>24.400222217073672</v>
      </c>
      <c r="P83" s="263">
        <f t="shared" si="8"/>
        <v>1220.0111108536837</v>
      </c>
    </row>
    <row r="84" spans="2:16" ht="14.1" customHeight="1" x14ac:dyDescent="0.2">
      <c r="B84" s="16">
        <v>51</v>
      </c>
      <c r="C84" s="238">
        <f t="shared" si="10"/>
        <v>1249.0999999999999</v>
      </c>
      <c r="E84" s="16">
        <v>51</v>
      </c>
      <c r="F84" s="204">
        <f t="shared" si="3"/>
        <v>1249.1000000000001</v>
      </c>
      <c r="G84" s="204"/>
      <c r="H84" s="16">
        <v>51</v>
      </c>
      <c r="I84" s="149">
        <f>C84-F84</f>
        <v>0</v>
      </c>
      <c r="K84" s="16">
        <v>51</v>
      </c>
      <c r="L84" s="204">
        <f t="shared" si="9"/>
        <v>1249.1000000000001</v>
      </c>
      <c r="M84" s="149">
        <f t="shared" si="7"/>
        <v>24.492156862745102</v>
      </c>
      <c r="N84" s="267">
        <f t="shared" si="11"/>
        <v>0.6503818774805078</v>
      </c>
      <c r="O84" s="149">
        <f t="shared" si="12"/>
        <v>24.491576916593161</v>
      </c>
      <c r="P84" s="149">
        <f t="shared" si="8"/>
        <v>1249.0704227462511</v>
      </c>
    </row>
    <row r="85" spans="2:16" ht="14.1" customHeight="1" x14ac:dyDescent="0.2">
      <c r="E85" s="16"/>
    </row>
    <row r="86" spans="2:16" ht="14.1" customHeight="1" x14ac:dyDescent="0.2">
      <c r="E86" s="16"/>
      <c r="F86" s="276"/>
    </row>
    <row r="87" spans="2:16" ht="14.1" customHeight="1" x14ac:dyDescent="0.2">
      <c r="E87" s="16"/>
    </row>
    <row r="88" spans="2:16" ht="14.1" customHeight="1" x14ac:dyDescent="0.2">
      <c r="E88" s="16"/>
    </row>
    <row r="89" spans="2:16" ht="14.1" customHeight="1" x14ac:dyDescent="0.2">
      <c r="E89" s="16"/>
    </row>
    <row r="90" spans="2:16" ht="14.1" customHeight="1" x14ac:dyDescent="0.2">
      <c r="E90" s="16"/>
    </row>
    <row r="91" spans="2:16" ht="14.1" customHeight="1" x14ac:dyDescent="0.2">
      <c r="E91" s="16"/>
    </row>
    <row r="92" spans="2:16" ht="14.1" customHeight="1" x14ac:dyDescent="0.2">
      <c r="E92" s="16"/>
    </row>
    <row r="93" spans="2:16" ht="14.1" customHeight="1" x14ac:dyDescent="0.2">
      <c r="E93" s="16"/>
    </row>
    <row r="94" spans="2:16" ht="14.1" customHeight="1" x14ac:dyDescent="0.2">
      <c r="E94" s="16"/>
    </row>
    <row r="95" spans="2:16" ht="14.1" customHeight="1" x14ac:dyDescent="0.2">
      <c r="E95" s="16"/>
    </row>
    <row r="96" spans="2:1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spans="27:27" ht="14.1" customHeight="1" x14ac:dyDescent="0.2"/>
    <row r="146" spans="27:27" ht="14.1" customHeight="1" x14ac:dyDescent="0.2"/>
    <row r="147" spans="27:27" ht="14.1" customHeight="1" x14ac:dyDescent="0.2"/>
    <row r="148" spans="27:27" ht="14.1" customHeight="1" x14ac:dyDescent="0.2"/>
    <row r="149" spans="27:27" ht="14.1" customHeight="1" x14ac:dyDescent="0.2"/>
    <row r="150" spans="27:27" ht="14.1" customHeight="1" x14ac:dyDescent="0.2"/>
    <row r="151" spans="27:27" ht="14.1" customHeight="1" x14ac:dyDescent="0.2"/>
    <row r="152" spans="27:27" ht="14.1" customHeight="1" x14ac:dyDescent="0.2"/>
    <row r="153" spans="27:27" ht="14.1" customHeight="1" x14ac:dyDescent="0.2"/>
    <row r="159" spans="27:27" x14ac:dyDescent="0.2">
      <c r="AA159" s="16"/>
    </row>
  </sheetData>
  <pageMargins left="0.7" right="0.7" top="0.25" bottom="0.25" header="0.3" footer="0.3"/>
  <pageSetup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75A5-B02E-4D20-9E89-70E6CF109B67}">
  <sheetPr transitionEvaluation="1" transitionEntry="1">
    <pageSetUpPr fitToPage="1"/>
  </sheetPr>
  <dimension ref="A1:BV254"/>
  <sheetViews>
    <sheetView showGridLines="0" zoomScale="90" zoomScaleNormal="90" zoomScaleSheetLayoutView="80" workbookViewId="0">
      <selection activeCell="H29" sqref="H29"/>
    </sheetView>
  </sheetViews>
  <sheetFormatPr defaultRowHeight="12.75" x14ac:dyDescent="0.2"/>
  <cols>
    <col min="1" max="13" width="9.7109375" customWidth="1"/>
    <col min="14" max="21" width="10.7109375" customWidth="1"/>
    <col min="22" max="27" width="9.7109375" customWidth="1"/>
    <col min="28" max="31" width="10.7109375" customWidth="1"/>
    <col min="32" max="32" width="13" customWidth="1"/>
    <col min="33" max="33" width="13.5703125" customWidth="1"/>
    <col min="34" max="34" width="12.5703125" customWidth="1"/>
    <col min="35" max="35" width="10.7109375" customWidth="1"/>
    <col min="36" max="37" width="12.140625" customWidth="1"/>
    <col min="38" max="38" width="14.140625" customWidth="1"/>
    <col min="39" max="42" width="10.7109375" customWidth="1"/>
    <col min="43" max="46" width="12.7109375" customWidth="1"/>
    <col min="47" max="56" width="10.7109375" customWidth="1"/>
  </cols>
  <sheetData>
    <row r="1" spans="2:74" x14ac:dyDescent="0.2">
      <c r="B1" t="s">
        <v>116</v>
      </c>
      <c r="R1" s="31" t="s">
        <v>27</v>
      </c>
      <c r="AW1" t="s">
        <v>7</v>
      </c>
      <c r="BV1" t="s">
        <v>7</v>
      </c>
    </row>
    <row r="2" spans="2:74" x14ac:dyDescent="0.2">
      <c r="B2" s="1" t="s">
        <v>117</v>
      </c>
    </row>
    <row r="3" spans="2:74" x14ac:dyDescent="0.2">
      <c r="B3" s="1" t="s">
        <v>118</v>
      </c>
    </row>
    <row r="4" spans="2:74" x14ac:dyDescent="0.2">
      <c r="B4" s="1"/>
    </row>
    <row r="5" spans="2:74" ht="18" x14ac:dyDescent="0.25">
      <c r="B5" s="1"/>
      <c r="I5" s="269" t="s">
        <v>159</v>
      </c>
    </row>
    <row r="6" spans="2:74" x14ac:dyDescent="0.2">
      <c r="B6" s="17">
        <v>2.52</v>
      </c>
      <c r="C6" s="156" t="s">
        <v>10</v>
      </c>
      <c r="F6" s="9"/>
      <c r="G6" s="9"/>
      <c r="H6" s="9"/>
    </row>
    <row r="7" spans="2:74" x14ac:dyDescent="0.2">
      <c r="B7" s="17">
        <v>4.55</v>
      </c>
      <c r="C7" s="157" t="s">
        <v>0</v>
      </c>
      <c r="D7" s="9"/>
      <c r="E7" s="9"/>
      <c r="F7" s="9"/>
      <c r="G7" s="9"/>
      <c r="H7" s="9"/>
    </row>
    <row r="8" spans="2:74" x14ac:dyDescent="0.2">
      <c r="B8" s="17">
        <v>85</v>
      </c>
      <c r="C8" s="156" t="s">
        <v>1</v>
      </c>
      <c r="D8" s="6"/>
      <c r="E8" s="9"/>
      <c r="F8" s="9"/>
      <c r="G8" s="20" t="s">
        <v>6</v>
      </c>
      <c r="H8" s="9"/>
    </row>
    <row r="9" spans="2:74" x14ac:dyDescent="0.2">
      <c r="B9" s="2" t="s">
        <v>3</v>
      </c>
      <c r="C9" s="18" t="s">
        <v>2</v>
      </c>
      <c r="D9" s="18" t="s">
        <v>3</v>
      </c>
      <c r="E9" s="21" t="s">
        <v>5</v>
      </c>
      <c r="F9" s="18" t="s">
        <v>4</v>
      </c>
      <c r="G9" s="22" t="s">
        <v>4</v>
      </c>
      <c r="H9" s="18" t="s">
        <v>4</v>
      </c>
    </row>
    <row r="10" spans="2:74" ht="15" x14ac:dyDescent="0.2">
      <c r="B10" s="42"/>
      <c r="C10" s="16">
        <v>1</v>
      </c>
      <c r="D10" s="140">
        <v>33.561842105263182</v>
      </c>
      <c r="E10" s="27">
        <f>D10/C10</f>
        <v>33.561842105263182</v>
      </c>
      <c r="F10" s="44">
        <f t="shared" ref="F10:F19" si="0">SQRT(12*32.2*E10^2/(4*$B$8*($B$7*56)*$B$6^2))</f>
        <v>0.88945634518259098</v>
      </c>
      <c r="G10" s="46">
        <v>0.69992745230334086</v>
      </c>
      <c r="H10" s="163">
        <f>(F10)</f>
        <v>0.88945634518259098</v>
      </c>
    </row>
    <row r="11" spans="2:74" ht="15" x14ac:dyDescent="0.2">
      <c r="B11" s="43"/>
      <c r="C11" s="26">
        <v>2</v>
      </c>
      <c r="D11" s="141">
        <v>55.500000000000021</v>
      </c>
      <c r="E11" s="28">
        <f t="shared" ref="E11:E19" si="1">D11/C11</f>
        <v>27.750000000000011</v>
      </c>
      <c r="F11" s="45">
        <f t="shared" si="0"/>
        <v>0.73543083545304577</v>
      </c>
      <c r="G11" s="47">
        <v>0.69992745230334086</v>
      </c>
      <c r="H11" s="164">
        <f>(F11)</f>
        <v>0.73543083545304577</v>
      </c>
    </row>
    <row r="12" spans="2:74" ht="15" x14ac:dyDescent="0.2">
      <c r="B12" s="42"/>
      <c r="C12" s="16">
        <v>3</v>
      </c>
      <c r="D12" s="140">
        <v>77.438157894736861</v>
      </c>
      <c r="E12" s="27">
        <f t="shared" si="1"/>
        <v>25.812719298245622</v>
      </c>
      <c r="F12" s="44">
        <f t="shared" si="0"/>
        <v>0.68408899887653074</v>
      </c>
      <c r="G12" s="46">
        <v>0.70001912583998827</v>
      </c>
      <c r="H12" s="163">
        <f t="shared" ref="H12:H19" si="2">(F12)</f>
        <v>0.68408899887653074</v>
      </c>
    </row>
    <row r="13" spans="2:74" ht="15" x14ac:dyDescent="0.2">
      <c r="B13" s="42"/>
      <c r="C13" s="16">
        <v>4</v>
      </c>
      <c r="D13" s="140">
        <v>99.376315789473708</v>
      </c>
      <c r="E13" s="27">
        <f t="shared" si="1"/>
        <v>24.844078947368427</v>
      </c>
      <c r="F13" s="44">
        <f t="shared" si="0"/>
        <v>0.65841808058827322</v>
      </c>
      <c r="G13" s="46">
        <v>0.69999620745582647</v>
      </c>
      <c r="H13" s="163">
        <f t="shared" si="2"/>
        <v>0.65841808058827322</v>
      </c>
    </row>
    <row r="14" spans="2:74" ht="15" x14ac:dyDescent="0.2">
      <c r="B14" s="43"/>
      <c r="C14" s="26">
        <v>5</v>
      </c>
      <c r="D14" s="141">
        <v>121.31447368421055</v>
      </c>
      <c r="E14" s="28">
        <f t="shared" si="1"/>
        <v>24.26289473684211</v>
      </c>
      <c r="F14" s="45">
        <f t="shared" si="0"/>
        <v>0.6430155296153186</v>
      </c>
      <c r="G14" s="47">
        <v>0.70003746054731775</v>
      </c>
      <c r="H14" s="164">
        <f t="shared" si="2"/>
        <v>0.6430155296153186</v>
      </c>
    </row>
    <row r="15" spans="2:74" ht="15" x14ac:dyDescent="0.2">
      <c r="B15" s="42"/>
      <c r="C15" s="16">
        <v>10</v>
      </c>
      <c r="D15" s="140">
        <v>231.00526315789477</v>
      </c>
      <c r="E15" s="27">
        <f t="shared" si="1"/>
        <v>23.100526315789477</v>
      </c>
      <c r="F15" s="44">
        <f t="shared" si="0"/>
        <v>0.6122104276694097</v>
      </c>
      <c r="G15" s="46">
        <v>0.70000995848632352</v>
      </c>
      <c r="H15" s="163">
        <f t="shared" si="2"/>
        <v>0.6122104276694097</v>
      </c>
    </row>
    <row r="16" spans="2:74" ht="15" x14ac:dyDescent="0.2">
      <c r="B16" s="42"/>
      <c r="C16" s="16">
        <v>20</v>
      </c>
      <c r="D16" s="140">
        <v>450.38684210526321</v>
      </c>
      <c r="E16" s="27">
        <f t="shared" si="1"/>
        <v>22.51934210526316</v>
      </c>
      <c r="F16" s="44">
        <f t="shared" si="0"/>
        <v>0.59680787669645508</v>
      </c>
      <c r="G16" s="46">
        <v>0.69999620745582647</v>
      </c>
      <c r="H16" s="163">
        <f t="shared" si="2"/>
        <v>0.59680787669645508</v>
      </c>
    </row>
    <row r="17" spans="1:31" ht="15" x14ac:dyDescent="0.2">
      <c r="B17" s="42"/>
      <c r="C17" s="16">
        <v>30</v>
      </c>
      <c r="D17" s="140">
        <v>669.76842105263165</v>
      </c>
      <c r="E17" s="27">
        <f t="shared" si="1"/>
        <v>22.325614035087721</v>
      </c>
      <c r="F17" s="44">
        <f t="shared" si="0"/>
        <v>0.59167369303880357</v>
      </c>
      <c r="G17" s="46">
        <v>0.70001912583998827</v>
      </c>
      <c r="H17" s="163">
        <f t="shared" si="2"/>
        <v>0.59167369303880357</v>
      </c>
    </row>
    <row r="18" spans="1:31" ht="15" x14ac:dyDescent="0.2">
      <c r="B18" s="43"/>
      <c r="C18" s="26">
        <v>40</v>
      </c>
      <c r="D18" s="141">
        <v>889.15000000000009</v>
      </c>
      <c r="E18" s="28">
        <f t="shared" si="1"/>
        <v>22.228750000000002</v>
      </c>
      <c r="F18" s="45">
        <f t="shared" si="0"/>
        <v>0.58910660120997782</v>
      </c>
      <c r="G18" s="47">
        <v>0.69999620745582647</v>
      </c>
      <c r="H18" s="164">
        <f t="shared" si="2"/>
        <v>0.58910660120997782</v>
      </c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2"/>
    </row>
    <row r="19" spans="1:31" ht="15" x14ac:dyDescent="0.2">
      <c r="A19" s="1"/>
      <c r="B19" s="42"/>
      <c r="C19" s="16">
        <v>50</v>
      </c>
      <c r="D19" s="140">
        <v>1108.5315789473684</v>
      </c>
      <c r="E19" s="27">
        <f t="shared" si="1"/>
        <v>22.170631578947368</v>
      </c>
      <c r="F19" s="44">
        <f t="shared" si="0"/>
        <v>0.58756634611268244</v>
      </c>
      <c r="G19" s="46">
        <v>0.69998795683752812</v>
      </c>
      <c r="H19" s="163">
        <f t="shared" si="2"/>
        <v>0.58756634611268244</v>
      </c>
      <c r="J19" s="13"/>
      <c r="K19" s="14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31" t="s">
        <v>27</v>
      </c>
      <c r="AA19" s="9"/>
      <c r="AB19" s="9"/>
      <c r="AC19" s="9"/>
      <c r="AD19" s="15"/>
    </row>
    <row r="20" spans="1:31" x14ac:dyDescent="0.2">
      <c r="A20" s="1"/>
      <c r="D20" s="9"/>
      <c r="J20" s="13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5"/>
    </row>
    <row r="21" spans="1:31" x14ac:dyDescent="0.2">
      <c r="J21" s="13"/>
      <c r="K21" s="14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5"/>
    </row>
    <row r="22" spans="1:31" x14ac:dyDescent="0.2">
      <c r="J22" s="13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5"/>
    </row>
    <row r="23" spans="1:31" x14ac:dyDescent="0.2">
      <c r="J23" s="1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5"/>
    </row>
    <row r="24" spans="1:31" x14ac:dyDescent="0.2">
      <c r="J24" s="1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5"/>
    </row>
    <row r="25" spans="1:31" ht="15" x14ac:dyDescent="0.25">
      <c r="A25" s="158"/>
      <c r="B25" s="151">
        <v>48</v>
      </c>
      <c r="C25" s="152">
        <f>B25+$C26</f>
        <v>50.5</v>
      </c>
      <c r="D25" s="152">
        <f>C25+$C26</f>
        <v>53</v>
      </c>
      <c r="E25" s="152">
        <f>D25+$C26</f>
        <v>55.5</v>
      </c>
      <c r="F25" s="152">
        <f>E25+$C26</f>
        <v>58</v>
      </c>
      <c r="G25" s="152">
        <f>F25+$C26</f>
        <v>60.5</v>
      </c>
      <c r="H25" s="151">
        <v>63</v>
      </c>
      <c r="J25" s="146" t="s">
        <v>65</v>
      </c>
      <c r="K25" s="146" t="s">
        <v>66</v>
      </c>
      <c r="L25" s="146"/>
      <c r="M25" s="9"/>
      <c r="N25" s="146" t="s">
        <v>66</v>
      </c>
      <c r="O25" s="146"/>
      <c r="P25" s="9"/>
      <c r="Q25" s="146" t="s">
        <v>66</v>
      </c>
      <c r="R25" s="146"/>
      <c r="T25" s="146" t="s">
        <v>66</v>
      </c>
      <c r="U25" s="146"/>
      <c r="W25" s="146" t="s">
        <v>66</v>
      </c>
      <c r="X25" s="146"/>
      <c r="Z25" s="146" t="s">
        <v>66</v>
      </c>
      <c r="AA25" s="146"/>
      <c r="AC25" s="146" t="s">
        <v>66</v>
      </c>
      <c r="AD25" s="146"/>
    </row>
    <row r="26" spans="1:31" ht="15" x14ac:dyDescent="0.25">
      <c r="A26" s="1"/>
      <c r="B26" s="34"/>
      <c r="C26" s="153">
        <f>(H25-B25)/6</f>
        <v>2.5</v>
      </c>
      <c r="D26" s="9"/>
      <c r="E26" s="9"/>
      <c r="G26" s="9"/>
      <c r="H26" s="9"/>
      <c r="J26" s="147">
        <v>2</v>
      </c>
      <c r="K26" s="154">
        <f>B25</f>
        <v>48</v>
      </c>
      <c r="L26" s="155">
        <f>L33</f>
        <v>0.63604829012155339</v>
      </c>
      <c r="M26" s="145"/>
      <c r="N26" s="154">
        <f>C25</f>
        <v>50.5</v>
      </c>
      <c r="O26" s="155">
        <f>O33</f>
        <v>0.66917580523205045</v>
      </c>
      <c r="P26" s="145"/>
      <c r="Q26" s="154">
        <f>D25</f>
        <v>53</v>
      </c>
      <c r="R26" s="155">
        <f>R33</f>
        <v>0.70230332034254872</v>
      </c>
      <c r="S26" s="145"/>
      <c r="T26" s="154">
        <f>E25</f>
        <v>55.5</v>
      </c>
      <c r="U26" s="155">
        <f>U33</f>
        <v>0.73543083545304577</v>
      </c>
      <c r="V26" s="145"/>
      <c r="W26" s="154">
        <f>F25</f>
        <v>58</v>
      </c>
      <c r="X26" s="155">
        <f>X33</f>
        <v>0.76855835056354271</v>
      </c>
      <c r="Y26" s="145"/>
      <c r="Z26" s="154">
        <f>G25</f>
        <v>60.5</v>
      </c>
      <c r="AA26" s="155">
        <f>AA33</f>
        <v>0.80168586567404043</v>
      </c>
      <c r="AB26" s="145"/>
      <c r="AC26" s="154">
        <f>H25</f>
        <v>63</v>
      </c>
      <c r="AD26" s="155">
        <f>AD33</f>
        <v>0.83481338078453726</v>
      </c>
    </row>
    <row r="27" spans="1:31" ht="15" x14ac:dyDescent="0.25">
      <c r="A27" s="1"/>
      <c r="B27" s="151">
        <v>778.3</v>
      </c>
      <c r="C27" s="152">
        <f>B27+$C28</f>
        <v>815.25</v>
      </c>
      <c r="D27" s="152">
        <f>C27+$C28</f>
        <v>852.2</v>
      </c>
      <c r="E27" s="152">
        <f>D27+$C28</f>
        <v>889.15000000000009</v>
      </c>
      <c r="F27" s="152">
        <f>E27+$C28</f>
        <v>926.10000000000014</v>
      </c>
      <c r="G27" s="152">
        <f>F27+$C28</f>
        <v>963.05000000000018</v>
      </c>
      <c r="H27" s="151">
        <v>1000</v>
      </c>
      <c r="J27" s="147">
        <v>40</v>
      </c>
      <c r="K27" s="154">
        <f>B27</f>
        <v>778.3</v>
      </c>
      <c r="L27" s="155">
        <f>L36</f>
        <v>0.56001541228268059</v>
      </c>
      <c r="M27" s="145"/>
      <c r="N27" s="154">
        <f>C27</f>
        <v>815.25</v>
      </c>
      <c r="O27" s="155">
        <f>O36</f>
        <v>0.58768211806022652</v>
      </c>
      <c r="P27" s="145"/>
      <c r="Q27" s="154">
        <f>D27</f>
        <v>852.2</v>
      </c>
      <c r="R27" s="155">
        <f>R36</f>
        <v>0.61534882383777278</v>
      </c>
      <c r="S27" s="145"/>
      <c r="T27" s="154">
        <f>E27</f>
        <v>889.15000000000009</v>
      </c>
      <c r="U27" s="155">
        <f>U36</f>
        <v>0.6430155296153186</v>
      </c>
      <c r="V27" s="145"/>
      <c r="W27" s="154">
        <f>F27</f>
        <v>926.10000000000014</v>
      </c>
      <c r="X27" s="155">
        <f>X36</f>
        <v>0.67068223539286453</v>
      </c>
      <c r="Y27" s="145"/>
      <c r="Z27" s="154">
        <f>G27</f>
        <v>963.05000000000018</v>
      </c>
      <c r="AA27" s="155">
        <f>AA36</f>
        <v>0.69834894117041069</v>
      </c>
      <c r="AB27" s="145"/>
      <c r="AC27" s="154">
        <f>H27</f>
        <v>1000</v>
      </c>
      <c r="AD27" s="102">
        <f>AD36</f>
        <v>0.72601564694795628</v>
      </c>
    </row>
    <row r="28" spans="1:31" x14ac:dyDescent="0.2">
      <c r="A28" s="1"/>
      <c r="B28" s="150"/>
      <c r="C28" s="153">
        <f>(H27-B27)/6</f>
        <v>36.95000000000001</v>
      </c>
      <c r="D28" s="9"/>
      <c r="F28" s="9"/>
      <c r="G28" s="9"/>
      <c r="J28" s="82"/>
      <c r="K28" s="82"/>
      <c r="L28" s="102">
        <f>L40</f>
        <v>0.51566290021000472</v>
      </c>
      <c r="N28" s="82"/>
      <c r="O28" s="102">
        <f>O40</f>
        <v>0.54014413387666249</v>
      </c>
      <c r="Q28" s="82"/>
      <c r="R28" s="102">
        <f>R40</f>
        <v>0.56462536754332016</v>
      </c>
      <c r="T28" s="82"/>
      <c r="U28" s="102">
        <f>U40</f>
        <v>0.58910660120997782</v>
      </c>
      <c r="W28" s="82"/>
      <c r="X28" s="102">
        <f>X40</f>
        <v>0.6135878348766356</v>
      </c>
      <c r="Z28" s="82"/>
      <c r="AA28" s="102">
        <f>AA40</f>
        <v>0.63806906854329337</v>
      </c>
      <c r="AC28" s="82"/>
      <c r="AD28" s="102">
        <f>AD40</f>
        <v>0.66255030220995093</v>
      </c>
    </row>
    <row r="29" spans="1:31" x14ac:dyDescent="0.2">
      <c r="A29" s="1" t="s">
        <v>22</v>
      </c>
      <c r="J29" s="82"/>
      <c r="K29" s="148" cm="1">
        <f t="array" ref="K29">_xlfn.SINGLE(INDEX(LINEST(K26:K27,($J26:$J27)^{1}),1))</f>
        <v>19.218421052631577</v>
      </c>
      <c r="L29" s="82"/>
      <c r="N29" s="148" cm="1">
        <f t="array" ref="N29">_xlfn.SINGLE(INDEX(LINEST(N26:N27,($J26:$J27)^{1}),1))</f>
        <v>20.125</v>
      </c>
      <c r="O29" s="82"/>
      <c r="Q29" s="148" cm="1">
        <f t="array" ref="Q29">_xlfn.SINGLE(INDEX(LINEST(Q26:Q27,($J26:$J27)^{1}),1))</f>
        <v>21.03157894736842</v>
      </c>
      <c r="R29" s="82"/>
      <c r="T29" s="148" cm="1">
        <f t="array" ref="T29">_xlfn.SINGLE(INDEX(LINEST(T26:T27,($J26:$J27)^{1}),1))</f>
        <v>21.938157894736843</v>
      </c>
      <c r="U29" s="82"/>
      <c r="W29" s="148" cm="1">
        <f t="array" ref="W29">_xlfn.SINGLE(INDEX(LINEST(W26:W27,($J26:$J27)^{1}),1))</f>
        <v>22.844736842105267</v>
      </c>
      <c r="X29" s="82"/>
      <c r="Z29" s="148" cm="1">
        <f t="array" ref="Z29">_xlfn.SINGLE(INDEX(LINEST(Z26:Z27,($J26:$J27)^{1}),1))</f>
        <v>23.75131578947369</v>
      </c>
      <c r="AA29" s="82"/>
      <c r="AC29" s="148" cm="1">
        <f t="array" ref="AC29">_xlfn.SINGLE(INDEX(LINEST(AC26:AC27,($J26:$J27)^{1}),1))</f>
        <v>24.657894736842106</v>
      </c>
      <c r="AD29" s="82"/>
    </row>
    <row r="30" spans="1:31" x14ac:dyDescent="0.2">
      <c r="A30" s="33"/>
      <c r="B30" s="161"/>
      <c r="C30" s="162"/>
      <c r="J30" s="82"/>
      <c r="K30" s="148" cm="1">
        <f t="array" ref="K30">INDEX(LINEST(K26:K27,($J26:$J27)^{1}),1,2)</f>
        <v>9.5631578947368894</v>
      </c>
      <c r="L30" s="82"/>
      <c r="N30" s="148" cm="1">
        <f t="array" ref="N30">INDEX(LINEST(N26:N27,($J26:$J27)^{1}),1,2)</f>
        <v>10.25</v>
      </c>
      <c r="O30" s="82"/>
      <c r="Q30" s="148" cm="1">
        <f t="array" ref="Q30">INDEX(LINEST(Q26:Q27,($J26:$J27)^{1}),1,2)</f>
        <v>10.936842105263224</v>
      </c>
      <c r="R30" s="82"/>
      <c r="T30" s="148" cm="1">
        <f t="array" ref="T30">INDEX(LINEST(T26:T27,($J26:$J27)^{1}),1,2)</f>
        <v>11.623684210526335</v>
      </c>
      <c r="U30" s="82"/>
      <c r="W30" s="148" cm="1">
        <f t="array" ref="W30">INDEX(LINEST(W26:W27,($J26:$J27)^{1}),1,2)</f>
        <v>12.310526315789446</v>
      </c>
      <c r="X30" s="82"/>
      <c r="Z30" s="148" cm="1">
        <f t="array" ref="Z30">INDEX(LINEST(Z26:Z27,($J26:$J27)^{1}),1,2)</f>
        <v>12.997368421052613</v>
      </c>
      <c r="AA30" s="82"/>
      <c r="AC30" s="148" cm="1">
        <f t="array" ref="AC30">INDEX(LINEST(AC26:AC27,($J26:$J27)^{1}),1,2)</f>
        <v>13.684210526315724</v>
      </c>
      <c r="AD30" s="82"/>
    </row>
    <row r="31" spans="1:31" x14ac:dyDescent="0.2">
      <c r="A31" s="33"/>
      <c r="J31" s="82"/>
      <c r="K31" s="82"/>
      <c r="L31" s="18" t="s">
        <v>4</v>
      </c>
      <c r="N31" s="82"/>
      <c r="O31" s="18" t="s">
        <v>4</v>
      </c>
      <c r="Q31" s="82"/>
      <c r="R31" s="18" t="s">
        <v>4</v>
      </c>
      <c r="T31" s="82"/>
      <c r="U31" s="18" t="s">
        <v>4</v>
      </c>
      <c r="W31" s="82"/>
      <c r="X31" s="18" t="s">
        <v>4</v>
      </c>
      <c r="Z31" s="82"/>
      <c r="AA31" s="18" t="s">
        <v>4</v>
      </c>
      <c r="AC31" s="82"/>
      <c r="AD31" s="18" t="s">
        <v>4</v>
      </c>
    </row>
    <row r="32" spans="1:31" x14ac:dyDescent="0.2">
      <c r="J32" s="16">
        <v>1</v>
      </c>
      <c r="K32" s="149">
        <f>(K29*$J32)+K30</f>
        <v>28.781578947368466</v>
      </c>
      <c r="L32" s="163">
        <v>0.76276975318634155</v>
      </c>
      <c r="N32" s="149">
        <f>(N29*$J32)+N30</f>
        <v>30.375</v>
      </c>
      <c r="O32" s="163">
        <v>0.80499861718509036</v>
      </c>
      <c r="Q32" s="149">
        <f>(Q29*$J32)+Q30</f>
        <v>31.968421052631644</v>
      </c>
      <c r="R32" s="163">
        <v>0.84722748118384206</v>
      </c>
      <c r="T32" s="149">
        <f>(T29*$J32)+T30</f>
        <v>33.561842105263182</v>
      </c>
      <c r="U32" s="163">
        <v>0.88945634518259098</v>
      </c>
      <c r="V32" s="182"/>
      <c r="W32" s="149">
        <f>(W29*$J32)+W30</f>
        <v>35.155263157894709</v>
      </c>
      <c r="X32" s="163">
        <v>0.93168520918133968</v>
      </c>
      <c r="Z32" s="149">
        <f>(Z29*$J32)+Z30</f>
        <v>36.748684210526307</v>
      </c>
      <c r="AA32" s="163">
        <v>0.97391407318009016</v>
      </c>
      <c r="AC32" s="149">
        <f>(AC29*$J32)+AC30</f>
        <v>38.342105263157833</v>
      </c>
      <c r="AD32" s="163">
        <v>1.0161429371788389</v>
      </c>
      <c r="AE32" s="160"/>
    </row>
    <row r="33" spans="1:31" x14ac:dyDescent="0.2">
      <c r="A33" s="19"/>
      <c r="G33" s="9"/>
      <c r="H33" s="14"/>
      <c r="J33" s="26">
        <v>2</v>
      </c>
      <c r="K33" s="165">
        <f>(K29*$J33)+K30</f>
        <v>48.000000000000043</v>
      </c>
      <c r="L33" s="164">
        <v>0.63604829012155339</v>
      </c>
      <c r="N33" s="165">
        <f>(N29*$J33)+N30</f>
        <v>50.5</v>
      </c>
      <c r="O33" s="164">
        <v>0.66917580523205045</v>
      </c>
      <c r="Q33" s="165">
        <f>(Q29*$J33)+Q30</f>
        <v>53.000000000000064</v>
      </c>
      <c r="R33" s="164">
        <v>0.70230332034254872</v>
      </c>
      <c r="T33" s="165">
        <f>(T29*$J33)+T30</f>
        <v>55.500000000000021</v>
      </c>
      <c r="U33" s="164">
        <v>0.73543083545304577</v>
      </c>
      <c r="W33" s="165">
        <f>(W29*$J33)+W30</f>
        <v>57.999999999999979</v>
      </c>
      <c r="X33" s="164">
        <v>0.76855835056354271</v>
      </c>
      <c r="Z33" s="165">
        <f>(Z29*$J33)+Z30</f>
        <v>60.499999999999993</v>
      </c>
      <c r="AA33" s="164">
        <v>0.80168586567404043</v>
      </c>
      <c r="AC33" s="165">
        <f>(AC29*$J33)+AC30</f>
        <v>62.999999999999936</v>
      </c>
      <c r="AD33" s="164">
        <v>0.83481338078453726</v>
      </c>
      <c r="AE33" s="160"/>
    </row>
    <row r="34" spans="1:31" x14ac:dyDescent="0.2">
      <c r="J34" s="16">
        <v>3</v>
      </c>
      <c r="K34" s="149">
        <f>(K29*$J34)+K30</f>
        <v>67.218421052631612</v>
      </c>
      <c r="L34" s="163">
        <v>0.59380780243329068</v>
      </c>
      <c r="N34" s="149">
        <f>(N29*$J34)+N30</f>
        <v>70.625</v>
      </c>
      <c r="O34" s="163">
        <v>0.62390153458103703</v>
      </c>
      <c r="Q34" s="149">
        <f>(Q29*$J34)+Q30</f>
        <v>74.031578947368487</v>
      </c>
      <c r="R34" s="163">
        <v>0.65399526672878439</v>
      </c>
      <c r="T34" s="149">
        <f>(T29*$J34)+T30</f>
        <v>77.438157894736861</v>
      </c>
      <c r="U34" s="163">
        <v>0.68408899887653074</v>
      </c>
      <c r="W34" s="149">
        <f>(W29*$J34)+W30</f>
        <v>80.844736842105249</v>
      </c>
      <c r="X34" s="163">
        <v>0.71418273102427721</v>
      </c>
      <c r="Z34" s="149">
        <f>(Z29*$J34)+Z30</f>
        <v>84.251315789473679</v>
      </c>
      <c r="AA34" s="163">
        <v>0.74427646317202389</v>
      </c>
      <c r="AC34" s="149">
        <f>(AC29*$J34)+AC30</f>
        <v>87.657894736842039</v>
      </c>
      <c r="AD34" s="163">
        <v>0.77437019531977003</v>
      </c>
      <c r="AE34" s="160"/>
    </row>
    <row r="35" spans="1:31" x14ac:dyDescent="0.2">
      <c r="B35" s="29"/>
      <c r="C35" s="9"/>
      <c r="E35" s="9"/>
      <c r="F35" s="9"/>
      <c r="G35" s="17"/>
      <c r="H35" s="9"/>
      <c r="I35" s="9"/>
      <c r="J35" s="16">
        <v>4</v>
      </c>
      <c r="K35" s="149">
        <f>(K29*$J35)+K30</f>
        <v>86.436842105263196</v>
      </c>
      <c r="L35" s="163">
        <v>0.57268755858915932</v>
      </c>
      <c r="N35" s="149">
        <f>(N29*$J35)+N30</f>
        <v>90.75</v>
      </c>
      <c r="O35" s="163">
        <v>0.60126439925553044</v>
      </c>
      <c r="Q35" s="149">
        <f>(Q29*$J35)+Q30</f>
        <v>95.063157894736904</v>
      </c>
      <c r="R35" s="163">
        <v>0.62984123992190211</v>
      </c>
      <c r="T35" s="149">
        <f>(T29*$J35)+T30</f>
        <v>99.376315789473708</v>
      </c>
      <c r="U35" s="163">
        <v>0.65841808058827322</v>
      </c>
      <c r="W35" s="149">
        <f>(W29*$J35)+W30</f>
        <v>103.68947368421051</v>
      </c>
      <c r="X35" s="163">
        <v>0.68699492125464423</v>
      </c>
      <c r="Z35" s="149">
        <f>(Z29*$J35)+Z30</f>
        <v>108.00263157894737</v>
      </c>
      <c r="AA35" s="163">
        <v>0.71557176192101568</v>
      </c>
      <c r="AC35" s="149">
        <f>(AC29*$J35)+AC30</f>
        <v>112.31578947368415</v>
      </c>
      <c r="AD35" s="163">
        <v>0.74414860258738647</v>
      </c>
      <c r="AE35" s="160"/>
    </row>
    <row r="36" spans="1:31" x14ac:dyDescent="0.2">
      <c r="E36" s="34"/>
      <c r="F36" s="9"/>
      <c r="G36" s="14"/>
      <c r="H36" s="9"/>
      <c r="I36" s="9"/>
      <c r="J36" s="26">
        <v>5</v>
      </c>
      <c r="K36" s="165">
        <f>(K29*$J36)+K30</f>
        <v>105.65526315789478</v>
      </c>
      <c r="L36" s="164">
        <v>0.56001541228268059</v>
      </c>
      <c r="N36" s="165">
        <f>(N29*$J36)+N30</f>
        <v>110.875</v>
      </c>
      <c r="O36" s="164">
        <v>0.58768211806022652</v>
      </c>
      <c r="Q36" s="165">
        <f>(Q29*$J36)+Q30</f>
        <v>116.09473684210532</v>
      </c>
      <c r="R36" s="164">
        <v>0.61534882383777278</v>
      </c>
      <c r="T36" s="165">
        <f>(T29*$J36)+T30</f>
        <v>121.31447368421055</v>
      </c>
      <c r="U36" s="164">
        <v>0.6430155296153186</v>
      </c>
      <c r="W36" s="165">
        <f>(W29*$J36)+W30</f>
        <v>126.53421052631577</v>
      </c>
      <c r="X36" s="164">
        <v>0.67068223539286453</v>
      </c>
      <c r="Z36" s="165">
        <f>(Z29*$J36)+Z30</f>
        <v>131.75394736842105</v>
      </c>
      <c r="AA36" s="164">
        <v>0.69834894117041069</v>
      </c>
      <c r="AC36" s="165">
        <f>(AC29*$J36)+AC30</f>
        <v>136.97368421052624</v>
      </c>
      <c r="AD36" s="164">
        <v>0.72601564694795628</v>
      </c>
      <c r="AE36" s="160"/>
    </row>
    <row r="37" spans="1:31" x14ac:dyDescent="0.2">
      <c r="F37" s="9"/>
      <c r="G37" s="9"/>
      <c r="H37" s="48"/>
      <c r="I37" s="9"/>
      <c r="J37" s="16">
        <v>10</v>
      </c>
      <c r="K37" s="149">
        <f>(K29*$J37)+K30</f>
        <v>201.74736842105267</v>
      </c>
      <c r="L37" s="163">
        <v>0.53467111966972303</v>
      </c>
      <c r="N37" s="149">
        <f>(N29*$J37)+N30</f>
        <v>211.5</v>
      </c>
      <c r="O37" s="163">
        <v>0.56051755566961836</v>
      </c>
      <c r="Q37" s="149">
        <f>(Q29*$J37)+Q30</f>
        <v>221.25263157894742</v>
      </c>
      <c r="R37" s="163">
        <v>0.58636399166951414</v>
      </c>
      <c r="T37" s="149">
        <f>(T29*$J37)+T30</f>
        <v>231.00526315789477</v>
      </c>
      <c r="U37" s="163">
        <v>0.6122104276694097</v>
      </c>
      <c r="W37" s="149">
        <f>(W29*$J37)+W30</f>
        <v>240.7578947368421</v>
      </c>
      <c r="X37" s="163">
        <v>0.63805686366930514</v>
      </c>
      <c r="Z37" s="149">
        <f>(Z29*$J37)+Z30</f>
        <v>250.51052631578952</v>
      </c>
      <c r="AA37" s="163">
        <v>0.66390329966920081</v>
      </c>
      <c r="AC37" s="149">
        <f>(AC29*$J37)+AC30</f>
        <v>260.26315789473676</v>
      </c>
      <c r="AD37" s="163">
        <v>0.68974973566909603</v>
      </c>
      <c r="AE37" s="160"/>
    </row>
    <row r="38" spans="1:31" x14ac:dyDescent="0.2">
      <c r="I38" s="9"/>
      <c r="J38" s="16">
        <v>20</v>
      </c>
      <c r="K38" s="149">
        <f>(K29*$J38)+K30</f>
        <v>393.93157894736845</v>
      </c>
      <c r="L38" s="163">
        <v>0.52199897336324419</v>
      </c>
      <c r="N38" s="149">
        <f>(N29*$J38)+N30</f>
        <v>412.75</v>
      </c>
      <c r="O38" s="163">
        <v>0.54693527447431445</v>
      </c>
      <c r="Q38" s="149">
        <f>(Q29*$J38)+Q30</f>
        <v>431.56842105263161</v>
      </c>
      <c r="R38" s="163">
        <v>0.57187157558538471</v>
      </c>
      <c r="T38" s="149">
        <f>(T29*$J38)+T30</f>
        <v>450.38684210526321</v>
      </c>
      <c r="U38" s="163">
        <v>0.59680787669645508</v>
      </c>
      <c r="W38" s="149">
        <f>(W29*$J38)+W30</f>
        <v>469.20526315789476</v>
      </c>
      <c r="X38" s="163">
        <v>0.62174417780752533</v>
      </c>
      <c r="Z38" s="149">
        <f>(Z29*$J38)+Z30</f>
        <v>488.02368421052643</v>
      </c>
      <c r="AA38" s="163">
        <v>0.64668047891859581</v>
      </c>
      <c r="AC38" s="149">
        <f>(AC29*$J38)+AC30</f>
        <v>506.84210526315786</v>
      </c>
      <c r="AD38" s="163">
        <v>0.67161678002966596</v>
      </c>
      <c r="AE38" s="160"/>
    </row>
    <row r="39" spans="1:31" x14ac:dyDescent="0.2">
      <c r="I39" s="9"/>
      <c r="J39" s="16">
        <v>30</v>
      </c>
      <c r="K39" s="149">
        <f>(K29*$J39)+K30</f>
        <v>586.11578947368412</v>
      </c>
      <c r="L39" s="163">
        <v>0.51777492459441787</v>
      </c>
      <c r="N39" s="149">
        <f>(N29*$J39)+N30</f>
        <v>614</v>
      </c>
      <c r="O39" s="163">
        <v>0.54240784740921311</v>
      </c>
      <c r="Q39" s="149">
        <f>(Q29*$J39)+Q30</f>
        <v>641.88421052631588</v>
      </c>
      <c r="R39" s="163">
        <v>0.56704077022400845</v>
      </c>
      <c r="T39" s="149">
        <f>(T29*$J39)+T30</f>
        <v>669.76842105263165</v>
      </c>
      <c r="U39" s="163">
        <v>0.59167369303880357</v>
      </c>
      <c r="W39" s="149">
        <f>(W29*$J39)+W30</f>
        <v>697.65263157894742</v>
      </c>
      <c r="X39" s="163">
        <v>0.61630661585359892</v>
      </c>
      <c r="Z39" s="149">
        <f>(Z29*$J39)+Z30</f>
        <v>725.5368421052633</v>
      </c>
      <c r="AA39" s="163">
        <v>0.64093953866839415</v>
      </c>
      <c r="AC39" s="149">
        <f>(AC29*$J39)+AC30</f>
        <v>753.42105263157896</v>
      </c>
      <c r="AD39" s="163">
        <v>0.66557246148318927</v>
      </c>
      <c r="AE39" s="160"/>
    </row>
    <row r="40" spans="1:31" x14ac:dyDescent="0.2">
      <c r="I40" s="9"/>
      <c r="J40" s="26">
        <v>40</v>
      </c>
      <c r="K40" s="165">
        <f>(K29*$J40)+K30</f>
        <v>778.3</v>
      </c>
      <c r="L40" s="164">
        <v>0.51566290021000472</v>
      </c>
      <c r="N40" s="165">
        <f>(N29*$J40)+N30</f>
        <v>815.25</v>
      </c>
      <c r="O40" s="164">
        <v>0.54014413387666249</v>
      </c>
      <c r="Q40" s="165">
        <f>(Q29*$J40)+Q30</f>
        <v>852.2</v>
      </c>
      <c r="R40" s="164">
        <v>0.56462536754332016</v>
      </c>
      <c r="T40" s="165">
        <f>(T29*$J40)+T30</f>
        <v>889.15000000000009</v>
      </c>
      <c r="U40" s="164">
        <v>0.58910660120997782</v>
      </c>
      <c r="W40" s="165">
        <f>(W29*$J40)+W30</f>
        <v>926.10000000000014</v>
      </c>
      <c r="X40" s="164">
        <v>0.6135878348766356</v>
      </c>
      <c r="Z40" s="165">
        <f>(Z29*$J40)+Z30</f>
        <v>963.05000000000018</v>
      </c>
      <c r="AA40" s="164">
        <v>0.63806906854329337</v>
      </c>
      <c r="AC40" s="165">
        <f>(AC29*$J40)+AC30</f>
        <v>1000</v>
      </c>
      <c r="AD40" s="164">
        <v>0.66255030220995093</v>
      </c>
      <c r="AE40" s="160"/>
    </row>
    <row r="41" spans="1:31" x14ac:dyDescent="0.2">
      <c r="I41" s="16"/>
      <c r="J41" s="16">
        <v>50</v>
      </c>
      <c r="K41" s="149">
        <f>(K29*$J41)+K30</f>
        <v>970.48421052631579</v>
      </c>
      <c r="L41" s="163">
        <v>0.51439568557935689</v>
      </c>
      <c r="N41" s="149">
        <f>(N29*$J41)+N30</f>
        <v>1016.5</v>
      </c>
      <c r="O41" s="163">
        <v>0.53878590575713203</v>
      </c>
      <c r="Q41" s="149">
        <f>(Q29*$J41)+Q30</f>
        <v>1062.5157894736842</v>
      </c>
      <c r="R41" s="163">
        <v>0.56317612593490729</v>
      </c>
      <c r="T41" s="149">
        <f>(T29*$J41)+T30</f>
        <v>1108.5315789473684</v>
      </c>
      <c r="U41" s="163">
        <v>0.58756634611268244</v>
      </c>
      <c r="W41" s="149">
        <f>(W29*$J41)+W30</f>
        <v>1154.5473684210529</v>
      </c>
      <c r="X41" s="163">
        <v>0.61195656629045758</v>
      </c>
      <c r="Z41" s="149">
        <f>(Z29*$J41)+Z30</f>
        <v>1200.5631578947371</v>
      </c>
      <c r="AA41" s="163">
        <v>0.63634678646823284</v>
      </c>
      <c r="AC41" s="149">
        <f>(AC29*$J41)+AC30</f>
        <v>1246.5789473684208</v>
      </c>
      <c r="AD41" s="163">
        <v>0.66073700664600776</v>
      </c>
      <c r="AE41" s="160"/>
    </row>
    <row r="42" spans="1:31" x14ac:dyDescent="0.2">
      <c r="I42" s="9"/>
      <c r="N42" s="172"/>
      <c r="O42" s="173"/>
      <c r="P42" s="173"/>
      <c r="Q42" s="172"/>
      <c r="R42" s="173"/>
      <c r="S42" s="173"/>
      <c r="T42" s="172"/>
      <c r="U42" s="173"/>
      <c r="V42" s="173"/>
      <c r="W42" s="172"/>
      <c r="X42" s="173"/>
      <c r="Y42" s="173"/>
      <c r="Z42" s="172"/>
      <c r="AA42" s="173"/>
      <c r="AB42" s="173"/>
      <c r="AC42" s="172"/>
    </row>
    <row r="43" spans="1:31" x14ac:dyDescent="0.2">
      <c r="I43" s="9"/>
      <c r="K43" s="174"/>
      <c r="L43" s="174"/>
      <c r="M43" s="174"/>
      <c r="N43" s="175"/>
      <c r="O43" s="174"/>
      <c r="P43" s="174"/>
      <c r="Q43" s="175"/>
      <c r="R43" s="174"/>
      <c r="S43" s="174"/>
      <c r="T43" s="175"/>
      <c r="U43" s="174"/>
      <c r="V43" s="174"/>
      <c r="W43" s="175"/>
      <c r="X43" s="174"/>
      <c r="Y43" s="174"/>
      <c r="AA43" s="174"/>
      <c r="AB43" s="174"/>
      <c r="AC43" s="175"/>
      <c r="AD43" s="174"/>
    </row>
    <row r="44" spans="1:31" x14ac:dyDescent="0.2">
      <c r="I44" s="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</row>
    <row r="45" spans="1:31" x14ac:dyDescent="0.2">
      <c r="I45" s="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</row>
    <row r="46" spans="1:31" ht="15" x14ac:dyDescent="0.25">
      <c r="A46" s="159"/>
      <c r="B46" s="151">
        <v>48</v>
      </c>
      <c r="C46" s="152">
        <f>B46+$C47</f>
        <v>50.5</v>
      </c>
      <c r="D46" s="152">
        <f>C46+$C47</f>
        <v>53</v>
      </c>
      <c r="E46" s="152">
        <f>D46+$C47</f>
        <v>55.5</v>
      </c>
      <c r="F46" s="152">
        <f>E46+$C47</f>
        <v>58</v>
      </c>
      <c r="G46" s="152">
        <f>F46+$C47</f>
        <v>60.5</v>
      </c>
      <c r="H46" s="151">
        <v>63</v>
      </c>
      <c r="J46" s="146" t="s">
        <v>65</v>
      </c>
      <c r="K46" s="146" t="s">
        <v>66</v>
      </c>
      <c r="L46" s="146"/>
      <c r="M46" s="9"/>
      <c r="N46" s="146" t="s">
        <v>66</v>
      </c>
      <c r="O46" s="146"/>
      <c r="P46" s="9"/>
      <c r="Q46" s="146" t="s">
        <v>66</v>
      </c>
      <c r="R46" s="146"/>
      <c r="T46" s="146" t="s">
        <v>66</v>
      </c>
      <c r="U46" s="146"/>
      <c r="W46" s="146" t="s">
        <v>66</v>
      </c>
      <c r="X46" s="146"/>
      <c r="Z46" s="146" t="s">
        <v>66</v>
      </c>
      <c r="AA46" s="146"/>
      <c r="AC46" s="146" t="s">
        <v>66</v>
      </c>
      <c r="AD46" s="146"/>
    </row>
    <row r="47" spans="1:31" ht="15" x14ac:dyDescent="0.25">
      <c r="B47" s="34"/>
      <c r="C47" s="153">
        <f>(H46-B46)/6</f>
        <v>2.5</v>
      </c>
      <c r="D47" s="9"/>
      <c r="E47" s="9"/>
      <c r="G47" s="9"/>
      <c r="H47" s="9"/>
      <c r="J47" s="147">
        <v>2</v>
      </c>
      <c r="K47" s="154">
        <f>B46</f>
        <v>48</v>
      </c>
      <c r="L47" s="155">
        <f>L54</f>
        <v>0.63604829012155362</v>
      </c>
      <c r="M47" s="145"/>
      <c r="N47" s="154">
        <f>C46</f>
        <v>50.5</v>
      </c>
      <c r="O47" s="155">
        <f>O54</f>
        <v>0.66917580523205045</v>
      </c>
      <c r="P47" s="145"/>
      <c r="Q47" s="154">
        <f>D46</f>
        <v>53</v>
      </c>
      <c r="R47" s="155">
        <f>R54</f>
        <v>0.70230332034254728</v>
      </c>
      <c r="S47" s="145"/>
      <c r="T47" s="154">
        <f>E46</f>
        <v>55.5</v>
      </c>
      <c r="U47" s="155">
        <f>U54</f>
        <v>0.73543083545304688</v>
      </c>
      <c r="V47" s="145"/>
      <c r="W47" s="154">
        <f>F46</f>
        <v>58</v>
      </c>
      <c r="X47" s="155">
        <f>X54</f>
        <v>0.76855835056354105</v>
      </c>
      <c r="Y47" s="145"/>
      <c r="Z47" s="154">
        <f>G46</f>
        <v>60.5</v>
      </c>
      <c r="AA47" s="155">
        <f>AA54</f>
        <v>0.80168586567403988</v>
      </c>
      <c r="AB47" s="145"/>
      <c r="AC47" s="154">
        <f>H46</f>
        <v>63</v>
      </c>
      <c r="AD47" s="155">
        <f>AD54</f>
        <v>0.83481338078453748</v>
      </c>
    </row>
    <row r="48" spans="1:31" ht="15" x14ac:dyDescent="0.25">
      <c r="B48" s="151">
        <v>825</v>
      </c>
      <c r="C48" s="152">
        <f>B48+$C49</f>
        <v>864.16666666666663</v>
      </c>
      <c r="D48" s="152">
        <f>C48+$C49</f>
        <v>903.33333333333326</v>
      </c>
      <c r="E48" s="152">
        <f>D48+$C49</f>
        <v>942.49999999999989</v>
      </c>
      <c r="F48" s="152">
        <f>E48+$C49</f>
        <v>981.66666666666652</v>
      </c>
      <c r="G48" s="152">
        <f>F48+$C49</f>
        <v>1020.8333333333331</v>
      </c>
      <c r="H48" s="151">
        <v>1060</v>
      </c>
      <c r="J48" s="147">
        <v>40</v>
      </c>
      <c r="K48" s="154">
        <f>B48</f>
        <v>825</v>
      </c>
      <c r="L48" s="155">
        <f>L57</f>
        <v>0.57955715909102046</v>
      </c>
      <c r="M48" s="145"/>
      <c r="N48" s="154">
        <f>C48</f>
        <v>864.16666666666663</v>
      </c>
      <c r="O48" s="155">
        <f>O57</f>
        <v>0.60815143529166016</v>
      </c>
      <c r="P48" s="145"/>
      <c r="Q48" s="154">
        <f>D48</f>
        <v>903.33333333333326</v>
      </c>
      <c r="R48" s="155">
        <f>R57</f>
        <v>0.63674571149229997</v>
      </c>
      <c r="S48" s="145"/>
      <c r="T48" s="154">
        <f>E48</f>
        <v>942.49999999999989</v>
      </c>
      <c r="U48" s="155">
        <f>U57</f>
        <v>0.665339987692941</v>
      </c>
      <c r="V48" s="145"/>
      <c r="W48" s="154">
        <f>F48</f>
        <v>981.66666666666652</v>
      </c>
      <c r="X48" s="155">
        <f>X57</f>
        <v>0.69393426389357937</v>
      </c>
      <c r="Y48" s="145"/>
      <c r="Z48" s="154">
        <f>G48</f>
        <v>1020.8333333333331</v>
      </c>
      <c r="AA48" s="155">
        <f>AA57</f>
        <v>0.72252854009421974</v>
      </c>
      <c r="AB48" s="145"/>
      <c r="AC48" s="154">
        <f>H48</f>
        <v>1060</v>
      </c>
      <c r="AD48" s="102">
        <f>AD57</f>
        <v>0.75112281629485977</v>
      </c>
    </row>
    <row r="49" spans="2:31" x14ac:dyDescent="0.2">
      <c r="B49" s="150"/>
      <c r="C49" s="153">
        <f>(H48-B48)/6</f>
        <v>39.166666666666664</v>
      </c>
      <c r="D49" s="9"/>
      <c r="F49" s="9"/>
      <c r="G49" s="9"/>
      <c r="J49" s="82"/>
      <c r="K49" s="82"/>
      <c r="L49" s="102">
        <f>L61</f>
        <v>0.54660399932320947</v>
      </c>
      <c r="N49" s="82"/>
      <c r="O49" s="102">
        <f>O61</f>
        <v>0.57255388615976588</v>
      </c>
      <c r="Q49" s="82"/>
      <c r="R49" s="102">
        <f>R61</f>
        <v>0.59850377299632229</v>
      </c>
      <c r="T49" s="82"/>
      <c r="U49" s="102">
        <f>U61</f>
        <v>0.62445365983287848</v>
      </c>
      <c r="W49" s="82"/>
      <c r="X49" s="102">
        <f>X61</f>
        <v>0.65040354666943512</v>
      </c>
      <c r="Z49" s="82"/>
      <c r="AA49" s="102">
        <f>AA61</f>
        <v>0.67635343350599131</v>
      </c>
      <c r="AC49" s="82"/>
      <c r="AD49" s="102">
        <f>AD61</f>
        <v>0.70230332034254794</v>
      </c>
    </row>
    <row r="50" spans="2:31" x14ac:dyDescent="0.2">
      <c r="B50" s="161" t="s">
        <v>68</v>
      </c>
      <c r="J50" s="82"/>
      <c r="K50" s="148" cm="1">
        <f t="array" ref="K50">_xlfn.SINGLE(INDEX(LINEST(K47:K48,($J47:$J48)^{1}),1))</f>
        <v>20.44736842105263</v>
      </c>
      <c r="L50" s="82"/>
      <c r="N50" s="148" cm="1">
        <f t="array" ref="N50">_xlfn.SINGLE(INDEX(LINEST(N47:N48,($J47:$J48)^{1}),1))</f>
        <v>21.412280701754383</v>
      </c>
      <c r="O50" s="82"/>
      <c r="Q50" s="148" cm="1">
        <f t="array" ref="Q50">_xlfn.SINGLE(INDEX(LINEST(Q47:Q48,($J47:$J48)^{1}),1))</f>
        <v>22.37719298245614</v>
      </c>
      <c r="R50" s="82"/>
      <c r="T50" s="148" cm="1">
        <f t="array" ref="T50">_xlfn.SINGLE(INDEX(LINEST(T47:T48,($J47:$J48)^{1}),1))</f>
        <v>23.342105263157887</v>
      </c>
      <c r="U50" s="82"/>
      <c r="W50" s="148" cm="1">
        <f t="array" ref="W50">_xlfn.SINGLE(INDEX(LINEST(W47:W48,($J47:$J48)^{1}),1))</f>
        <v>24.307017543859654</v>
      </c>
      <c r="X50" s="82"/>
      <c r="Z50" s="148" cm="1">
        <f t="array" ref="Z50">_xlfn.SINGLE(INDEX(LINEST(Z47:Z48,($J47:$J48)^{1}),1))</f>
        <v>25.271929824561397</v>
      </c>
      <c r="AA50" s="82"/>
      <c r="AC50" s="148" cm="1">
        <f t="array" ref="AC50">_xlfn.SINGLE(INDEX(LINEST(AC47:AC48,($J47:$J48)^{1}),1))</f>
        <v>26.236842105263158</v>
      </c>
      <c r="AD50" s="82"/>
    </row>
    <row r="51" spans="2:31" x14ac:dyDescent="0.2">
      <c r="J51" s="82"/>
      <c r="K51" s="148" cm="1">
        <f t="array" ref="K51">INDEX(LINEST(K47:K48,($J47:$J48)^{1}),1,2)</f>
        <v>7.1052631578947967</v>
      </c>
      <c r="L51" s="82"/>
      <c r="N51" s="148" cm="1">
        <f t="array" ref="N51">INDEX(LINEST(N47:N48,($J47:$J48)^{1}),1,2)</f>
        <v>7.6754385964912331</v>
      </c>
      <c r="O51" s="82"/>
      <c r="Q51" s="148" cm="1">
        <f t="array" ref="Q51">INDEX(LINEST(Q47:Q48,($J47:$J48)^{1}),1,2)</f>
        <v>8.2456140350876694</v>
      </c>
      <c r="R51" s="82"/>
      <c r="T51" s="148" cm="1">
        <f t="array" ref="T51">INDEX(LINEST(T47:T48,($J47:$J48)^{1}),1,2)</f>
        <v>8.8157894736843332</v>
      </c>
      <c r="U51" s="82"/>
      <c r="W51" s="148" cm="1">
        <f t="array" ref="W51">INDEX(LINEST(W47:W48,($J47:$J48)^{1}),1,2)</f>
        <v>9.3859649122805422</v>
      </c>
      <c r="X51" s="82"/>
      <c r="Z51" s="148" cm="1">
        <f t="array" ref="Z51">INDEX(LINEST(Z47:Z48,($J47:$J48)^{1}),1,2)</f>
        <v>9.9561403508771491</v>
      </c>
      <c r="AA51" s="82"/>
      <c r="AC51" s="148" cm="1">
        <f t="array" ref="AC51">INDEX(LINEST(AC47:AC48,($J47:$J48)^{1}),1,2)</f>
        <v>10.526315789473642</v>
      </c>
      <c r="AD51" s="82"/>
    </row>
    <row r="52" spans="2:31" x14ac:dyDescent="0.2">
      <c r="I52" s="8"/>
      <c r="J52" s="82"/>
      <c r="K52" s="82"/>
      <c r="L52" s="18" t="s">
        <v>4</v>
      </c>
      <c r="N52" s="82"/>
      <c r="O52" s="18" t="s">
        <v>4</v>
      </c>
      <c r="Q52" s="82"/>
      <c r="R52" s="18" t="s">
        <v>4</v>
      </c>
      <c r="T52" s="82"/>
      <c r="U52" s="18" t="s">
        <v>4</v>
      </c>
      <c r="W52" s="82"/>
      <c r="X52" s="18" t="s">
        <v>4</v>
      </c>
      <c r="Z52" s="82"/>
      <c r="AA52" s="18" t="s">
        <v>4</v>
      </c>
      <c r="AC52" s="82"/>
      <c r="AD52" s="18" t="s">
        <v>4</v>
      </c>
    </row>
    <row r="53" spans="2:31" x14ac:dyDescent="0.2">
      <c r="I53" s="8"/>
      <c r="J53" s="16">
        <v>1</v>
      </c>
      <c r="K53" s="149">
        <f>(K50*$J53)+K51</f>
        <v>27.552631578947427</v>
      </c>
      <c r="L53" s="163">
        <v>0.73020017517244218</v>
      </c>
      <c r="N53" s="149">
        <f>(N50*$J53)+N51</f>
        <v>29.087719298245617</v>
      </c>
      <c r="O53" s="163">
        <v>0.77088308846603415</v>
      </c>
      <c r="Q53" s="149">
        <f>(Q50*$J53)+Q51</f>
        <v>30.62280701754381</v>
      </c>
      <c r="R53" s="163">
        <v>0.81156600175962623</v>
      </c>
      <c r="T53" s="149">
        <f>(T50*$J53)+T51</f>
        <v>32.157894736842223</v>
      </c>
      <c r="U53" s="163">
        <v>0.8522489150532242</v>
      </c>
      <c r="V53" s="182"/>
      <c r="W53" s="149">
        <f>(W50*$J53)+W51</f>
        <v>33.6929824561402</v>
      </c>
      <c r="X53" s="163">
        <v>0.89293182834681051</v>
      </c>
      <c r="Z53" s="149">
        <f>(Z50*$J53)+Z51</f>
        <v>35.228070175438546</v>
      </c>
      <c r="AA53" s="163">
        <v>0.93361474164040659</v>
      </c>
      <c r="AC53" s="149">
        <f>(AC50*$J53)+AC51</f>
        <v>36.7631578947368</v>
      </c>
      <c r="AD53" s="163">
        <v>0.97429765493400033</v>
      </c>
      <c r="AE53" s="160"/>
    </row>
    <row r="54" spans="2:31" x14ac:dyDescent="0.2">
      <c r="G54" s="9"/>
      <c r="H54" s="30"/>
      <c r="I54" s="8"/>
      <c r="J54" s="26">
        <v>2</v>
      </c>
      <c r="K54" s="165">
        <f>(K50*$J54)+K51</f>
        <v>48.000000000000057</v>
      </c>
      <c r="L54" s="164">
        <v>0.63604829012155362</v>
      </c>
      <c r="N54" s="165">
        <f>(N50*$J54)+N51</f>
        <v>50.5</v>
      </c>
      <c r="O54" s="164">
        <v>0.66917580523205045</v>
      </c>
      <c r="Q54" s="165">
        <f>(Q50*$J54)+Q51</f>
        <v>52.99999999999995</v>
      </c>
      <c r="R54" s="164">
        <v>0.70230332034254728</v>
      </c>
      <c r="T54" s="165">
        <f>(T50*$J54)+T51</f>
        <v>55.500000000000107</v>
      </c>
      <c r="U54" s="164">
        <v>0.73543083545304688</v>
      </c>
      <c r="W54" s="165">
        <f>(W50*$J54)+W51</f>
        <v>57.999999999999851</v>
      </c>
      <c r="X54" s="164">
        <v>0.76855835056354105</v>
      </c>
      <c r="Z54" s="165">
        <f>(Z50*$J54)+Z51</f>
        <v>60.499999999999943</v>
      </c>
      <c r="AA54" s="164">
        <v>0.80168586567403988</v>
      </c>
      <c r="AC54" s="165">
        <f>(AC50*$J54)+AC51</f>
        <v>62.999999999999957</v>
      </c>
      <c r="AD54" s="164">
        <v>0.83481338078453748</v>
      </c>
      <c r="AE54" s="160"/>
    </row>
    <row r="55" spans="2:31" x14ac:dyDescent="0.2">
      <c r="H55" s="30"/>
      <c r="I55" s="8"/>
      <c r="J55" s="16">
        <v>3</v>
      </c>
      <c r="K55" s="149">
        <f>(K50*$J55)+K51</f>
        <v>68.447368421052687</v>
      </c>
      <c r="L55" s="163">
        <v>0.60466432843792417</v>
      </c>
      <c r="N55" s="149">
        <f>(N50*$J55)+N51</f>
        <v>71.912280701754383</v>
      </c>
      <c r="O55" s="163">
        <v>0.63527337748738921</v>
      </c>
      <c r="Q55" s="149">
        <f>(Q50*$J55)+Q51</f>
        <v>75.377192982456094</v>
      </c>
      <c r="R55" s="163">
        <v>0.66588242653685425</v>
      </c>
      <c r="T55" s="149">
        <f>(T50*$J55)+T51</f>
        <v>78.84210526315799</v>
      </c>
      <c r="U55" s="163">
        <v>0.69649147558632118</v>
      </c>
      <c r="W55" s="149">
        <f>(W50*$J55)+W51</f>
        <v>82.307017543859502</v>
      </c>
      <c r="X55" s="163">
        <v>0.72710052463578467</v>
      </c>
      <c r="Z55" s="149">
        <f>(Z50*$J55)+Z51</f>
        <v>85.77192982456134</v>
      </c>
      <c r="AA55" s="163">
        <v>0.75770957368525083</v>
      </c>
      <c r="AC55" s="149">
        <f>(AC50*$J55)+AC51</f>
        <v>89.236842105263122</v>
      </c>
      <c r="AD55" s="163">
        <v>0.78831862273471665</v>
      </c>
      <c r="AE55" s="160"/>
    </row>
    <row r="56" spans="2:31" x14ac:dyDescent="0.2">
      <c r="H56" s="30"/>
      <c r="I56" s="8"/>
      <c r="J56" s="16">
        <v>4</v>
      </c>
      <c r="K56" s="149">
        <f>(K50*$J56)+K51</f>
        <v>88.894736842105317</v>
      </c>
      <c r="L56" s="163">
        <v>0.58897234759610939</v>
      </c>
      <c r="N56" s="149">
        <f>(N50*$J56)+N51</f>
        <v>93.324561403508767</v>
      </c>
      <c r="O56" s="163">
        <v>0.61832216361505843</v>
      </c>
      <c r="Q56" s="149">
        <f>(Q50*$J56)+Q51</f>
        <v>97.754385964912231</v>
      </c>
      <c r="R56" s="163">
        <v>0.6476719796340078</v>
      </c>
      <c r="T56" s="149">
        <f>(T50*$J56)+T51</f>
        <v>102.18421052631588</v>
      </c>
      <c r="U56" s="163">
        <v>0.67702179565295828</v>
      </c>
      <c r="W56" s="149">
        <f>(W50*$J56)+W51</f>
        <v>106.61403508771916</v>
      </c>
      <c r="X56" s="163">
        <v>0.70637161167190643</v>
      </c>
      <c r="Z56" s="149">
        <f>(Z50*$J56)+Z51</f>
        <v>111.04385964912274</v>
      </c>
      <c r="AA56" s="163">
        <v>0.73572142769085647</v>
      </c>
      <c r="AC56" s="149">
        <f>(AC50*$J56)+AC51</f>
        <v>115.47368421052627</v>
      </c>
      <c r="AD56" s="163">
        <v>0.76507124370980606</v>
      </c>
      <c r="AE56" s="160"/>
    </row>
    <row r="57" spans="2:31" x14ac:dyDescent="0.2">
      <c r="H57" s="30"/>
      <c r="J57" s="26">
        <v>5</v>
      </c>
      <c r="K57" s="165">
        <f>(K50*$J57)+K51</f>
        <v>109.34210526315795</v>
      </c>
      <c r="L57" s="164">
        <v>0.57955715909102046</v>
      </c>
      <c r="N57" s="165">
        <f>(N50*$J57)+N51</f>
        <v>114.73684210526315</v>
      </c>
      <c r="O57" s="164">
        <v>0.60815143529166016</v>
      </c>
      <c r="Q57" s="165">
        <f>(Q50*$J57)+Q51</f>
        <v>120.13157894736837</v>
      </c>
      <c r="R57" s="164">
        <v>0.63674571149229997</v>
      </c>
      <c r="T57" s="165">
        <f>(T50*$J57)+T51</f>
        <v>125.52631578947377</v>
      </c>
      <c r="U57" s="164">
        <v>0.665339987692941</v>
      </c>
      <c r="W57" s="165">
        <f>(W50*$J57)+W51</f>
        <v>130.92105263157882</v>
      </c>
      <c r="X57" s="164">
        <v>0.69393426389357937</v>
      </c>
      <c r="Z57" s="165">
        <f>(Z50*$J57)+Z51</f>
        <v>136.31578947368413</v>
      </c>
      <c r="AA57" s="164">
        <v>0.72252854009421974</v>
      </c>
      <c r="AC57" s="165">
        <f>(AC50*$J57)+AC51</f>
        <v>141.71052631578942</v>
      </c>
      <c r="AD57" s="164">
        <v>0.75112281629485977</v>
      </c>
      <c r="AE57" s="160"/>
    </row>
    <row r="58" spans="2:31" x14ac:dyDescent="0.2">
      <c r="F58" s="9"/>
      <c r="H58" s="30"/>
      <c r="J58" s="16">
        <v>10</v>
      </c>
      <c r="K58" s="149">
        <f>(K50*$J58)+K51</f>
        <v>211.5789473684211</v>
      </c>
      <c r="L58" s="163">
        <v>0.5607267820808427</v>
      </c>
      <c r="N58" s="149">
        <f>(N50*$J58)+N51</f>
        <v>221.79824561403507</v>
      </c>
      <c r="O58" s="163">
        <v>0.5878099786448634</v>
      </c>
      <c r="Q58" s="149">
        <f>(Q50*$J58)+Q51</f>
        <v>232.01754385964907</v>
      </c>
      <c r="R58" s="163">
        <v>0.61489317520888409</v>
      </c>
      <c r="T58" s="149">
        <f>(T50*$J58)+T51</f>
        <v>242.23684210526321</v>
      </c>
      <c r="U58" s="163">
        <v>0.64197637177290523</v>
      </c>
      <c r="W58" s="149">
        <f>(W50*$J58)+W51</f>
        <v>252.45614035087709</v>
      </c>
      <c r="X58" s="163">
        <v>0.66905956833692559</v>
      </c>
      <c r="Z58" s="149">
        <f>(Z50*$J58)+Z51</f>
        <v>262.67543859649112</v>
      </c>
      <c r="AA58" s="163">
        <v>0.6961427649009464</v>
      </c>
      <c r="AC58" s="149">
        <f>(AC50*$J58)+AC51</f>
        <v>272.8947368421052</v>
      </c>
      <c r="AD58" s="163">
        <v>0.7232259614649672</v>
      </c>
      <c r="AE58" s="160"/>
    </row>
    <row r="59" spans="2:31" x14ac:dyDescent="0.2">
      <c r="F59" s="9"/>
      <c r="H59" s="30"/>
      <c r="J59" s="16">
        <v>20</v>
      </c>
      <c r="K59" s="149">
        <f>(K50*$J59)+K51</f>
        <v>416.0526315789474</v>
      </c>
      <c r="L59" s="163">
        <v>0.55131159357575388</v>
      </c>
      <c r="N59" s="149">
        <f>(N50*$J59)+N51</f>
        <v>435.9210526315789</v>
      </c>
      <c r="O59" s="163">
        <v>0.57763925032146501</v>
      </c>
      <c r="Q59" s="149">
        <f>(Q50*$J59)+Q51</f>
        <v>455.78947368421046</v>
      </c>
      <c r="R59" s="163">
        <v>0.60396690706717615</v>
      </c>
      <c r="T59" s="149">
        <f>(T50*$J59)+T51</f>
        <v>475.65789473684208</v>
      </c>
      <c r="U59" s="163">
        <v>0.6302945638128874</v>
      </c>
      <c r="W59" s="149">
        <f>(W50*$J59)+W51</f>
        <v>495.52631578947364</v>
      </c>
      <c r="X59" s="163">
        <v>0.65662222055859865</v>
      </c>
      <c r="Z59" s="149">
        <f>(Z50*$J59)+Z51</f>
        <v>515.39473684210509</v>
      </c>
      <c r="AA59" s="163">
        <v>0.68294987730430956</v>
      </c>
      <c r="AC59" s="149">
        <f>(AC50*$J59)+AC51</f>
        <v>535.26315789473676</v>
      </c>
      <c r="AD59" s="163">
        <v>0.70927753405002103</v>
      </c>
      <c r="AE59" s="160"/>
    </row>
    <row r="60" spans="2:31" x14ac:dyDescent="0.2">
      <c r="F60" s="9"/>
      <c r="H60" s="30"/>
      <c r="J60" s="16">
        <v>30</v>
      </c>
      <c r="K60" s="149">
        <f>(K50*$J60)+K51</f>
        <v>620.52631578947376</v>
      </c>
      <c r="L60" s="163">
        <v>0.54817319740739101</v>
      </c>
      <c r="N60" s="149">
        <f>(N50*$J60)+N51</f>
        <v>650.04385964912262</v>
      </c>
      <c r="O60" s="163">
        <v>0.57424900754699881</v>
      </c>
      <c r="Q60" s="149">
        <f>(Q50*$J60)+Q51</f>
        <v>679.56140350877183</v>
      </c>
      <c r="R60" s="163">
        <v>0.60032481768660684</v>
      </c>
      <c r="T60" s="149">
        <f>(T50*$J60)+T51</f>
        <v>709.07894736842104</v>
      </c>
      <c r="U60" s="163">
        <v>0.62640062782621497</v>
      </c>
      <c r="W60" s="149">
        <f>(W50*$J60)+W51</f>
        <v>738.59649122807014</v>
      </c>
      <c r="X60" s="163">
        <v>0.652476437965823</v>
      </c>
      <c r="Z60" s="149">
        <f>(Z50*$J60)+Z51</f>
        <v>768.114035087719</v>
      </c>
      <c r="AA60" s="163">
        <v>0.67855224810543069</v>
      </c>
      <c r="AC60" s="149">
        <f>(AC50*$J60)+AC51</f>
        <v>797.63157894736833</v>
      </c>
      <c r="AD60" s="163">
        <v>0.70462805824503882</v>
      </c>
      <c r="AE60" s="160"/>
    </row>
    <row r="61" spans="2:31" x14ac:dyDescent="0.2">
      <c r="F61" s="9"/>
      <c r="H61" s="30"/>
      <c r="J61" s="26">
        <v>40</v>
      </c>
      <c r="K61" s="165">
        <f>(K50*$J61)+K51</f>
        <v>825</v>
      </c>
      <c r="L61" s="164">
        <v>0.54660399932320947</v>
      </c>
      <c r="N61" s="165">
        <f>(N50*$J61)+N51</f>
        <v>864.16666666666652</v>
      </c>
      <c r="O61" s="164">
        <v>0.57255388615976588</v>
      </c>
      <c r="Q61" s="165">
        <f>(Q50*$J61)+Q51</f>
        <v>903.33333333333326</v>
      </c>
      <c r="R61" s="164">
        <v>0.59850377299632229</v>
      </c>
      <c r="T61" s="165">
        <f>(T50*$J61)+T51</f>
        <v>942.49999999999977</v>
      </c>
      <c r="U61" s="164">
        <v>0.62445365983287848</v>
      </c>
      <c r="W61" s="165">
        <f>(W50*$J61)+W51</f>
        <v>981.66666666666674</v>
      </c>
      <c r="X61" s="164">
        <v>0.65040354666943512</v>
      </c>
      <c r="Z61" s="165">
        <f>(Z50*$J61)+Z51</f>
        <v>1020.833333333333</v>
      </c>
      <c r="AA61" s="164">
        <v>0.67635343350599131</v>
      </c>
      <c r="AC61" s="165">
        <f>(AC50*$J61)+AC51</f>
        <v>1060</v>
      </c>
      <c r="AD61" s="164">
        <v>0.70230332034254794</v>
      </c>
      <c r="AE61" s="160"/>
    </row>
    <row r="62" spans="2:31" x14ac:dyDescent="0.2">
      <c r="F62" s="9"/>
      <c r="H62" s="30"/>
      <c r="J62" s="16">
        <v>50</v>
      </c>
      <c r="K62" s="149">
        <f>(K50*$J62)+K51</f>
        <v>1029.4736842105262</v>
      </c>
      <c r="L62" s="163">
        <v>0.5456624804727005</v>
      </c>
      <c r="N62" s="149">
        <f>(N50*$J62)+N51</f>
        <v>1078.2894736842104</v>
      </c>
      <c r="O62" s="163">
        <v>0.57153681332742601</v>
      </c>
      <c r="Q62" s="149">
        <f>(Q50*$J62)+Q51</f>
        <v>1127.1052631578946</v>
      </c>
      <c r="R62" s="163">
        <v>0.59741114618215141</v>
      </c>
      <c r="T62" s="149">
        <f>(T50*$J62)+T51</f>
        <v>1175.9210526315787</v>
      </c>
      <c r="U62" s="163">
        <v>0.62328547903687681</v>
      </c>
      <c r="W62" s="149">
        <f>(W50*$J62)+W51</f>
        <v>1224.7368421052633</v>
      </c>
      <c r="X62" s="163">
        <v>0.64915981189160255</v>
      </c>
      <c r="Z62" s="149">
        <f>(Z50*$J62)+Z51</f>
        <v>1273.5526315789471</v>
      </c>
      <c r="AA62" s="163">
        <v>0.67503414474632772</v>
      </c>
      <c r="AC62" s="149">
        <f>(AC50*$J62)+AC51</f>
        <v>1322.3684210526317</v>
      </c>
      <c r="AD62" s="163">
        <v>0.70090847760105335</v>
      </c>
      <c r="AE62" s="160"/>
    </row>
    <row r="63" spans="2:31" x14ac:dyDescent="0.2">
      <c r="F63" s="9"/>
      <c r="H63" s="30"/>
      <c r="N63" s="172"/>
      <c r="O63" s="173"/>
      <c r="P63" s="173"/>
      <c r="Q63" s="172"/>
      <c r="R63" s="173"/>
      <c r="S63" s="173"/>
      <c r="T63" s="172"/>
      <c r="U63" s="173"/>
      <c r="V63" s="173"/>
      <c r="W63" s="172"/>
      <c r="X63" s="173"/>
      <c r="Y63" s="173"/>
      <c r="Z63" s="172"/>
      <c r="AA63" s="173"/>
      <c r="AB63" s="173"/>
      <c r="AC63" s="172"/>
      <c r="AD63" s="41"/>
    </row>
    <row r="64" spans="2:31" x14ac:dyDescent="0.2">
      <c r="F64" s="9"/>
      <c r="H64" s="30"/>
      <c r="J64" s="174"/>
      <c r="K64" s="174"/>
      <c r="L64" s="174"/>
      <c r="M64" s="174"/>
      <c r="N64" s="175"/>
      <c r="O64" s="174"/>
      <c r="P64" s="174"/>
      <c r="Q64" s="175"/>
      <c r="R64" s="174"/>
      <c r="S64" s="174"/>
      <c r="T64" s="175"/>
      <c r="U64" s="174"/>
      <c r="V64" s="174"/>
      <c r="W64" s="175"/>
      <c r="X64" s="174"/>
      <c r="Y64" s="174"/>
      <c r="Z64" s="175"/>
      <c r="AA64" s="174"/>
      <c r="AB64" s="174"/>
      <c r="AC64" s="175"/>
      <c r="AD64" s="174"/>
      <c r="AE64" s="174"/>
    </row>
    <row r="65" spans="1:31" x14ac:dyDescent="0.2">
      <c r="F65" s="9"/>
      <c r="H65" s="30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</row>
    <row r="66" spans="1:31" x14ac:dyDescent="0.2">
      <c r="F66" s="9"/>
      <c r="H66" s="30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</row>
    <row r="67" spans="1:31" ht="15" x14ac:dyDescent="0.25">
      <c r="A67" s="158"/>
      <c r="B67" s="151">
        <v>48</v>
      </c>
      <c r="C67" s="152">
        <f>B67+$C68</f>
        <v>50.5</v>
      </c>
      <c r="D67" s="152">
        <f>C67+$C68</f>
        <v>53</v>
      </c>
      <c r="E67" s="152">
        <f>D67+$C68</f>
        <v>55.5</v>
      </c>
      <c r="F67" s="152">
        <f>E67+$C68</f>
        <v>58</v>
      </c>
      <c r="G67" s="152">
        <f>F67+$C68</f>
        <v>60.5</v>
      </c>
      <c r="H67" s="151">
        <v>63</v>
      </c>
      <c r="J67" s="146" t="s">
        <v>65</v>
      </c>
      <c r="K67" s="146" t="s">
        <v>66</v>
      </c>
      <c r="L67" s="146"/>
      <c r="M67" s="9"/>
      <c r="N67" s="146" t="s">
        <v>66</v>
      </c>
      <c r="O67" s="146"/>
      <c r="P67" s="9"/>
      <c r="Q67" s="146" t="s">
        <v>66</v>
      </c>
      <c r="R67" s="146"/>
      <c r="T67" s="146" t="s">
        <v>66</v>
      </c>
      <c r="U67" s="146"/>
      <c r="W67" s="146" t="s">
        <v>66</v>
      </c>
      <c r="X67" s="146"/>
      <c r="Z67" s="146" t="s">
        <v>66</v>
      </c>
      <c r="AA67" s="146"/>
      <c r="AC67" s="146" t="s">
        <v>66</v>
      </c>
      <c r="AD67" s="146"/>
    </row>
    <row r="68" spans="1:31" ht="15" x14ac:dyDescent="0.25">
      <c r="A68" s="1"/>
      <c r="B68" s="34"/>
      <c r="C68" s="153">
        <f>(H67-B67)/6</f>
        <v>2.5</v>
      </c>
      <c r="D68" s="9"/>
      <c r="E68" s="9"/>
      <c r="G68" s="9"/>
      <c r="H68" s="9"/>
      <c r="J68" s="147">
        <v>2</v>
      </c>
      <c r="K68" s="154">
        <f>B67</f>
        <v>48</v>
      </c>
      <c r="L68" s="155">
        <f>L75</f>
        <v>0.63604829012155284</v>
      </c>
      <c r="M68" s="145"/>
      <c r="N68" s="154">
        <f>C67</f>
        <v>50.5</v>
      </c>
      <c r="O68" s="155">
        <f>O75</f>
        <v>0.66917580523205089</v>
      </c>
      <c r="P68" s="145"/>
      <c r="Q68" s="154">
        <v>50</v>
      </c>
      <c r="R68" s="155">
        <f>R75</f>
        <v>0.70230332034254817</v>
      </c>
      <c r="S68" s="145"/>
      <c r="T68" s="154">
        <f>E67</f>
        <v>55.5</v>
      </c>
      <c r="U68" s="155">
        <f>U75</f>
        <v>0.73543083545304622</v>
      </c>
      <c r="V68" s="145"/>
      <c r="W68" s="154">
        <f>F67</f>
        <v>58</v>
      </c>
      <c r="X68" s="155">
        <f>X75</f>
        <v>0.76855835056354349</v>
      </c>
      <c r="Y68" s="145"/>
      <c r="Z68" s="154">
        <f>G67</f>
        <v>60.5</v>
      </c>
      <c r="AA68" s="155">
        <f>AA75</f>
        <v>0.8016858656740421</v>
      </c>
      <c r="AB68" s="145"/>
      <c r="AC68" s="154">
        <f>H67</f>
        <v>63</v>
      </c>
      <c r="AD68" s="155">
        <f>AD75</f>
        <v>0.83481338078453682</v>
      </c>
    </row>
    <row r="69" spans="1:31" ht="15" x14ac:dyDescent="0.25">
      <c r="A69" s="1"/>
      <c r="B69" s="151">
        <v>874.5</v>
      </c>
      <c r="C69" s="152">
        <f>B69+$C70</f>
        <v>916.01666666666665</v>
      </c>
      <c r="D69" s="152">
        <f>C69+$C70</f>
        <v>957.5333333333333</v>
      </c>
      <c r="E69" s="152">
        <f>D69+$C70</f>
        <v>999.05</v>
      </c>
      <c r="F69" s="152">
        <f>E69+$C70</f>
        <v>1040.5666666666666</v>
      </c>
      <c r="G69" s="152">
        <f>F69+$C70</f>
        <v>1082.0833333333333</v>
      </c>
      <c r="H69" s="151">
        <v>1123.5999999999999</v>
      </c>
      <c r="J69" s="147">
        <v>40</v>
      </c>
      <c r="K69" s="154">
        <f>B69</f>
        <v>874.5</v>
      </c>
      <c r="L69" s="155">
        <f>L78</f>
        <v>0.60027057380221549</v>
      </c>
      <c r="M69" s="145"/>
      <c r="N69" s="154">
        <f>C69</f>
        <v>916.01666666666665</v>
      </c>
      <c r="O69" s="155">
        <f>O78</f>
        <v>0.62984821413560932</v>
      </c>
      <c r="P69" s="145"/>
      <c r="Q69" s="154">
        <f>D69</f>
        <v>957.5333333333333</v>
      </c>
      <c r="R69" s="155">
        <f>R78</f>
        <v>0.65942585446900304</v>
      </c>
      <c r="S69" s="145"/>
      <c r="T69" s="154">
        <f>E69</f>
        <v>999.05</v>
      </c>
      <c r="U69" s="155">
        <f>U78</f>
        <v>0.68900349480239687</v>
      </c>
      <c r="V69" s="145"/>
      <c r="W69" s="154">
        <f>F69</f>
        <v>1040.5666666666666</v>
      </c>
      <c r="X69" s="155">
        <f>X78</f>
        <v>0.71858113513579036</v>
      </c>
      <c r="Y69" s="145"/>
      <c r="Z69" s="154">
        <f>G69</f>
        <v>1082.0833333333333</v>
      </c>
      <c r="AA69" s="155">
        <f>AA78</f>
        <v>0.74815877546918452</v>
      </c>
      <c r="AB69" s="145"/>
      <c r="AC69" s="154">
        <f>H69</f>
        <v>1123.5999999999999</v>
      </c>
      <c r="AD69" s="102">
        <f>AD78</f>
        <v>0.77773641580257713</v>
      </c>
    </row>
    <row r="70" spans="1:31" x14ac:dyDescent="0.2">
      <c r="A70" s="1"/>
      <c r="B70" s="150"/>
      <c r="C70" s="153">
        <f>(H69-B69)/6</f>
        <v>41.516666666666652</v>
      </c>
      <c r="D70" s="9"/>
      <c r="F70" s="9"/>
      <c r="G70" s="9"/>
      <c r="J70" s="82"/>
      <c r="K70" s="82"/>
      <c r="L70" s="102">
        <f>L82</f>
        <v>0.57940023928260209</v>
      </c>
      <c r="N70" s="82"/>
      <c r="O70" s="102">
        <f>O82</f>
        <v>0.60690711932935182</v>
      </c>
      <c r="Q70" s="82"/>
      <c r="R70" s="102">
        <f>R82</f>
        <v>0.63441399937610155</v>
      </c>
      <c r="T70" s="82"/>
      <c r="U70" s="102">
        <f>U82</f>
        <v>0.66192087942285138</v>
      </c>
      <c r="W70" s="82"/>
      <c r="X70" s="102">
        <f>X82</f>
        <v>0.68942775946960111</v>
      </c>
      <c r="Z70" s="82"/>
      <c r="AA70" s="102">
        <f>AA82</f>
        <v>0.71693463951635084</v>
      </c>
      <c r="AC70" s="82"/>
      <c r="AD70" s="102">
        <f>AD82</f>
        <v>0.74444151956310067</v>
      </c>
    </row>
    <row r="71" spans="1:31" x14ac:dyDescent="0.2">
      <c r="A71" s="1" t="s">
        <v>22</v>
      </c>
      <c r="J71" s="82"/>
      <c r="K71" s="148" cm="1">
        <f t="array" ref="K71">_xlfn.SINGLE(INDEX(LINEST(K68:K69,($J68:$J69)^{1}),1))</f>
        <v>21.75</v>
      </c>
      <c r="L71" s="82"/>
      <c r="N71" s="148" cm="1">
        <f t="array" ref="N71">_xlfn.SINGLE(INDEX(LINEST(N68:N69,($J68:$J69)^{1}),1))</f>
        <v>22.77675438596491</v>
      </c>
      <c r="O71" s="82"/>
      <c r="Q71" s="148" cm="1">
        <f t="array" ref="Q71">_xlfn.SINGLE(INDEX(LINEST(Q68:Q69,($J68:$J69)^{1}),1))</f>
        <v>23.882456140350875</v>
      </c>
      <c r="R71" s="82"/>
      <c r="T71" s="148" cm="1">
        <f t="array" ref="T71">_xlfn.SINGLE(INDEX(LINEST(T68:T69,($J68:$J69)^{1}),1))</f>
        <v>24.830263157894734</v>
      </c>
      <c r="U71" s="82"/>
      <c r="W71" s="148" cm="1">
        <f t="array" ref="W71">_xlfn.SINGLE(INDEX(LINEST(W68:W69,($J68:$J69)^{1}),1))</f>
        <v>25.857017543859644</v>
      </c>
      <c r="X71" s="82"/>
      <c r="Z71" s="148" cm="1">
        <f t="array" ref="Z71">_xlfn.SINGLE(INDEX(LINEST(Z68:Z69,($J68:$J69)^{1}),1))</f>
        <v>26.883771929824551</v>
      </c>
      <c r="AA71" s="82"/>
      <c r="AC71" s="148" cm="1">
        <f t="array" ref="AC71">_xlfn.SINGLE(INDEX(LINEST(AC68:AC69,($J68:$J69)^{1}),1))</f>
        <v>27.910526315789475</v>
      </c>
      <c r="AD71" s="82"/>
    </row>
    <row r="72" spans="1:31" x14ac:dyDescent="0.2">
      <c r="A72" s="33"/>
      <c r="B72" s="161" t="s">
        <v>67</v>
      </c>
      <c r="C72" s="162" t="s">
        <v>70</v>
      </c>
      <c r="J72" s="82"/>
      <c r="K72" s="148" cm="1">
        <f t="array" ref="K72">INDEX(LINEST(K68:K69,($J68:$J69)^{1}),1,2)</f>
        <v>4.5</v>
      </c>
      <c r="L72" s="82"/>
      <c r="N72" s="148" cm="1">
        <f t="array" ref="N72">INDEX(LINEST(N68:N69,($J68:$J69)^{1}),1,2)</f>
        <v>4.9464912280702151</v>
      </c>
      <c r="O72" s="82"/>
      <c r="Q72" s="148" cm="1">
        <f t="array" ref="Q72">INDEX(LINEST(Q68:Q69,($J68:$J69)^{1}),1,2)</f>
        <v>2.2350877192982921</v>
      </c>
      <c r="R72" s="82"/>
      <c r="T72" s="148" cm="1">
        <f t="array" ref="T72">INDEX(LINEST(T68:T69,($J68:$J69)^{1}),1,2)</f>
        <v>5.8394736842105885</v>
      </c>
      <c r="U72" s="82"/>
      <c r="W72" s="148" cm="1">
        <f t="array" ref="W72">INDEX(LINEST(W68:W69,($J68:$J69)^{1}),1,2)</f>
        <v>6.2859649122807468</v>
      </c>
      <c r="X72" s="82"/>
      <c r="Z72" s="148" cm="1">
        <f t="array" ref="Z72">INDEX(LINEST(Z68:Z69,($J68:$J69)^{1}),1,2)</f>
        <v>6.7324561403510188</v>
      </c>
      <c r="AA72" s="82"/>
      <c r="AC72" s="148" cm="1">
        <f t="array" ref="AC72">INDEX(LINEST(AC68:AC69,($J68:$J69)^{1}),1,2)</f>
        <v>7.1789473684209497</v>
      </c>
      <c r="AD72" s="82"/>
    </row>
    <row r="73" spans="1:31" x14ac:dyDescent="0.2">
      <c r="A73" s="33"/>
      <c r="J73" s="82"/>
      <c r="K73" s="82"/>
      <c r="L73" s="18" t="s">
        <v>4</v>
      </c>
      <c r="N73" s="82"/>
      <c r="O73" s="18" t="s">
        <v>4</v>
      </c>
      <c r="Q73" s="82"/>
      <c r="R73" s="18" t="s">
        <v>4</v>
      </c>
      <c r="T73" s="82"/>
      <c r="U73" s="18" t="s">
        <v>4</v>
      </c>
      <c r="W73" s="82"/>
      <c r="X73" s="18" t="s">
        <v>4</v>
      </c>
      <c r="Z73" s="82"/>
      <c r="AA73" s="18" t="s">
        <v>4</v>
      </c>
      <c r="AC73" s="82"/>
      <c r="AD73" s="18" t="s">
        <v>4</v>
      </c>
    </row>
    <row r="74" spans="1:31" x14ac:dyDescent="0.2">
      <c r="J74" s="16">
        <v>1</v>
      </c>
      <c r="K74" s="149">
        <f>(K71*$J74)+K72</f>
        <v>26.25</v>
      </c>
      <c r="L74" s="163">
        <v>0.69567781732044842</v>
      </c>
      <c r="N74" s="149">
        <f>(N71*$J74)+N72</f>
        <v>27.723245614035125</v>
      </c>
      <c r="O74" s="163">
        <v>0.73472179039278662</v>
      </c>
      <c r="Q74" s="149">
        <f>(Q71*$J74)+Q72</f>
        <v>26.117543859649167</v>
      </c>
      <c r="R74" s="163">
        <v>0.77376576346512349</v>
      </c>
      <c r="T74" s="149">
        <f>(T71*$J74)+T72</f>
        <v>30.669736842105323</v>
      </c>
      <c r="U74" s="163">
        <v>0.81280973653746191</v>
      </c>
      <c r="W74" s="149">
        <f>(W71*$J74)+W72</f>
        <v>32.142982456140388</v>
      </c>
      <c r="X74" s="163">
        <v>0.85185370960979856</v>
      </c>
      <c r="Z74" s="149">
        <f>(Z71*$J74)+Z72</f>
        <v>33.616228070175566</v>
      </c>
      <c r="AA74" s="163">
        <v>0.8908976826821382</v>
      </c>
      <c r="AC74" s="149">
        <f>(AC71*$J74)+AC72</f>
        <v>35.089473684210425</v>
      </c>
      <c r="AD74" s="163">
        <v>0.92994165575446941</v>
      </c>
      <c r="AE74" s="160"/>
    </row>
    <row r="75" spans="1:31" x14ac:dyDescent="0.2">
      <c r="A75" s="19"/>
      <c r="G75" s="9"/>
      <c r="H75" s="14"/>
      <c r="J75" s="26">
        <v>2</v>
      </c>
      <c r="K75" s="165">
        <f>(K71*$J75)+K72</f>
        <v>48</v>
      </c>
      <c r="L75" s="164">
        <v>0.63604829012155284</v>
      </c>
      <c r="N75" s="165">
        <f>(N71*$J75)+N72</f>
        <v>50.500000000000036</v>
      </c>
      <c r="O75" s="164">
        <v>0.66917580523205089</v>
      </c>
      <c r="Q75" s="165">
        <f>(Q71*$J75)+Q72</f>
        <v>50.000000000000043</v>
      </c>
      <c r="R75" s="164">
        <v>0.70230332034254817</v>
      </c>
      <c r="T75" s="165">
        <f>(T71*$J75)+T72</f>
        <v>55.500000000000057</v>
      </c>
      <c r="U75" s="164">
        <v>0.73543083545304622</v>
      </c>
      <c r="W75" s="165">
        <f>(W71*$J75)+W72</f>
        <v>58.000000000000036</v>
      </c>
      <c r="X75" s="164">
        <v>0.76855835056354349</v>
      </c>
      <c r="Z75" s="165">
        <f>(Z71*$J75)+Z72</f>
        <v>60.500000000000121</v>
      </c>
      <c r="AA75" s="164">
        <v>0.8016858656740421</v>
      </c>
      <c r="AC75" s="165">
        <f>(AC71*$J75)+AC72</f>
        <v>62.999999999999901</v>
      </c>
      <c r="AD75" s="164">
        <v>0.83481338078453682</v>
      </c>
      <c r="AE75" s="160"/>
    </row>
    <row r="76" spans="1:31" x14ac:dyDescent="0.2">
      <c r="J76" s="16">
        <v>3</v>
      </c>
      <c r="K76" s="149">
        <f>(K71*$J76)+K72</f>
        <v>69.75</v>
      </c>
      <c r="L76" s="163">
        <v>0.61617178105525428</v>
      </c>
      <c r="N76" s="149">
        <f>(N71*$J76)+N72</f>
        <v>73.276754385964949</v>
      </c>
      <c r="O76" s="163">
        <v>0.64732714351180565</v>
      </c>
      <c r="Q76" s="149">
        <f>(Q71*$J76)+Q72</f>
        <v>73.882456140350911</v>
      </c>
      <c r="R76" s="163">
        <v>0.67848250596835646</v>
      </c>
      <c r="T76" s="149">
        <f>(T71*$J76)+T72</f>
        <v>80.330263157894791</v>
      </c>
      <c r="U76" s="163">
        <v>0.70963786842490773</v>
      </c>
      <c r="W76" s="149">
        <f>(W71*$J76)+W72</f>
        <v>83.857017543859683</v>
      </c>
      <c r="X76" s="163">
        <v>0.74079323088145843</v>
      </c>
      <c r="Z76" s="149">
        <f>(Z71*$J76)+Z72</f>
        <v>87.383771929824675</v>
      </c>
      <c r="AA76" s="163">
        <v>0.77194859333801025</v>
      </c>
      <c r="AC76" s="149">
        <f>(AC71*$J76)+AC72</f>
        <v>90.910526315789383</v>
      </c>
      <c r="AD76" s="163">
        <v>0.8031039557945594</v>
      </c>
      <c r="AE76" s="160"/>
    </row>
    <row r="77" spans="1:31" x14ac:dyDescent="0.2">
      <c r="B77" s="29"/>
      <c r="C77" s="9"/>
      <c r="E77" s="9"/>
      <c r="F77" s="9"/>
      <c r="G77" s="17"/>
      <c r="H77" s="9"/>
      <c r="I77" s="9"/>
      <c r="J77" s="16">
        <v>4</v>
      </c>
      <c r="K77" s="149">
        <f>(K71*$J77)+K72</f>
        <v>91.5</v>
      </c>
      <c r="L77" s="163">
        <v>0.60623352652210505</v>
      </c>
      <c r="N77" s="149">
        <f>(N71*$J77)+N72</f>
        <v>96.053508771929856</v>
      </c>
      <c r="O77" s="163">
        <v>0.63640281265168297</v>
      </c>
      <c r="Q77" s="149">
        <f>(Q71*$J77)+Q72</f>
        <v>97.764912280701793</v>
      </c>
      <c r="R77" s="163">
        <v>0.66657209878126056</v>
      </c>
      <c r="T77" s="149">
        <f>(T71*$J77)+T72</f>
        <v>105.16052631578953</v>
      </c>
      <c r="U77" s="163">
        <v>0.69674138491083837</v>
      </c>
      <c r="W77" s="149">
        <f>(W71*$J77)+W72</f>
        <v>109.71403508771932</v>
      </c>
      <c r="X77" s="163">
        <v>0.72691067104041596</v>
      </c>
      <c r="Z77" s="149">
        <f>(Z71*$J77)+Z72</f>
        <v>114.26754385964922</v>
      </c>
      <c r="AA77" s="163">
        <v>0.7570799571699941</v>
      </c>
      <c r="AC77" s="149">
        <f>(AC71*$J77)+AC72</f>
        <v>118.82105263157885</v>
      </c>
      <c r="AD77" s="163">
        <v>0.78724924329957047</v>
      </c>
      <c r="AE77" s="160"/>
    </row>
    <row r="78" spans="1:31" x14ac:dyDescent="0.2">
      <c r="E78" s="34"/>
      <c r="F78" s="9"/>
      <c r="G78" s="14"/>
      <c r="H78" s="9"/>
      <c r="I78" s="9"/>
      <c r="J78" s="26">
        <v>5</v>
      </c>
      <c r="K78" s="165">
        <f>(K71*$J78)+K72</f>
        <v>113.25</v>
      </c>
      <c r="L78" s="164">
        <v>0.60027057380221549</v>
      </c>
      <c r="N78" s="165">
        <f>(N71*$J78)+N72</f>
        <v>118.83026315789476</v>
      </c>
      <c r="O78" s="164">
        <v>0.62984821413560932</v>
      </c>
      <c r="Q78" s="165">
        <f>(Q71*$J78)+Q72</f>
        <v>121.64736842105268</v>
      </c>
      <c r="R78" s="164">
        <v>0.65942585446900304</v>
      </c>
      <c r="T78" s="165">
        <f>(T71*$J78)+T72</f>
        <v>129.99078947368426</v>
      </c>
      <c r="U78" s="164">
        <v>0.68900349480239687</v>
      </c>
      <c r="W78" s="165">
        <f>(W71*$J78)+W72</f>
        <v>135.57105263157897</v>
      </c>
      <c r="X78" s="164">
        <v>0.71858113513579036</v>
      </c>
      <c r="Z78" s="165">
        <f>(Z71*$J78)+Z72</f>
        <v>141.15131578947378</v>
      </c>
      <c r="AA78" s="164">
        <v>0.74815877546918452</v>
      </c>
      <c r="AC78" s="165">
        <f>(AC71*$J78)+AC72</f>
        <v>146.73157894736832</v>
      </c>
      <c r="AD78" s="164">
        <v>0.77773641580257713</v>
      </c>
      <c r="AE78" s="160"/>
    </row>
    <row r="79" spans="1:31" x14ac:dyDescent="0.2">
      <c r="F79" s="9"/>
      <c r="G79" s="9"/>
      <c r="H79" s="48"/>
      <c r="I79" s="9"/>
      <c r="J79" s="16">
        <v>10</v>
      </c>
      <c r="K79" s="149">
        <f>(K71*$J79)+K72</f>
        <v>222</v>
      </c>
      <c r="L79" s="163">
        <v>0.58834466836243637</v>
      </c>
      <c r="N79" s="149">
        <f>(N71*$J79)+N72</f>
        <v>232.71403508771931</v>
      </c>
      <c r="O79" s="163">
        <v>0.61673901710346224</v>
      </c>
      <c r="Q79" s="149">
        <f>(Q71*$J79)+Q72</f>
        <v>241.05964912280706</v>
      </c>
      <c r="R79" s="163">
        <v>0.64513336584448799</v>
      </c>
      <c r="T79" s="149">
        <f>(T71*$J79)+T72</f>
        <v>254.14210526315793</v>
      </c>
      <c r="U79" s="163">
        <v>0.67352771458551364</v>
      </c>
      <c r="W79" s="149">
        <f>(W71*$J79)+W72</f>
        <v>264.85614035087718</v>
      </c>
      <c r="X79" s="163">
        <v>0.70192206332653939</v>
      </c>
      <c r="Z79" s="149">
        <f>(Z71*$J79)+Z72</f>
        <v>275.57017543859655</v>
      </c>
      <c r="AA79" s="163">
        <v>0.73031641206756526</v>
      </c>
      <c r="AC79" s="149">
        <f>(AC71*$J79)+AC72</f>
        <v>286.28421052631569</v>
      </c>
      <c r="AD79" s="163">
        <v>0.75871076080859068</v>
      </c>
      <c r="AE79" s="160"/>
    </row>
    <row r="80" spans="1:31" x14ac:dyDescent="0.2">
      <c r="I80" s="9"/>
      <c r="J80" s="16">
        <v>20</v>
      </c>
      <c r="K80" s="149">
        <f>(K71*$J80)+K72</f>
        <v>439.5</v>
      </c>
      <c r="L80" s="163">
        <v>0.58238171564254682</v>
      </c>
      <c r="N80" s="149">
        <f>(N71*$J80)+N72</f>
        <v>460.4815789473684</v>
      </c>
      <c r="O80" s="163">
        <v>0.61018441858738859</v>
      </c>
      <c r="Q80" s="149">
        <f>(Q71*$J80)+Q72</f>
        <v>479.88421052631583</v>
      </c>
      <c r="R80" s="163">
        <v>0.63798712153223036</v>
      </c>
      <c r="T80" s="149">
        <f>(T71*$J80)+T72</f>
        <v>502.44473684210527</v>
      </c>
      <c r="U80" s="163">
        <v>0.66578982447707225</v>
      </c>
      <c r="W80" s="149">
        <f>(W71*$J80)+W72</f>
        <v>523.42631578947362</v>
      </c>
      <c r="X80" s="163">
        <v>0.6935925274219138</v>
      </c>
      <c r="Z80" s="149">
        <f>(Z71*$J80)+Z72</f>
        <v>544.40789473684208</v>
      </c>
      <c r="AA80" s="163">
        <v>0.72139523036675568</v>
      </c>
      <c r="AC80" s="149">
        <f>(AC71*$J80)+AC72</f>
        <v>565.38947368421043</v>
      </c>
      <c r="AD80" s="163">
        <v>0.74919793331159734</v>
      </c>
      <c r="AE80" s="160"/>
    </row>
    <row r="81" spans="9:31" x14ac:dyDescent="0.2">
      <c r="I81" s="9"/>
      <c r="J81" s="16">
        <v>30</v>
      </c>
      <c r="K81" s="149">
        <f>(K71*$J81)+K72</f>
        <v>657</v>
      </c>
      <c r="L81" s="163">
        <v>0.58039406473591693</v>
      </c>
      <c r="N81" s="149">
        <f>(N71*$J81)+N72</f>
        <v>688.24912280701756</v>
      </c>
      <c r="O81" s="163">
        <v>0.60799955241536408</v>
      </c>
      <c r="Q81" s="149">
        <f>(Q71*$J81)+Q72</f>
        <v>718.70877192982448</v>
      </c>
      <c r="R81" s="163">
        <v>0.63560504009481122</v>
      </c>
      <c r="T81" s="149">
        <f>(T71*$J81)+T72</f>
        <v>750.74736842105267</v>
      </c>
      <c r="U81" s="163">
        <v>0.66321052777425837</v>
      </c>
      <c r="W81" s="149">
        <f>(W71*$J81)+W72</f>
        <v>781.99649122807011</v>
      </c>
      <c r="X81" s="163">
        <v>0.69081601545370552</v>
      </c>
      <c r="Z81" s="149">
        <f>(Z71*$J81)+Z72</f>
        <v>813.24561403508756</v>
      </c>
      <c r="AA81" s="163">
        <v>0.71842150313315245</v>
      </c>
      <c r="AC81" s="149">
        <f>(AC71*$J81)+AC72</f>
        <v>844.49473684210523</v>
      </c>
      <c r="AD81" s="163">
        <v>0.74602699081259971</v>
      </c>
      <c r="AE81" s="160"/>
    </row>
    <row r="82" spans="9:31" x14ac:dyDescent="0.2">
      <c r="I82" s="9"/>
      <c r="J82" s="26">
        <v>40</v>
      </c>
      <c r="K82" s="165">
        <f>(K71*$J82)+K72</f>
        <v>874.5</v>
      </c>
      <c r="L82" s="164">
        <v>0.57940023928260209</v>
      </c>
      <c r="N82" s="165">
        <f>(N71*$J82)+N72</f>
        <v>916.01666666666665</v>
      </c>
      <c r="O82" s="164">
        <v>0.60690711932935182</v>
      </c>
      <c r="Q82" s="165">
        <f>(Q71*$J82)+Q72</f>
        <v>957.5333333333333</v>
      </c>
      <c r="R82" s="164">
        <v>0.63441399937610155</v>
      </c>
      <c r="T82" s="165">
        <f>(T71*$J82)+T72</f>
        <v>999.05</v>
      </c>
      <c r="U82" s="164">
        <v>0.66192087942285138</v>
      </c>
      <c r="W82" s="165">
        <f>(W71*$J82)+W72</f>
        <v>1040.5666666666666</v>
      </c>
      <c r="X82" s="164">
        <v>0.68942775946960111</v>
      </c>
      <c r="Z82" s="165">
        <f>(Z71*$J82)+Z72</f>
        <v>1082.083333333333</v>
      </c>
      <c r="AA82" s="164">
        <v>0.71693463951635084</v>
      </c>
      <c r="AC82" s="165">
        <f>(AC71*$J82)+AC72</f>
        <v>1123.5999999999999</v>
      </c>
      <c r="AD82" s="164">
        <v>0.74444151956310067</v>
      </c>
      <c r="AE82" s="160"/>
    </row>
    <row r="83" spans="9:31" x14ac:dyDescent="0.2">
      <c r="I83" s="16"/>
      <c r="J83" s="16">
        <v>50</v>
      </c>
      <c r="K83" s="149">
        <f>(K71*$J83)+K72</f>
        <v>1092</v>
      </c>
      <c r="L83" s="163">
        <v>0.57880394401061308</v>
      </c>
      <c r="N83" s="149">
        <f>(N71*$J83)+N72</f>
        <v>1143.7842105263157</v>
      </c>
      <c r="O83" s="163">
        <v>0.60625165947774451</v>
      </c>
      <c r="Q83" s="149">
        <f>(Q71*$J83)+Q72</f>
        <v>1196.3578947368419</v>
      </c>
      <c r="R83" s="163">
        <v>0.63369937494487583</v>
      </c>
      <c r="T83" s="149">
        <f>(T71*$J83)+T72</f>
        <v>1247.3526315789472</v>
      </c>
      <c r="U83" s="163">
        <v>0.66114709041200714</v>
      </c>
      <c r="W83" s="149">
        <f>(W71*$J83)+W72</f>
        <v>1299.136842105263</v>
      </c>
      <c r="X83" s="163">
        <v>0.68859480587913868</v>
      </c>
      <c r="Z83" s="149">
        <f>(Z71*$J83)+Z72</f>
        <v>1350.9210526315787</v>
      </c>
      <c r="AA83" s="163">
        <v>0.71604252134626989</v>
      </c>
      <c r="AC83" s="149">
        <f>(AC71*$J83)+AC72</f>
        <v>1402.7052631578947</v>
      </c>
      <c r="AD83" s="163">
        <v>0.74349023681340143</v>
      </c>
      <c r="AE83" s="160"/>
    </row>
    <row r="84" spans="9:31" x14ac:dyDescent="0.2">
      <c r="I84" s="9"/>
      <c r="N84" s="172"/>
      <c r="O84" s="173"/>
      <c r="P84" s="173"/>
      <c r="Q84" s="172"/>
      <c r="R84" s="173"/>
      <c r="S84" s="173"/>
      <c r="T84" s="172"/>
      <c r="U84" s="173"/>
      <c r="V84" s="173"/>
      <c r="W84" s="172"/>
      <c r="X84" s="173"/>
      <c r="Y84" s="173"/>
      <c r="Z84" s="172"/>
      <c r="AA84" s="173"/>
      <c r="AB84" s="173"/>
      <c r="AC84" s="172"/>
      <c r="AD84" s="41"/>
    </row>
    <row r="85" spans="9:31" x14ac:dyDescent="0.2">
      <c r="K85" s="174"/>
      <c r="L85" s="174"/>
      <c r="M85" s="174"/>
      <c r="N85" s="175"/>
      <c r="O85" s="174"/>
      <c r="P85" s="174"/>
      <c r="Q85" s="175"/>
      <c r="R85" s="174"/>
      <c r="S85" s="174"/>
      <c r="T85" s="175"/>
      <c r="U85" s="174"/>
      <c r="V85" s="174"/>
      <c r="W85" s="175"/>
      <c r="X85" s="174"/>
      <c r="Y85" s="174"/>
      <c r="Z85" s="175"/>
      <c r="AA85" s="174"/>
      <c r="AB85" s="174"/>
      <c r="AC85" s="175"/>
      <c r="AD85" s="174"/>
    </row>
    <row r="86" spans="9:31" x14ac:dyDescent="0.2">
      <c r="K86" s="174"/>
      <c r="L86" s="174"/>
      <c r="M86" s="174"/>
      <c r="N86" s="175"/>
      <c r="O86" s="174"/>
      <c r="P86" s="174"/>
      <c r="Q86" s="175"/>
      <c r="R86" s="174"/>
      <c r="S86" s="174"/>
      <c r="T86" s="175"/>
      <c r="U86" s="174"/>
      <c r="V86" s="174"/>
      <c r="W86" s="175"/>
      <c r="X86" s="174"/>
      <c r="Y86" s="174"/>
      <c r="Z86" s="175"/>
      <c r="AA86" s="174"/>
      <c r="AB86" s="174"/>
      <c r="AC86" s="175"/>
      <c r="AD86" s="174"/>
    </row>
    <row r="87" spans="9:31" x14ac:dyDescent="0.2">
      <c r="K87" s="174"/>
      <c r="L87" s="174"/>
      <c r="M87" s="174"/>
      <c r="N87" s="175"/>
      <c r="O87" s="174"/>
      <c r="P87" s="174"/>
      <c r="Q87" s="175"/>
      <c r="R87" s="174"/>
      <c r="S87" s="174"/>
      <c r="T87" s="177"/>
      <c r="U87" s="174"/>
      <c r="V87" s="174"/>
      <c r="W87" s="175"/>
      <c r="X87" s="174"/>
      <c r="Y87" s="174"/>
      <c r="Z87" s="175"/>
      <c r="AA87" s="174"/>
      <c r="AB87" s="174"/>
      <c r="AC87" s="175"/>
      <c r="AD87" s="174"/>
    </row>
    <row r="88" spans="9:31" x14ac:dyDescent="0.2">
      <c r="K88" s="174"/>
      <c r="L88" s="174"/>
      <c r="M88" s="174"/>
      <c r="N88" s="175"/>
      <c r="O88" s="174"/>
      <c r="P88" s="174"/>
      <c r="Q88" s="175"/>
      <c r="R88" s="174"/>
      <c r="S88" s="174"/>
      <c r="T88" s="177"/>
      <c r="U88" s="174"/>
      <c r="V88" s="174"/>
      <c r="W88" s="175"/>
      <c r="X88" s="174"/>
      <c r="Y88" s="174"/>
      <c r="Z88" s="175"/>
      <c r="AA88" s="174"/>
      <c r="AB88" s="174"/>
      <c r="AC88" s="175"/>
      <c r="AD88" s="174"/>
    </row>
    <row r="89" spans="9:31" x14ac:dyDescent="0.2">
      <c r="K89" s="174"/>
      <c r="L89" s="174"/>
      <c r="M89" s="174"/>
      <c r="N89" s="175"/>
      <c r="O89" s="174"/>
      <c r="P89" s="174"/>
      <c r="Q89" s="175"/>
      <c r="R89" s="174"/>
      <c r="S89" s="174"/>
      <c r="T89" s="177"/>
      <c r="U89" s="174"/>
      <c r="V89" s="174"/>
      <c r="W89" s="175"/>
      <c r="X89" s="174"/>
      <c r="Y89" s="174"/>
      <c r="Z89" s="175"/>
      <c r="AA89" s="174"/>
      <c r="AB89" s="174"/>
      <c r="AC89" s="175"/>
      <c r="AD89" s="174"/>
    </row>
    <row r="90" spans="9:31" x14ac:dyDescent="0.2">
      <c r="K90" s="174"/>
      <c r="L90" s="174"/>
      <c r="M90" s="174"/>
      <c r="N90" s="175"/>
      <c r="O90" s="174"/>
      <c r="P90" s="174"/>
      <c r="Q90" s="175"/>
      <c r="R90" s="174"/>
      <c r="S90" s="174"/>
      <c r="T90" s="177"/>
      <c r="U90" s="174"/>
      <c r="V90" s="174"/>
      <c r="W90" s="175"/>
      <c r="X90" s="174"/>
      <c r="Y90" s="174"/>
      <c r="Z90" s="175"/>
      <c r="AA90" s="174"/>
      <c r="AB90" s="174"/>
      <c r="AC90" s="175"/>
      <c r="AD90" s="174"/>
    </row>
    <row r="91" spans="9:31" x14ac:dyDescent="0.2">
      <c r="K91" s="174"/>
      <c r="L91" s="174"/>
      <c r="M91" s="174"/>
      <c r="N91" s="175"/>
      <c r="O91" s="174"/>
      <c r="P91" s="174"/>
      <c r="Q91" s="175"/>
      <c r="R91" s="174"/>
      <c r="S91" s="174"/>
      <c r="T91" s="177"/>
      <c r="U91" s="174"/>
      <c r="V91" s="174"/>
      <c r="W91" s="175"/>
      <c r="X91" s="174"/>
      <c r="Y91" s="174"/>
      <c r="Z91" s="175"/>
      <c r="AA91" s="174"/>
      <c r="AB91" s="174"/>
      <c r="AC91" s="175"/>
      <c r="AD91" s="174"/>
    </row>
    <row r="92" spans="9:31" x14ac:dyDescent="0.2">
      <c r="AB92" s="174"/>
      <c r="AC92" s="175"/>
      <c r="AD92" s="174"/>
    </row>
    <row r="93" spans="9:31" x14ac:dyDescent="0.2">
      <c r="AB93" s="174"/>
      <c r="AC93" s="174"/>
      <c r="AD93" s="174"/>
    </row>
    <row r="94" spans="9:31" x14ac:dyDescent="0.2">
      <c r="AB94" s="174"/>
      <c r="AC94" s="174"/>
      <c r="AD94" s="174"/>
    </row>
    <row r="130" spans="1:38" x14ac:dyDescent="0.2">
      <c r="A130" s="18" t="s">
        <v>4</v>
      </c>
      <c r="Q130" s="62"/>
      <c r="R130" s="68" t="s">
        <v>19</v>
      </c>
      <c r="S130" s="62"/>
      <c r="T130" s="62" t="s">
        <v>15</v>
      </c>
    </row>
    <row r="131" spans="1:38" x14ac:dyDescent="0.2">
      <c r="A131" s="185">
        <v>0.69567781732044842</v>
      </c>
      <c r="Q131" s="63" t="s">
        <v>2</v>
      </c>
      <c r="R131" s="62" t="s">
        <v>12</v>
      </c>
      <c r="S131" s="64" t="s">
        <v>17</v>
      </c>
      <c r="T131" s="62" t="s">
        <v>16</v>
      </c>
    </row>
    <row r="132" spans="1:38" ht="15" x14ac:dyDescent="0.25">
      <c r="A132" s="186">
        <v>0.63604829012155284</v>
      </c>
      <c r="P132" s="79">
        <v>34.838084318002032</v>
      </c>
      <c r="Q132" s="54">
        <v>1</v>
      </c>
      <c r="R132" s="65">
        <v>0.92510000000000003</v>
      </c>
      <c r="S132" s="59">
        <v>34.838084318002032</v>
      </c>
      <c r="T132" s="79">
        <v>34.838084318002032</v>
      </c>
    </row>
    <row r="133" spans="1:38" ht="15" x14ac:dyDescent="0.25">
      <c r="A133" s="185">
        <v>0.61617178105525428</v>
      </c>
      <c r="P133" s="80">
        <v>61.383717909786299</v>
      </c>
      <c r="Q133" s="54">
        <v>2</v>
      </c>
      <c r="R133" s="66">
        <v>0.81499999999999995</v>
      </c>
      <c r="S133" s="56">
        <v>30.691858954893149</v>
      </c>
      <c r="T133" s="80">
        <v>59.2</v>
      </c>
    </row>
    <row r="134" spans="1:38" ht="15" x14ac:dyDescent="0.25">
      <c r="A134" s="185">
        <v>0.60623352652210505</v>
      </c>
      <c r="P134" s="53">
        <v>83.602364269770291</v>
      </c>
      <c r="Q134" s="54">
        <v>3</v>
      </c>
      <c r="R134" s="67">
        <v>0.74</v>
      </c>
      <c r="S134" s="55">
        <v>27.867454756590096</v>
      </c>
      <c r="T134" s="53">
        <v>83.602364269770291</v>
      </c>
    </row>
    <row r="135" spans="1:38" ht="15" x14ac:dyDescent="0.25">
      <c r="A135" s="186">
        <v>0.60027057380221549</v>
      </c>
      <c r="P135" s="53">
        <v>106.19759785619469</v>
      </c>
      <c r="Q135" s="54">
        <v>4</v>
      </c>
      <c r="R135" s="67">
        <v>0.70499999999999996</v>
      </c>
      <c r="S135" s="55">
        <v>26.549399464048673</v>
      </c>
      <c r="T135" s="53">
        <v>106.19759785619469</v>
      </c>
    </row>
    <row r="136" spans="1:38" ht="15" x14ac:dyDescent="0.25">
      <c r="A136" s="185">
        <v>0.58834466836243637</v>
      </c>
      <c r="P136" s="80">
        <v>127.75721656990798</v>
      </c>
      <c r="Q136" s="54">
        <v>5</v>
      </c>
      <c r="R136" s="66">
        <v>0.67849999999999999</v>
      </c>
      <c r="S136" s="56">
        <v>25.551443313981597</v>
      </c>
      <c r="T136" s="80">
        <v>129</v>
      </c>
    </row>
    <row r="137" spans="1:38" ht="15" x14ac:dyDescent="0.25">
      <c r="A137" s="185">
        <v>0.58238171564254682</v>
      </c>
      <c r="P137" s="53">
        <v>241.01582492186029</v>
      </c>
      <c r="Q137" s="54">
        <v>10</v>
      </c>
      <c r="R137" s="76">
        <v>0.64</v>
      </c>
      <c r="S137" s="55">
        <v>24.101582492186029</v>
      </c>
      <c r="T137" s="53">
        <v>241.01582492186029</v>
      </c>
    </row>
    <row r="138" spans="1:38" ht="15" x14ac:dyDescent="0.25">
      <c r="A138" s="185">
        <v>0.58039406473591693</v>
      </c>
      <c r="P138" s="53">
        <v>489.56339437252871</v>
      </c>
      <c r="Q138" s="54">
        <v>20</v>
      </c>
      <c r="R138" s="76">
        <v>0.65</v>
      </c>
      <c r="S138" s="55">
        <v>24.478169718626436</v>
      </c>
      <c r="T138" s="53">
        <v>489.56339437252871</v>
      </c>
    </row>
    <row r="139" spans="1:38" ht="15" x14ac:dyDescent="0.25">
      <c r="A139" s="186">
        <v>0.57940023928260209</v>
      </c>
      <c r="P139" s="53">
        <v>751.29151674861146</v>
      </c>
      <c r="Q139" s="54">
        <v>30</v>
      </c>
      <c r="R139" s="76">
        <v>0.66500000000000004</v>
      </c>
      <c r="S139" s="55">
        <v>25.04305055828705</v>
      </c>
      <c r="T139" s="53">
        <v>751.29151674861146</v>
      </c>
    </row>
    <row r="140" spans="1:38" ht="15" x14ac:dyDescent="0.25">
      <c r="A140" s="185">
        <v>0.57880394401061308</v>
      </c>
      <c r="P140" s="80">
        <v>1024.3172559179066</v>
      </c>
      <c r="Q140" s="54">
        <v>40</v>
      </c>
      <c r="R140" s="77">
        <v>0.68</v>
      </c>
      <c r="S140" s="56">
        <v>25.607931397947663</v>
      </c>
      <c r="T140" s="80">
        <v>1024.3172559179066</v>
      </c>
    </row>
    <row r="141" spans="1:38" ht="15" x14ac:dyDescent="0.25">
      <c r="P141" s="53">
        <v>1318.0552925414236</v>
      </c>
      <c r="Q141" s="54">
        <v>50</v>
      </c>
      <c r="R141" s="76">
        <v>0.7</v>
      </c>
      <c r="S141" s="55">
        <v>26.361105850828469</v>
      </c>
      <c r="T141" s="53">
        <v>1318.0552925414236</v>
      </c>
    </row>
    <row r="143" spans="1:38" x14ac:dyDescent="0.2">
      <c r="Q143" s="174"/>
      <c r="R143" s="174"/>
      <c r="S143" s="174"/>
      <c r="T143" s="174"/>
      <c r="AK143" s="145"/>
      <c r="AL143" s="145"/>
    </row>
    <row r="144" spans="1:38" x14ac:dyDescent="0.2">
      <c r="P144" t="s">
        <v>122</v>
      </c>
      <c r="AK144" s="145"/>
    </row>
    <row r="145" spans="1:48" ht="15" x14ac:dyDescent="0.25">
      <c r="A145" s="158"/>
      <c r="B145" s="151">
        <v>48</v>
      </c>
      <c r="C145" s="152">
        <f>B145+$C146</f>
        <v>50.5</v>
      </c>
      <c r="D145" s="152">
        <f>C145+$C146</f>
        <v>53</v>
      </c>
      <c r="E145" s="152">
        <f>D145+$C146</f>
        <v>55.5</v>
      </c>
      <c r="F145" s="152">
        <f>E145+$C146</f>
        <v>58</v>
      </c>
      <c r="G145" s="152">
        <f>F145+$C146</f>
        <v>60.5</v>
      </c>
      <c r="H145" s="151">
        <v>63</v>
      </c>
      <c r="J145" s="146" t="s">
        <v>65</v>
      </c>
      <c r="K145" s="146" t="s">
        <v>66</v>
      </c>
      <c r="L145" s="146"/>
      <c r="M145" s="146"/>
      <c r="Q145" s="1" t="s">
        <v>121</v>
      </c>
      <c r="R145" t="s">
        <v>120</v>
      </c>
      <c r="AD145" s="146" t="s">
        <v>65</v>
      </c>
      <c r="AE145" s="146" t="s">
        <v>66</v>
      </c>
      <c r="AF145" s="146"/>
      <c r="AG145" s="202" t="s">
        <v>126</v>
      </c>
      <c r="AK145" s="145"/>
      <c r="AR145" t="s">
        <v>137</v>
      </c>
    </row>
    <row r="146" spans="1:48" ht="15" x14ac:dyDescent="0.25">
      <c r="A146" s="1"/>
      <c r="B146" s="34"/>
      <c r="C146" s="153">
        <f>(H145-B145)/6</f>
        <v>2.5</v>
      </c>
      <c r="D146" s="9"/>
      <c r="E146" s="9"/>
      <c r="G146" s="9"/>
      <c r="H146" s="9"/>
      <c r="J146" s="147">
        <v>2</v>
      </c>
      <c r="K146" s="154">
        <f>B145</f>
        <v>48</v>
      </c>
      <c r="L146" s="155"/>
      <c r="Q146" s="187">
        <v>-0.141675</v>
      </c>
      <c r="R146" s="187">
        <v>7.2627999999999998E-2</v>
      </c>
      <c r="AD146" s="147">
        <v>1</v>
      </c>
      <c r="AE146" s="154">
        <v>35.1</v>
      </c>
      <c r="AF146" s="155"/>
      <c r="AG146" s="203" cm="1">
        <f t="array" ref="AG146">_xlfn.SINGLE(INDEX(LINEST(AF$154:AF$203,($AD$154:$AD$203)^{1,2,3}),1))</f>
        <v>1.2516721627128433E-4</v>
      </c>
      <c r="AK146" s="145"/>
    </row>
    <row r="147" spans="1:48" ht="15" x14ac:dyDescent="0.25">
      <c r="A147" s="1"/>
      <c r="B147" s="151">
        <v>874.5</v>
      </c>
      <c r="C147" s="152">
        <f>B147+$C148</f>
        <v>916.01666666666665</v>
      </c>
      <c r="D147" s="152">
        <f>C147+$C148</f>
        <v>957.5333333333333</v>
      </c>
      <c r="E147" s="152">
        <f>D147+$C148</f>
        <v>999.05</v>
      </c>
      <c r="F147" s="152">
        <f>E147+$C148</f>
        <v>1040.5666666666666</v>
      </c>
      <c r="G147" s="152">
        <f>F147+$C148</f>
        <v>1082.0833333333333</v>
      </c>
      <c r="H147" s="151">
        <v>1123.5999999999999</v>
      </c>
      <c r="J147" s="147">
        <v>40</v>
      </c>
      <c r="K147" s="154">
        <f>B147</f>
        <v>874.5</v>
      </c>
      <c r="L147" s="155"/>
      <c r="Q147" s="188">
        <v>24.426019</v>
      </c>
      <c r="R147" s="188">
        <v>22.530676</v>
      </c>
      <c r="AD147" s="147">
        <v>50</v>
      </c>
      <c r="AE147" s="154">
        <v>1317.1</v>
      </c>
      <c r="AF147" s="155"/>
      <c r="AG147" s="203" cm="1">
        <f t="array" ref="AG147">_xlfn.SINGLE(INDEX(LINEST(AF$154:AF$203,($AD$154:$AD$203)^{1,2,3}),2))</f>
        <v>-8.5855684854333883E-2</v>
      </c>
      <c r="AK147" s="145"/>
      <c r="AP147" s="1"/>
      <c r="AR147" t="s">
        <v>138</v>
      </c>
    </row>
    <row r="148" spans="1:48" x14ac:dyDescent="0.2">
      <c r="A148" s="1"/>
      <c r="B148" s="150"/>
      <c r="C148" s="153">
        <f>(H147-B147)/6</f>
        <v>41.516666666666652</v>
      </c>
      <c r="D148" s="9"/>
      <c r="F148" s="9"/>
      <c r="G148" s="9"/>
      <c r="J148" s="82"/>
      <c r="L148" s="102"/>
      <c r="P148" s="174"/>
      <c r="Q148" s="188">
        <v>10.860497000000001</v>
      </c>
      <c r="R148" s="188">
        <v>9.0380929999999999</v>
      </c>
      <c r="S148" s="188"/>
      <c r="T148" t="s">
        <v>123</v>
      </c>
      <c r="AD148" s="82"/>
      <c r="AF148" s="102"/>
      <c r="AG148" s="203" cm="1">
        <f t="array" ref="AG148">_xlfn.SINGLE(INDEX(LINEST(AF$154:AF$203,($AD$154:$AD$203)^{1,2,3}),3))</f>
        <v>4.0779358254002673</v>
      </c>
      <c r="AI148" s="82"/>
      <c r="AK148" s="145"/>
      <c r="AR148" t="s">
        <v>139</v>
      </c>
      <c r="AV148" t="s">
        <v>141</v>
      </c>
    </row>
    <row r="149" spans="1:48" x14ac:dyDescent="0.2">
      <c r="A149" s="1" t="s">
        <v>22</v>
      </c>
      <c r="J149" s="82"/>
      <c r="K149" s="148" cm="1">
        <f t="array" ref="K149">_xlfn.SINGLE(INDEX(LINEST(K146:K147,($J146:$J147)^{1}),1))</f>
        <v>21.75</v>
      </c>
      <c r="L149" s="82"/>
      <c r="AD149" s="82"/>
      <c r="AE149" s="196" cm="1">
        <f t="array" ref="AE149">_xlfn.SINGLE(INDEX(LINEST(AE146:AE147,($AD146:$AD147)^{1}),1))</f>
        <v>26.16326530612244</v>
      </c>
      <c r="AF149" s="82"/>
      <c r="AG149" s="203" cm="1">
        <f t="array" ref="AG149">_xlfn.SINGLE(INDEX(LINEST(AF$154:AF$203,($AD$154:$AD$203)^{1,2,3}),4))</f>
        <v>-4.8245217482609588</v>
      </c>
      <c r="AJ149" s="82" t="s">
        <v>129</v>
      </c>
      <c r="AK149" s="145"/>
      <c r="AR149" s="1" t="s">
        <v>140</v>
      </c>
      <c r="AV149" s="1" t="s">
        <v>142</v>
      </c>
    </row>
    <row r="150" spans="1:48" x14ac:dyDescent="0.2">
      <c r="A150" s="1"/>
      <c r="J150" s="82"/>
      <c r="K150" s="148" cm="1">
        <f t="array" ref="K150">INDEX(LINEST(K146:K147,($J146:$J147)^{1}),1,2)</f>
        <v>4.5</v>
      </c>
      <c r="L150" s="82"/>
      <c r="AD150" s="82"/>
      <c r="AE150" s="196" cm="1">
        <f t="array" ref="AE150">INDEX(LINEST(AE146:AE147,($AD146:$AD147)^{1}),1,2)</f>
        <v>8.9367346938777246</v>
      </c>
      <c r="AF150" s="82"/>
      <c r="AJ150" s="82" t="s">
        <v>130</v>
      </c>
      <c r="AK150" s="145"/>
    </row>
    <row r="151" spans="1:48" x14ac:dyDescent="0.2">
      <c r="A151" s="1"/>
      <c r="B151" s="17">
        <v>2.5150000000000001</v>
      </c>
      <c r="C151" s="156" t="s">
        <v>10</v>
      </c>
      <c r="J151" s="82"/>
      <c r="K151" s="148"/>
      <c r="L151" s="82"/>
      <c r="U151" s="9"/>
      <c r="AG151" s="35" t="s">
        <v>128</v>
      </c>
      <c r="AJ151" s="82" t="s">
        <v>66</v>
      </c>
      <c r="AK151" s="145"/>
      <c r="AM151" s="82" t="s">
        <v>132</v>
      </c>
      <c r="AN151" s="82"/>
      <c r="AQ151" s="62"/>
      <c r="AR151" s="68" t="s">
        <v>19</v>
      </c>
      <c r="AS151" s="62"/>
      <c r="AT151" s="62" t="s">
        <v>15</v>
      </c>
    </row>
    <row r="152" spans="1:48" x14ac:dyDescent="0.2">
      <c r="A152" s="33"/>
      <c r="B152" s="17">
        <v>4.55</v>
      </c>
      <c r="C152" s="157" t="s">
        <v>0</v>
      </c>
      <c r="F152" s="9"/>
      <c r="G152" s="9"/>
      <c r="H152" s="9"/>
      <c r="J152" s="2" t="s">
        <v>65</v>
      </c>
      <c r="K152" s="2" t="s">
        <v>16</v>
      </c>
      <c r="L152" s="2" t="s">
        <v>119</v>
      </c>
      <c r="M152" s="18" t="s">
        <v>4</v>
      </c>
      <c r="O152" s="174"/>
      <c r="Q152" s="174"/>
      <c r="R152" s="174"/>
      <c r="V152" s="209" t="s">
        <v>8</v>
      </c>
      <c r="AG152" s="35" t="s">
        <v>8</v>
      </c>
      <c r="AJ152" s="82" t="s">
        <v>131</v>
      </c>
      <c r="AK152" s="145"/>
      <c r="AM152" s="82" t="s">
        <v>133</v>
      </c>
      <c r="AN152" s="1" t="s">
        <v>136</v>
      </c>
      <c r="AQ152" s="63" t="s">
        <v>2</v>
      </c>
      <c r="AR152" s="62" t="s">
        <v>12</v>
      </c>
      <c r="AS152" s="64" t="s">
        <v>17</v>
      </c>
      <c r="AT152" s="62" t="s">
        <v>16</v>
      </c>
    </row>
    <row r="153" spans="1:48" ht="15" x14ac:dyDescent="0.25">
      <c r="B153" s="17">
        <v>85</v>
      </c>
      <c r="C153" s="156" t="s">
        <v>1</v>
      </c>
      <c r="E153" s="9"/>
      <c r="F153" s="9"/>
      <c r="G153" s="9"/>
      <c r="H153" s="9"/>
      <c r="J153" s="16">
        <v>1</v>
      </c>
      <c r="K153" s="149">
        <f>(K$149*$J153)+K150</f>
        <v>26.25</v>
      </c>
      <c r="L153" s="149">
        <f>K153/J153</f>
        <v>26.25</v>
      </c>
      <c r="M153" s="44">
        <f t="shared" ref="M153:M184" si="3">SQRT(12*32.2*L153^2/(4*$B$153*($B$152*56)*$B$151^2))</f>
        <v>0.69706087461134392</v>
      </c>
      <c r="O153" s="174"/>
      <c r="Q153" s="190" t="s">
        <v>65</v>
      </c>
      <c r="R153" s="198" t="s">
        <v>19</v>
      </c>
      <c r="U153" s="18" t="s">
        <v>65</v>
      </c>
      <c r="V153" s="210" t="s">
        <v>19</v>
      </c>
      <c r="W153" s="2" t="s">
        <v>119</v>
      </c>
      <c r="X153" s="18" t="s">
        <v>4</v>
      </c>
      <c r="AC153" s="213" t="s">
        <v>125</v>
      </c>
      <c r="AD153" s="18" t="s">
        <v>65</v>
      </c>
      <c r="AE153" s="199" t="s">
        <v>66</v>
      </c>
      <c r="AF153" s="207" t="s">
        <v>124</v>
      </c>
      <c r="AG153" s="205" t="s">
        <v>127</v>
      </c>
      <c r="AI153" s="2" t="s">
        <v>65</v>
      </c>
      <c r="AJ153" s="2" t="s">
        <v>8</v>
      </c>
      <c r="AK153" s="218" t="s">
        <v>134</v>
      </c>
      <c r="AL153" s="18" t="s">
        <v>4</v>
      </c>
      <c r="AM153" s="217" t="s">
        <v>134</v>
      </c>
      <c r="AN153" s="37" t="s">
        <v>135</v>
      </c>
      <c r="AQ153" s="54">
        <v>1</v>
      </c>
      <c r="AR153" s="220">
        <v>0.95417188285050469</v>
      </c>
      <c r="AS153" s="83">
        <v>34.838084318002032</v>
      </c>
      <c r="AT153" s="221">
        <v>34.838084318002032</v>
      </c>
      <c r="AU153" s="222"/>
    </row>
    <row r="154" spans="1:48" ht="15" x14ac:dyDescent="0.25">
      <c r="A154" s="19"/>
      <c r="B154" s="53">
        <f>(B152*2.20462*25.4*12)</f>
        <v>3057.4552007999996</v>
      </c>
      <c r="C154" s="58" t="s">
        <v>14</v>
      </c>
      <c r="D154" s="9"/>
      <c r="E154" s="9"/>
      <c r="F154" s="9"/>
      <c r="G154" s="20" t="s">
        <v>6</v>
      </c>
      <c r="H154" s="9"/>
      <c r="J154" s="16">
        <v>2</v>
      </c>
      <c r="K154" s="149">
        <f t="shared" ref="K154:K185" si="4">(K$149*$J154)+K$150</f>
        <v>48</v>
      </c>
      <c r="L154" s="149">
        <f t="shared" ref="L154:L202" si="5">K154/J154</f>
        <v>24</v>
      </c>
      <c r="M154" s="44">
        <f t="shared" si="3"/>
        <v>0.63731279964465726</v>
      </c>
      <c r="P154" s="174"/>
      <c r="Q154" s="191">
        <v>1</v>
      </c>
      <c r="R154" s="192">
        <f t="shared" ref="R154:R163" si="6">(Q$146*(Q154)^2)+(Q$147*(Q154)^1)+(Q$148)</f>
        <v>35.144841</v>
      </c>
      <c r="S154" s="188"/>
      <c r="U154" s="16">
        <v>1</v>
      </c>
      <c r="V154" s="211">
        <v>35.144841</v>
      </c>
      <c r="W154" s="149">
        <f>V154/U154</f>
        <v>35.144841</v>
      </c>
      <c r="X154" s="44">
        <f t="shared" ref="X154:X185" si="7">SQRT(12*32.2*W154^2/(4*$B$153*($B$152*56)*$B$151^2))</f>
        <v>0.93326070878234735</v>
      </c>
      <c r="AC154" s="214">
        <v>-4.4840999999834708E-2</v>
      </c>
      <c r="AD154" s="16">
        <v>1</v>
      </c>
      <c r="AE154" s="149">
        <f>(AE$149*AD154)+AE$150</f>
        <v>35.100000000000165</v>
      </c>
      <c r="AF154" s="200">
        <f>AE154-V154</f>
        <v>-4.4840999999834708E-2</v>
      </c>
      <c r="AG154" s="204">
        <f t="shared" ref="AG154:AG185" si="8">(AG$146*($AD154)^3)+(AG$147*($AD154)^2)+(AG$148*($AD154)^1)+(AG$149)</f>
        <v>-0.83231644049875397</v>
      </c>
      <c r="AI154" s="16">
        <v>1</v>
      </c>
      <c r="AJ154" s="149">
        <f t="shared" ref="AJ154:AJ185" si="9">AE154-AG154</f>
        <v>35.932316440498916</v>
      </c>
      <c r="AK154" s="149">
        <f>AJ154/AI154</f>
        <v>35.932316440498916</v>
      </c>
      <c r="AL154" s="44">
        <f>SQRT(12*32.2*AK154^2/(4*$B$153*($B$152*56)*$B$151^2))</f>
        <v>0.95417188285050469</v>
      </c>
      <c r="AM154" s="149">
        <f>(AL154*$B$151)*SQRT(4*$B$153*$B$154/32.2)/12</f>
        <v>35.931465604504076</v>
      </c>
      <c r="AN154" s="149">
        <f>(AI154*AM154)</f>
        <v>35.931465604504076</v>
      </c>
      <c r="AQ154" s="54">
        <v>2</v>
      </c>
      <c r="AR154" s="220">
        <v>0.77372876535005097</v>
      </c>
      <c r="AS154" s="83">
        <v>30.691858954893149</v>
      </c>
      <c r="AT154" s="221">
        <v>59.2</v>
      </c>
      <c r="AU154" s="222"/>
    </row>
    <row r="155" spans="1:48" ht="15" x14ac:dyDescent="0.25">
      <c r="B155" s="2" t="s">
        <v>3</v>
      </c>
      <c r="C155" s="18" t="s">
        <v>2</v>
      </c>
      <c r="D155" s="18" t="s">
        <v>3</v>
      </c>
      <c r="E155" s="21" t="s">
        <v>5</v>
      </c>
      <c r="F155" s="18" t="s">
        <v>4</v>
      </c>
      <c r="G155" s="22" t="s">
        <v>4</v>
      </c>
      <c r="H155" s="18" t="s">
        <v>4</v>
      </c>
      <c r="J155" s="16">
        <v>3</v>
      </c>
      <c r="K155" s="149">
        <f t="shared" si="4"/>
        <v>69.75</v>
      </c>
      <c r="L155" s="149">
        <f t="shared" si="5"/>
        <v>23.25</v>
      </c>
      <c r="M155" s="44">
        <f t="shared" si="3"/>
        <v>0.6173967746557617</v>
      </c>
      <c r="P155" s="174"/>
      <c r="Q155" s="191">
        <v>2</v>
      </c>
      <c r="R155" s="192">
        <f t="shared" si="6"/>
        <v>59.145835000000005</v>
      </c>
      <c r="U155" s="16">
        <v>2</v>
      </c>
      <c r="V155" s="211">
        <v>59.145835000000005</v>
      </c>
      <c r="W155" s="149">
        <f t="shared" ref="W155:W203" si="10">V155/U155</f>
        <v>29.572917500000003</v>
      </c>
      <c r="X155" s="44">
        <f t="shared" si="7"/>
        <v>0.78529995189939505</v>
      </c>
      <c r="AC155" s="214">
        <v>2.1174303061225999</v>
      </c>
      <c r="AD155" s="16">
        <v>2</v>
      </c>
      <c r="AE155" s="149">
        <f t="shared" ref="AE155:AE203" si="11">(AE$149*AD155)+AE$150</f>
        <v>61.263265306122605</v>
      </c>
      <c r="AF155" s="200">
        <v>3.1</v>
      </c>
      <c r="AG155" s="204">
        <f t="shared" si="8"/>
        <v>2.9889285008524107</v>
      </c>
      <c r="AI155" s="16">
        <v>2</v>
      </c>
      <c r="AJ155" s="149">
        <f t="shared" si="9"/>
        <v>58.274336805270195</v>
      </c>
      <c r="AK155" s="149">
        <f t="shared" ref="AK155:AK203" si="12">AJ155/AI155</f>
        <v>29.137168402635098</v>
      </c>
      <c r="AL155" s="44">
        <f t="shared" ref="AL155:AL185" si="13">SQRT(12*32.2*AK155^2/(4*$B$153*($B$152*56)*$B$151^2))</f>
        <v>0.77372876535005097</v>
      </c>
      <c r="AM155" s="149">
        <f t="shared" ref="AM155:AM203" si="14">(AL155*$B$151)*SQRT(4*$B$153*$B$154/32.2)/12</f>
        <v>29.136478467943423</v>
      </c>
      <c r="AN155" s="149">
        <f t="shared" ref="AN155:AN203" si="15">(AI155*AM155)</f>
        <v>58.272956935886846</v>
      </c>
      <c r="AQ155" s="54">
        <v>3</v>
      </c>
      <c r="AR155" s="220">
        <v>0.71508767904061554</v>
      </c>
      <c r="AS155" s="83">
        <v>27.867454756590096</v>
      </c>
      <c r="AT155" s="221">
        <v>83.602364269770291</v>
      </c>
      <c r="AU155" s="222"/>
    </row>
    <row r="156" spans="1:48" ht="15" x14ac:dyDescent="0.25">
      <c r="B156" s="42"/>
      <c r="C156" s="16">
        <v>1</v>
      </c>
      <c r="D156" s="140">
        <v>33.561842105263182</v>
      </c>
      <c r="E156" s="27">
        <f>D156/C156</f>
        <v>33.561842105263182</v>
      </c>
      <c r="F156" s="44">
        <f t="shared" ref="F156:F165" si="16">SQRT(12*32.2*E156^2/(4*$B$153*($B$152*56)*$B$151^2))</f>
        <v>0.89122464805571744</v>
      </c>
      <c r="G156" s="46">
        <v>0.69992745230334086</v>
      </c>
      <c r="H156" s="163">
        <f>(F156)</f>
        <v>0.89122464805571744</v>
      </c>
      <c r="I156" s="9"/>
      <c r="J156" s="16">
        <v>4</v>
      </c>
      <c r="K156" s="149">
        <f t="shared" si="4"/>
        <v>91.5</v>
      </c>
      <c r="L156" s="149">
        <f t="shared" si="5"/>
        <v>22.875</v>
      </c>
      <c r="M156" s="44">
        <f t="shared" si="3"/>
        <v>0.60743876216131398</v>
      </c>
      <c r="P156" s="174"/>
      <c r="Q156" s="191">
        <v>3</v>
      </c>
      <c r="R156" s="192">
        <f t="shared" si="6"/>
        <v>82.863478999999998</v>
      </c>
      <c r="U156" s="16">
        <v>3</v>
      </c>
      <c r="V156" s="211">
        <v>82.863478999999998</v>
      </c>
      <c r="W156" s="149">
        <f t="shared" si="10"/>
        <v>27.621159666666667</v>
      </c>
      <c r="X156" s="44">
        <f t="shared" si="7"/>
        <v>0.73347160819147605</v>
      </c>
      <c r="Z156" s="9"/>
      <c r="AC156" s="214">
        <v>4.5630516122450473</v>
      </c>
      <c r="AD156" s="16">
        <v>3</v>
      </c>
      <c r="AE156" s="149">
        <f t="shared" si="11"/>
        <v>87.426530612245045</v>
      </c>
      <c r="AF156" s="200">
        <v>6.2</v>
      </c>
      <c r="AG156" s="204">
        <f t="shared" si="8"/>
        <v>6.6399640790901637</v>
      </c>
      <c r="AI156" s="16">
        <v>3</v>
      </c>
      <c r="AJ156" s="149">
        <f t="shared" si="9"/>
        <v>80.786566533154883</v>
      </c>
      <c r="AK156" s="149">
        <f t="shared" si="12"/>
        <v>26.928855511051626</v>
      </c>
      <c r="AL156" s="44">
        <f t="shared" si="13"/>
        <v>0.71508767904061554</v>
      </c>
      <c r="AM156" s="149">
        <f t="shared" si="14"/>
        <v>26.928217866673577</v>
      </c>
      <c r="AN156" s="149">
        <f t="shared" si="15"/>
        <v>80.784653600020732</v>
      </c>
      <c r="AQ156" s="54">
        <v>4</v>
      </c>
      <c r="AR156" s="220">
        <v>0.68689211486212065</v>
      </c>
      <c r="AS156" s="83">
        <v>26.549399464048673</v>
      </c>
      <c r="AT156" s="221">
        <v>106.19759785619469</v>
      </c>
      <c r="AU156" s="222"/>
    </row>
    <row r="157" spans="1:48" ht="15" x14ac:dyDescent="0.25">
      <c r="B157" s="43"/>
      <c r="C157" s="26">
        <v>2</v>
      </c>
      <c r="D157" s="141">
        <v>55.500000000000021</v>
      </c>
      <c r="E157" s="28">
        <f t="shared" ref="E157:E165" si="17">D157/C157</f>
        <v>27.750000000000011</v>
      </c>
      <c r="F157" s="44">
        <f t="shared" si="16"/>
        <v>0.73689292458913536</v>
      </c>
      <c r="G157" s="47">
        <v>0.69992745230334086</v>
      </c>
      <c r="H157" s="164">
        <f>(F157)</f>
        <v>0.73689292458913536</v>
      </c>
      <c r="I157" s="9"/>
      <c r="J157" s="16">
        <v>5</v>
      </c>
      <c r="K157" s="149">
        <f t="shared" si="4"/>
        <v>113.25</v>
      </c>
      <c r="L157" s="149">
        <f t="shared" si="5"/>
        <v>22.65</v>
      </c>
      <c r="M157" s="44">
        <f t="shared" si="3"/>
        <v>0.60146395466464531</v>
      </c>
      <c r="Q157" s="191">
        <v>4</v>
      </c>
      <c r="R157" s="192">
        <f t="shared" si="6"/>
        <v>106.29777299999999</v>
      </c>
      <c r="U157" s="16">
        <v>4</v>
      </c>
      <c r="V157" s="211">
        <v>106.29777299999999</v>
      </c>
      <c r="W157" s="149">
        <f t="shared" si="10"/>
        <v>26.574443249999998</v>
      </c>
      <c r="X157" s="44">
        <f t="shared" si="7"/>
        <v>0.70567636777731524</v>
      </c>
      <c r="AC157" s="214">
        <v>7.2920229183674934</v>
      </c>
      <c r="AD157" s="16">
        <v>4</v>
      </c>
      <c r="AE157" s="149">
        <f t="shared" si="11"/>
        <v>113.58979591836749</v>
      </c>
      <c r="AF157" s="200">
        <v>9.6999999999999993</v>
      </c>
      <c r="AG157" s="204">
        <f t="shared" si="8"/>
        <v>10.121541297512131</v>
      </c>
      <c r="AI157" s="16">
        <v>4</v>
      </c>
      <c r="AJ157" s="149">
        <f t="shared" si="9"/>
        <v>103.46825462085536</v>
      </c>
      <c r="AK157" s="149">
        <f t="shared" si="12"/>
        <v>25.86706365521384</v>
      </c>
      <c r="AL157" s="44">
        <f t="shared" si="13"/>
        <v>0.68689211486212065</v>
      </c>
      <c r="AM157" s="149">
        <f t="shared" si="14"/>
        <v>25.866451152847759</v>
      </c>
      <c r="AN157" s="149">
        <f t="shared" si="15"/>
        <v>103.46580461139104</v>
      </c>
      <c r="AQ157" s="54">
        <v>5</v>
      </c>
      <c r="AR157" s="220">
        <v>0.67087077100255066</v>
      </c>
      <c r="AS157" s="83">
        <v>25.551443313981597</v>
      </c>
      <c r="AT157" s="221">
        <v>129</v>
      </c>
      <c r="AU157" s="222"/>
    </row>
    <row r="158" spans="1:48" ht="15" x14ac:dyDescent="0.25">
      <c r="B158" s="42"/>
      <c r="C158" s="16">
        <v>3</v>
      </c>
      <c r="D158" s="140">
        <v>77.438157894736861</v>
      </c>
      <c r="E158" s="27">
        <f t="shared" si="17"/>
        <v>25.812719298245622</v>
      </c>
      <c r="F158" s="44">
        <f t="shared" si="16"/>
        <v>0.68544901676694137</v>
      </c>
      <c r="G158" s="46">
        <v>0.70001912583998827</v>
      </c>
      <c r="H158" s="163">
        <f t="shared" ref="H158:H165" si="18">(F158)</f>
        <v>0.68544901676694137</v>
      </c>
      <c r="I158" s="9"/>
      <c r="J158" s="16">
        <v>6</v>
      </c>
      <c r="K158" s="149">
        <f t="shared" si="4"/>
        <v>135</v>
      </c>
      <c r="L158" s="149">
        <f t="shared" si="5"/>
        <v>22.5</v>
      </c>
      <c r="M158" s="44">
        <f t="shared" si="3"/>
        <v>0.59748074966686626</v>
      </c>
      <c r="Q158" s="191">
        <v>5</v>
      </c>
      <c r="R158" s="192">
        <f t="shared" si="6"/>
        <v>129.44871699999999</v>
      </c>
      <c r="U158" s="16">
        <v>5</v>
      </c>
      <c r="V158" s="211">
        <v>129.44871699999999</v>
      </c>
      <c r="W158" s="149">
        <f t="shared" si="10"/>
        <v>25.889743399999997</v>
      </c>
      <c r="X158" s="44">
        <f t="shared" si="7"/>
        <v>0.68749436868065783</v>
      </c>
      <c r="AC158" s="214">
        <v>10.304344224489938</v>
      </c>
      <c r="AD158" s="16">
        <v>5</v>
      </c>
      <c r="AE158" s="149">
        <f t="shared" si="11"/>
        <v>139.75306122448993</v>
      </c>
      <c r="AF158" s="200">
        <v>13.2</v>
      </c>
      <c r="AG158" s="204">
        <f t="shared" si="8"/>
        <v>13.434411159415941</v>
      </c>
      <c r="AI158" s="16">
        <v>5</v>
      </c>
      <c r="AJ158" s="149">
        <f t="shared" si="9"/>
        <v>126.31865006507398</v>
      </c>
      <c r="AK158" s="149">
        <f t="shared" si="12"/>
        <v>25.263730013014797</v>
      </c>
      <c r="AL158" s="44">
        <f t="shared" si="13"/>
        <v>0.67087077100255066</v>
      </c>
      <c r="AM158" s="149">
        <f t="shared" si="14"/>
        <v>25.263131796896598</v>
      </c>
      <c r="AN158" s="149">
        <f t="shared" si="15"/>
        <v>126.31565898448299</v>
      </c>
      <c r="AQ158" s="219">
        <v>6</v>
      </c>
      <c r="AR158" s="223">
        <v>0.66093321352456713</v>
      </c>
      <c r="AS158" s="222"/>
      <c r="AT158" s="222"/>
      <c r="AU158" s="222"/>
    </row>
    <row r="159" spans="1:48" ht="15" x14ac:dyDescent="0.25">
      <c r="B159" s="42"/>
      <c r="C159" s="16">
        <v>4</v>
      </c>
      <c r="D159" s="140">
        <v>99.376315789473708</v>
      </c>
      <c r="E159" s="27">
        <f t="shared" si="17"/>
        <v>24.844078947368427</v>
      </c>
      <c r="F159" s="44">
        <f t="shared" si="16"/>
        <v>0.65972706285584437</v>
      </c>
      <c r="G159" s="46">
        <v>0.69999620745582647</v>
      </c>
      <c r="H159" s="163">
        <f t="shared" si="18"/>
        <v>0.65972706285584437</v>
      </c>
      <c r="I159" s="9"/>
      <c r="J159" s="16">
        <v>7</v>
      </c>
      <c r="K159" s="149">
        <f t="shared" si="4"/>
        <v>156.75</v>
      </c>
      <c r="L159" s="149">
        <f t="shared" si="5"/>
        <v>22.392857142857142</v>
      </c>
      <c r="M159" s="44">
        <f t="shared" si="3"/>
        <v>0.59463560323988118</v>
      </c>
      <c r="Q159" s="191">
        <v>6</v>
      </c>
      <c r="R159" s="192">
        <f t="shared" si="6"/>
        <v>152.31631100000001</v>
      </c>
      <c r="U159" s="16">
        <v>6</v>
      </c>
      <c r="V159" s="211">
        <v>152.31631100000001</v>
      </c>
      <c r="W159" s="149">
        <f t="shared" si="10"/>
        <v>25.386051833333337</v>
      </c>
      <c r="X159" s="44">
        <f t="shared" si="7"/>
        <v>0.67411899024275224</v>
      </c>
      <c r="AC159" s="214">
        <v>13.600015530612353</v>
      </c>
      <c r="AD159" s="16">
        <v>6</v>
      </c>
      <c r="AE159" s="149">
        <f t="shared" si="11"/>
        <v>165.91632653061237</v>
      </c>
      <c r="AF159" s="200">
        <v>16.2</v>
      </c>
      <c r="AG159" s="204">
        <f t="shared" si="8"/>
        <v>16.579324668099222</v>
      </c>
      <c r="AI159" s="16">
        <v>6</v>
      </c>
      <c r="AJ159" s="149">
        <f t="shared" si="9"/>
        <v>149.33700186251315</v>
      </c>
      <c r="AK159" s="149">
        <f t="shared" si="12"/>
        <v>24.889500310418857</v>
      </c>
      <c r="AL159" s="44">
        <f t="shared" si="13"/>
        <v>0.66093321352456713</v>
      </c>
      <c r="AM159" s="149">
        <f t="shared" si="14"/>
        <v>24.888910955630319</v>
      </c>
      <c r="AN159" s="149">
        <f t="shared" si="15"/>
        <v>149.33346573378191</v>
      </c>
      <c r="AQ159" s="219">
        <v>7</v>
      </c>
      <c r="AR159" s="223">
        <v>0.65446925645502485</v>
      </c>
      <c r="AS159" s="222"/>
      <c r="AT159" s="222"/>
      <c r="AU159" s="222"/>
    </row>
    <row r="160" spans="1:48" ht="15" x14ac:dyDescent="0.25">
      <c r="B160" s="43"/>
      <c r="C160" s="26">
        <v>5</v>
      </c>
      <c r="D160" s="141">
        <v>121.31447368421055</v>
      </c>
      <c r="E160" s="28">
        <f t="shared" si="17"/>
        <v>24.26289473684211</v>
      </c>
      <c r="F160" s="44">
        <f t="shared" si="16"/>
        <v>0.64429389050918606</v>
      </c>
      <c r="G160" s="47">
        <v>0.70003746054731775</v>
      </c>
      <c r="H160" s="164">
        <f t="shared" si="18"/>
        <v>0.64429389050918606</v>
      </c>
      <c r="I160" s="9"/>
      <c r="J160" s="16">
        <v>8</v>
      </c>
      <c r="K160" s="149">
        <f t="shared" si="4"/>
        <v>178.5</v>
      </c>
      <c r="L160" s="149">
        <f t="shared" si="5"/>
        <v>22.3125</v>
      </c>
      <c r="M160" s="44">
        <f t="shared" si="3"/>
        <v>0.59250174341964235</v>
      </c>
      <c r="Q160" s="191">
        <v>7</v>
      </c>
      <c r="R160" s="192">
        <f t="shared" si="6"/>
        <v>174.90055500000003</v>
      </c>
      <c r="U160" s="16">
        <v>7</v>
      </c>
      <c r="V160" s="211">
        <v>174.90055500000003</v>
      </c>
      <c r="W160" s="149">
        <f t="shared" si="10"/>
        <v>24.985793571428577</v>
      </c>
      <c r="X160" s="44">
        <f t="shared" si="7"/>
        <v>0.66349025218127611</v>
      </c>
      <c r="AC160" s="214">
        <v>17.179036836734781</v>
      </c>
      <c r="AD160" s="16">
        <v>7</v>
      </c>
      <c r="AE160" s="149">
        <f>(AE$149*AD160)+AE$150</f>
        <v>192.07959183673481</v>
      </c>
      <c r="AF160" s="200">
        <v>19.5</v>
      </c>
      <c r="AG160" s="204">
        <f t="shared" si="8"/>
        <v>19.557032826859601</v>
      </c>
      <c r="AI160" s="16">
        <v>7</v>
      </c>
      <c r="AJ160" s="149">
        <f t="shared" si="9"/>
        <v>172.52255900987521</v>
      </c>
      <c r="AK160" s="149">
        <f t="shared" si="12"/>
        <v>24.646079858553602</v>
      </c>
      <c r="AL160" s="44">
        <f t="shared" si="13"/>
        <v>0.65446925645502485</v>
      </c>
      <c r="AM160" s="149">
        <f t="shared" si="14"/>
        <v>24.64549626768186</v>
      </c>
      <c r="AN160" s="149">
        <f t="shared" si="15"/>
        <v>172.51847387377302</v>
      </c>
      <c r="AQ160" s="219">
        <v>8</v>
      </c>
      <c r="AR160" s="223">
        <v>0.65017380680735126</v>
      </c>
      <c r="AS160" s="222"/>
      <c r="AT160" s="222"/>
      <c r="AU160" s="222"/>
    </row>
    <row r="161" spans="2:47" ht="15" x14ac:dyDescent="0.25">
      <c r="B161" s="42"/>
      <c r="C161" s="16">
        <v>10</v>
      </c>
      <c r="D161" s="140">
        <v>231.00526315789477</v>
      </c>
      <c r="E161" s="27">
        <f t="shared" si="17"/>
        <v>23.100526315789477</v>
      </c>
      <c r="F161" s="44">
        <f t="shared" si="16"/>
        <v>0.61342754581586967</v>
      </c>
      <c r="G161" s="46">
        <v>0.70000995848632352</v>
      </c>
      <c r="H161" s="163">
        <f t="shared" si="18"/>
        <v>0.61342754581586967</v>
      </c>
      <c r="I161" s="9"/>
      <c r="J161" s="16">
        <v>9</v>
      </c>
      <c r="K161" s="149">
        <f t="shared" si="4"/>
        <v>200.25</v>
      </c>
      <c r="L161" s="149">
        <f t="shared" si="5"/>
        <v>22.25</v>
      </c>
      <c r="M161" s="44">
        <f t="shared" si="3"/>
        <v>0.59084207467056771</v>
      </c>
      <c r="Q161" s="191">
        <v>8</v>
      </c>
      <c r="R161" s="192">
        <f t="shared" si="6"/>
        <v>197.20144900000003</v>
      </c>
      <c r="U161" s="16">
        <v>8</v>
      </c>
      <c r="V161" s="211">
        <v>197.20144900000003</v>
      </c>
      <c r="W161" s="149">
        <f t="shared" si="10"/>
        <v>24.650181125000003</v>
      </c>
      <c r="X161" s="44">
        <f t="shared" si="7"/>
        <v>0.65457816435506833</v>
      </c>
      <c r="AC161" s="214">
        <v>21.041408142857222</v>
      </c>
      <c r="AD161" s="16">
        <v>8</v>
      </c>
      <c r="AE161" s="149">
        <f t="shared" si="11"/>
        <v>218.24285714285725</v>
      </c>
      <c r="AF161" s="200">
        <v>22.3</v>
      </c>
      <c r="AG161" s="204">
        <f t="shared" si="8"/>
        <v>22.368286638994707</v>
      </c>
      <c r="AI161" s="16">
        <v>8</v>
      </c>
      <c r="AJ161" s="149">
        <f t="shared" si="9"/>
        <v>195.87457050386254</v>
      </c>
      <c r="AK161" s="149">
        <f t="shared" si="12"/>
        <v>24.484321312982818</v>
      </c>
      <c r="AL161" s="44">
        <f t="shared" si="13"/>
        <v>0.65017380680735126</v>
      </c>
      <c r="AM161" s="149">
        <f t="shared" si="14"/>
        <v>24.483741552367693</v>
      </c>
      <c r="AN161" s="149">
        <f t="shared" si="15"/>
        <v>195.86993241894154</v>
      </c>
      <c r="AQ161" s="219">
        <v>9</v>
      </c>
      <c r="AR161" s="223">
        <v>0.64732181292233959</v>
      </c>
      <c r="AS161" s="222"/>
      <c r="AT161" s="222"/>
      <c r="AU161" s="222"/>
    </row>
    <row r="162" spans="2:47" ht="15" x14ac:dyDescent="0.25">
      <c r="B162" s="42"/>
      <c r="C162" s="16">
        <v>20</v>
      </c>
      <c r="D162" s="140">
        <v>450.38684210526321</v>
      </c>
      <c r="E162" s="27">
        <f t="shared" si="17"/>
        <v>22.51934210526316</v>
      </c>
      <c r="F162" s="44">
        <f t="shared" si="16"/>
        <v>0.59799437346921147</v>
      </c>
      <c r="G162" s="46">
        <v>0.69999620745582647</v>
      </c>
      <c r="H162" s="163">
        <f t="shared" si="18"/>
        <v>0.59799437346921147</v>
      </c>
      <c r="I162" s="16"/>
      <c r="J162" s="16">
        <v>10</v>
      </c>
      <c r="K162" s="149">
        <f t="shared" si="4"/>
        <v>222</v>
      </c>
      <c r="L162" s="149">
        <f t="shared" si="5"/>
        <v>22.2</v>
      </c>
      <c r="M162" s="44">
        <f t="shared" si="3"/>
        <v>0.58951433967130795</v>
      </c>
      <c r="Q162" s="191">
        <v>9</v>
      </c>
      <c r="R162" s="192">
        <f t="shared" si="6"/>
        <v>219.21899300000001</v>
      </c>
      <c r="U162" s="16">
        <v>9</v>
      </c>
      <c r="V162" s="211">
        <v>219.21899300000001</v>
      </c>
      <c r="W162" s="149">
        <f t="shared" si="10"/>
        <v>24.357665888888889</v>
      </c>
      <c r="X162" s="44">
        <f t="shared" si="7"/>
        <v>0.64681051001903955</v>
      </c>
      <c r="AC162" s="214">
        <v>25.187129448979675</v>
      </c>
      <c r="AD162" s="16">
        <v>9</v>
      </c>
      <c r="AE162" s="149">
        <f t="shared" si="11"/>
        <v>244.40612244897969</v>
      </c>
      <c r="AF162" s="200">
        <v>25</v>
      </c>
      <c r="AG162" s="204">
        <f t="shared" si="8"/>
        <v>25.013837107802168</v>
      </c>
      <c r="AI162" s="16">
        <v>9</v>
      </c>
      <c r="AJ162" s="149">
        <f t="shared" si="9"/>
        <v>219.39228534117751</v>
      </c>
      <c r="AK162" s="149">
        <f t="shared" si="12"/>
        <v>24.376920593464167</v>
      </c>
      <c r="AL162" s="44">
        <f t="shared" si="13"/>
        <v>0.64732181292233959</v>
      </c>
      <c r="AM162" s="149">
        <f t="shared" si="14"/>
        <v>24.376343375974766</v>
      </c>
      <c r="AN162" s="149">
        <f t="shared" si="15"/>
        <v>219.38709038377289</v>
      </c>
      <c r="AQ162" s="54">
        <v>10</v>
      </c>
      <c r="AR162" s="220">
        <v>0.64547824380446561</v>
      </c>
      <c r="AS162" s="83">
        <v>24.101582492186029</v>
      </c>
      <c r="AT162" s="221">
        <v>241.01582492186029</v>
      </c>
      <c r="AU162" s="222"/>
    </row>
    <row r="163" spans="2:47" ht="15" x14ac:dyDescent="0.25">
      <c r="B163" s="42"/>
      <c r="C163" s="16">
        <v>30</v>
      </c>
      <c r="D163" s="140">
        <v>669.76842105263165</v>
      </c>
      <c r="E163" s="27">
        <f t="shared" si="17"/>
        <v>22.325614035087721</v>
      </c>
      <c r="F163" s="44">
        <f t="shared" si="16"/>
        <v>0.59284998268699207</v>
      </c>
      <c r="G163" s="46">
        <v>0.70001912583998827</v>
      </c>
      <c r="H163" s="163">
        <f t="shared" si="18"/>
        <v>0.59284998268699207</v>
      </c>
      <c r="I163" s="9"/>
      <c r="J163" s="16">
        <v>11</v>
      </c>
      <c r="K163" s="149">
        <f t="shared" si="4"/>
        <v>243.75</v>
      </c>
      <c r="L163" s="149">
        <f t="shared" si="5"/>
        <v>22.15909090909091</v>
      </c>
      <c r="M163" s="44">
        <f t="shared" si="3"/>
        <v>0.58842801103555009</v>
      </c>
      <c r="Q163" s="191">
        <v>10</v>
      </c>
      <c r="R163" s="192">
        <f t="shared" si="6"/>
        <v>240.95318700000001</v>
      </c>
      <c r="U163" s="16">
        <v>10</v>
      </c>
      <c r="V163" s="211">
        <v>240.95318700000001</v>
      </c>
      <c r="W163" s="149">
        <f t="shared" si="10"/>
        <v>24.0953187</v>
      </c>
      <c r="X163" s="44">
        <f t="shared" si="7"/>
        <v>0.63984395912613601</v>
      </c>
      <c r="AC163" s="214">
        <v>29.616200755102113</v>
      </c>
      <c r="AD163" s="16">
        <v>10</v>
      </c>
      <c r="AE163" s="149">
        <f t="shared" si="11"/>
        <v>270.56938775510213</v>
      </c>
      <c r="AF163" s="200">
        <v>27.6</v>
      </c>
      <c r="AG163" s="204">
        <f t="shared" si="8"/>
        <v>27.494435236579609</v>
      </c>
      <c r="AI163" s="16">
        <v>10</v>
      </c>
      <c r="AJ163" s="149">
        <f t="shared" si="9"/>
        <v>243.07495251852251</v>
      </c>
      <c r="AK163" s="149">
        <f t="shared" si="12"/>
        <v>24.307495251852252</v>
      </c>
      <c r="AL163" s="44">
        <f t="shared" si="13"/>
        <v>0.64547824380446561</v>
      </c>
      <c r="AM163" s="149">
        <f t="shared" si="14"/>
        <v>24.306919678275221</v>
      </c>
      <c r="AN163" s="149">
        <f t="shared" si="15"/>
        <v>243.06919678275221</v>
      </c>
      <c r="AQ163" s="54">
        <v>20</v>
      </c>
      <c r="AR163" s="220">
        <v>0.64900852816293231</v>
      </c>
      <c r="AS163" s="83">
        <v>24.478169718626436</v>
      </c>
      <c r="AT163" s="221">
        <v>489.56339437252871</v>
      </c>
      <c r="AU163" s="222"/>
    </row>
    <row r="164" spans="2:47" ht="15" x14ac:dyDescent="0.25">
      <c r="B164" s="43"/>
      <c r="C164" s="26">
        <v>40</v>
      </c>
      <c r="D164" s="141">
        <v>889.15000000000009</v>
      </c>
      <c r="E164" s="28">
        <f t="shared" si="17"/>
        <v>22.228750000000002</v>
      </c>
      <c r="F164" s="44">
        <f t="shared" si="16"/>
        <v>0.59027778729588243</v>
      </c>
      <c r="G164" s="47">
        <v>0.69999620745582647</v>
      </c>
      <c r="H164" s="164">
        <f t="shared" si="18"/>
        <v>0.59027778729588243</v>
      </c>
      <c r="J164" s="16">
        <v>12</v>
      </c>
      <c r="K164" s="149">
        <f t="shared" si="4"/>
        <v>265.5</v>
      </c>
      <c r="L164" s="149">
        <f t="shared" si="5"/>
        <v>22.125</v>
      </c>
      <c r="M164" s="44">
        <f t="shared" si="3"/>
        <v>0.58752273717241843</v>
      </c>
      <c r="Q164" s="191">
        <v>11</v>
      </c>
      <c r="R164" s="193">
        <f t="shared" ref="R164:R203" si="19">(R$146*(Q164)^2)+(R$147*(Q164)^1)+(R$148)</f>
        <v>265.66351700000001</v>
      </c>
      <c r="U164" s="16">
        <v>11</v>
      </c>
      <c r="V164" s="211">
        <v>265.66351700000001</v>
      </c>
      <c r="W164" s="149">
        <f t="shared" si="10"/>
        <v>24.151228818181821</v>
      </c>
      <c r="X164" s="44">
        <f t="shared" si="7"/>
        <v>0.64132863554059105</v>
      </c>
      <c r="AC164" s="214">
        <v>31.069136061224583</v>
      </c>
      <c r="AD164" s="16">
        <v>11</v>
      </c>
      <c r="AE164" s="149">
        <f t="shared" si="11"/>
        <v>296.7326530612246</v>
      </c>
      <c r="AF164" s="200">
        <v>30</v>
      </c>
      <c r="AG164" s="204">
        <f t="shared" si="8"/>
        <v>29.810832028624663</v>
      </c>
      <c r="AI164" s="16">
        <v>11</v>
      </c>
      <c r="AJ164" s="149">
        <f t="shared" si="9"/>
        <v>266.92182103259995</v>
      </c>
      <c r="AK164" s="149">
        <f t="shared" si="12"/>
        <v>24.265620093872723</v>
      </c>
      <c r="AL164" s="44">
        <f t="shared" si="13"/>
        <v>0.64436626154748655</v>
      </c>
      <c r="AM164" s="149">
        <f t="shared" si="14"/>
        <v>24.265045511851351</v>
      </c>
      <c r="AN164" s="149">
        <f t="shared" si="15"/>
        <v>266.91550063036487</v>
      </c>
      <c r="AQ164" s="54">
        <v>30</v>
      </c>
      <c r="AR164" s="220">
        <v>0.66405492482086281</v>
      </c>
      <c r="AS164" s="83">
        <v>25.04305055828705</v>
      </c>
      <c r="AT164" s="221">
        <v>751.29151674861146</v>
      </c>
      <c r="AU164" s="222"/>
    </row>
    <row r="165" spans="2:47" ht="15" x14ac:dyDescent="0.25">
      <c r="B165" s="42"/>
      <c r="C165" s="16">
        <v>50</v>
      </c>
      <c r="D165" s="140">
        <v>1108.5315789473684</v>
      </c>
      <c r="E165" s="27">
        <f t="shared" si="17"/>
        <v>22.170631578947368</v>
      </c>
      <c r="F165" s="44">
        <f t="shared" si="16"/>
        <v>0.58873447006121649</v>
      </c>
      <c r="G165" s="46">
        <v>0.69998795683752812</v>
      </c>
      <c r="H165" s="163">
        <f t="shared" si="18"/>
        <v>0.58873447006121649</v>
      </c>
      <c r="J165" s="16">
        <v>13</v>
      </c>
      <c r="K165" s="149">
        <f t="shared" si="4"/>
        <v>287.25</v>
      </c>
      <c r="L165" s="149">
        <f t="shared" si="5"/>
        <v>22.096153846153847</v>
      </c>
      <c r="M165" s="44">
        <f t="shared" si="3"/>
        <v>0.58675673621130708</v>
      </c>
      <c r="Q165" s="191">
        <v>12</v>
      </c>
      <c r="R165" s="193">
        <f t="shared" si="19"/>
        <v>289.86463700000002</v>
      </c>
      <c r="U165" s="16">
        <v>12</v>
      </c>
      <c r="V165" s="211">
        <v>289.86463700000002</v>
      </c>
      <c r="W165" s="149">
        <f t="shared" si="10"/>
        <v>24.155386416666669</v>
      </c>
      <c r="X165" s="44">
        <f t="shared" si="7"/>
        <v>0.64143903932101509</v>
      </c>
      <c r="AC165" s="214">
        <v>33.031281367346992</v>
      </c>
      <c r="AD165" s="16">
        <v>12</v>
      </c>
      <c r="AE165" s="149">
        <f t="shared" si="11"/>
        <v>322.89591836734701</v>
      </c>
      <c r="AF165" s="200">
        <v>32</v>
      </c>
      <c r="AG165" s="204">
        <f t="shared" si="8"/>
        <v>31.963778487234951</v>
      </c>
      <c r="AI165" s="16">
        <v>12</v>
      </c>
      <c r="AJ165" s="149">
        <f t="shared" si="9"/>
        <v>290.93213988011206</v>
      </c>
      <c r="AK165" s="149">
        <f t="shared" si="12"/>
        <v>24.244344990009338</v>
      </c>
      <c r="AL165" s="44">
        <f t="shared" si="13"/>
        <v>0.64380130754724052</v>
      </c>
      <c r="AM165" s="149">
        <f t="shared" si="14"/>
        <v>24.243770911757995</v>
      </c>
      <c r="AN165" s="149">
        <f t="shared" si="15"/>
        <v>290.92525094109595</v>
      </c>
      <c r="AQ165" s="54">
        <v>40</v>
      </c>
      <c r="AR165" s="224">
        <v>0.68148178287224948</v>
      </c>
      <c r="AS165" s="83">
        <v>25.607931397947663</v>
      </c>
      <c r="AT165" s="221">
        <v>1024.3172559179066</v>
      </c>
      <c r="AU165" s="222"/>
    </row>
    <row r="166" spans="2:47" ht="15" x14ac:dyDescent="0.25">
      <c r="J166" s="16">
        <v>14</v>
      </c>
      <c r="K166" s="149">
        <f t="shared" si="4"/>
        <v>309</v>
      </c>
      <c r="L166" s="149">
        <f t="shared" si="5"/>
        <v>22.071428571428573</v>
      </c>
      <c r="M166" s="44">
        <f t="shared" si="3"/>
        <v>0.58610016395892595</v>
      </c>
      <c r="Q166" s="191">
        <v>13</v>
      </c>
      <c r="R166" s="193">
        <f t="shared" si="19"/>
        <v>314.21101299999998</v>
      </c>
      <c r="U166" s="16">
        <v>13</v>
      </c>
      <c r="V166" s="211">
        <v>314.21101299999998</v>
      </c>
      <c r="W166" s="149">
        <f t="shared" si="10"/>
        <v>24.170077923076921</v>
      </c>
      <c r="X166" s="44">
        <f t="shared" si="7"/>
        <v>0.64182916786606992</v>
      </c>
      <c r="AC166" s="214">
        <v>34.84817067346944</v>
      </c>
      <c r="AD166" s="16">
        <v>13</v>
      </c>
      <c r="AE166" s="149">
        <f t="shared" si="11"/>
        <v>349.05918367346942</v>
      </c>
      <c r="AF166" s="200">
        <v>34</v>
      </c>
      <c r="AG166" s="204">
        <f t="shared" si="8"/>
        <v>33.954025615708105</v>
      </c>
      <c r="AI166" s="16">
        <v>13</v>
      </c>
      <c r="AJ166" s="149">
        <f t="shared" si="9"/>
        <v>315.10515805776129</v>
      </c>
      <c r="AK166" s="149">
        <f t="shared" si="12"/>
        <v>24.238858312135484</v>
      </c>
      <c r="AL166" s="44">
        <f t="shared" si="13"/>
        <v>0.64365561046238495</v>
      </c>
      <c r="AM166" s="149">
        <f t="shared" si="14"/>
        <v>24.238284363802375</v>
      </c>
      <c r="AN166" s="149">
        <f t="shared" si="15"/>
        <v>315.09769672943088</v>
      </c>
      <c r="AQ166" s="54">
        <v>50</v>
      </c>
      <c r="AR166" s="220">
        <v>0.69946197213589079</v>
      </c>
      <c r="AS166" s="83">
        <v>26.361105850828469</v>
      </c>
      <c r="AT166" s="221">
        <v>1318.0552925414236</v>
      </c>
      <c r="AU166" s="222"/>
    </row>
    <row r="167" spans="2:47" ht="15" x14ac:dyDescent="0.2">
      <c r="J167" s="16">
        <v>15</v>
      </c>
      <c r="K167" s="149">
        <f t="shared" si="4"/>
        <v>330.75</v>
      </c>
      <c r="L167" s="149">
        <f t="shared" si="5"/>
        <v>22.05</v>
      </c>
      <c r="M167" s="44">
        <f t="shared" si="3"/>
        <v>0.58553113467352891</v>
      </c>
      <c r="Q167" s="191">
        <v>14</v>
      </c>
      <c r="R167" s="193">
        <f t="shared" si="19"/>
        <v>338.70264500000002</v>
      </c>
      <c r="U167" s="16">
        <v>14</v>
      </c>
      <c r="V167" s="211">
        <v>338.70264500000002</v>
      </c>
      <c r="W167" s="149">
        <f t="shared" si="10"/>
        <v>24.193046071428572</v>
      </c>
      <c r="X167" s="44">
        <f t="shared" si="7"/>
        <v>0.64243908015476336</v>
      </c>
      <c r="AC167" s="214">
        <v>36.51980397959187</v>
      </c>
      <c r="AD167" s="16">
        <v>14</v>
      </c>
      <c r="AE167" s="149">
        <f t="shared" si="11"/>
        <v>375.22244897959189</v>
      </c>
      <c r="AF167" s="200">
        <v>36</v>
      </c>
      <c r="AG167" s="204">
        <f t="shared" si="8"/>
        <v>35.782324417341748</v>
      </c>
      <c r="AI167" s="16">
        <v>14</v>
      </c>
      <c r="AJ167" s="149">
        <f t="shared" si="9"/>
        <v>339.44012456225016</v>
      </c>
      <c r="AK167" s="149">
        <f t="shared" si="12"/>
        <v>24.245723183017869</v>
      </c>
      <c r="AL167" s="44">
        <f t="shared" si="13"/>
        <v>0.64383790504910376</v>
      </c>
      <c r="AM167" s="149">
        <f t="shared" si="14"/>
        <v>24.245149072132502</v>
      </c>
      <c r="AN167" s="149">
        <f t="shared" si="15"/>
        <v>339.43208700985502</v>
      </c>
    </row>
    <row r="168" spans="2:47" ht="15" x14ac:dyDescent="0.2">
      <c r="J168" s="16">
        <v>16</v>
      </c>
      <c r="K168" s="149">
        <f t="shared" si="4"/>
        <v>352.5</v>
      </c>
      <c r="L168" s="149">
        <f t="shared" si="5"/>
        <v>22.03125</v>
      </c>
      <c r="M168" s="44">
        <f t="shared" si="3"/>
        <v>0.58503323404880658</v>
      </c>
      <c r="Q168" s="191">
        <v>15</v>
      </c>
      <c r="R168" s="193">
        <f t="shared" si="19"/>
        <v>363.33953300000002</v>
      </c>
      <c r="U168" s="16">
        <v>15</v>
      </c>
      <c r="V168" s="211">
        <v>363.33953300000002</v>
      </c>
      <c r="W168" s="149">
        <f t="shared" si="10"/>
        <v>24.222635533333335</v>
      </c>
      <c r="X168" s="44">
        <f t="shared" si="7"/>
        <v>0.64322481943836773</v>
      </c>
      <c r="AC168" s="214">
        <v>38.04618128571434</v>
      </c>
      <c r="AD168" s="16">
        <v>15</v>
      </c>
      <c r="AE168" s="149">
        <f t="shared" si="11"/>
        <v>401.38571428571436</v>
      </c>
      <c r="AF168" s="200">
        <v>37.5</v>
      </c>
      <c r="AG168" s="204">
        <f t="shared" si="8"/>
        <v>37.449425895433514</v>
      </c>
      <c r="AI168" s="16">
        <v>15</v>
      </c>
      <c r="AJ168" s="149">
        <f t="shared" si="9"/>
        <v>363.93628839028082</v>
      </c>
      <c r="AK168" s="149">
        <f t="shared" si="12"/>
        <v>24.262419226018721</v>
      </c>
      <c r="AL168" s="44">
        <f t="shared" si="13"/>
        <v>0.64428126346193126</v>
      </c>
      <c r="AM168" s="149">
        <f t="shared" si="14"/>
        <v>24.261844719790229</v>
      </c>
      <c r="AN168" s="149">
        <f t="shared" si="15"/>
        <v>363.92767079685342</v>
      </c>
    </row>
    <row r="169" spans="2:47" ht="15" x14ac:dyDescent="0.2">
      <c r="J169" s="16">
        <v>17</v>
      </c>
      <c r="K169" s="149">
        <f t="shared" si="4"/>
        <v>374.25</v>
      </c>
      <c r="L169" s="149">
        <f t="shared" si="5"/>
        <v>22.014705882352942</v>
      </c>
      <c r="M169" s="44">
        <f t="shared" si="3"/>
        <v>0.58459390996816918</v>
      </c>
      <c r="Q169" s="191">
        <v>16</v>
      </c>
      <c r="R169" s="193">
        <f t="shared" si="19"/>
        <v>388.12167699999998</v>
      </c>
      <c r="U169" s="16">
        <v>16</v>
      </c>
      <c r="V169" s="211">
        <v>388.12167699999998</v>
      </c>
      <c r="W169" s="149">
        <f t="shared" si="10"/>
        <v>24.257604812499999</v>
      </c>
      <c r="X169" s="44">
        <f t="shared" si="7"/>
        <v>0.644153418155337</v>
      </c>
      <c r="AC169" s="214">
        <v>39.427302591836792</v>
      </c>
      <c r="AD169" s="16">
        <v>16</v>
      </c>
      <c r="AE169" s="149">
        <f t="shared" si="11"/>
        <v>427.54897959183677</v>
      </c>
      <c r="AF169" s="200">
        <v>39</v>
      </c>
      <c r="AG169" s="204">
        <f t="shared" si="8"/>
        <v>38.956081053281032</v>
      </c>
      <c r="AI169" s="16">
        <v>16</v>
      </c>
      <c r="AJ169" s="149">
        <f t="shared" si="9"/>
        <v>388.59289853855574</v>
      </c>
      <c r="AK169" s="149">
        <f t="shared" si="12"/>
        <v>24.287056158659734</v>
      </c>
      <c r="AL169" s="44">
        <f t="shared" si="13"/>
        <v>0.64493548981676885</v>
      </c>
      <c r="AM169" s="149">
        <f t="shared" si="14"/>
        <v>24.286481069056965</v>
      </c>
      <c r="AN169" s="149">
        <f t="shared" si="15"/>
        <v>388.58369710491144</v>
      </c>
    </row>
    <row r="170" spans="2:47" ht="15" x14ac:dyDescent="0.2">
      <c r="J170" s="16">
        <v>18</v>
      </c>
      <c r="K170" s="149">
        <f t="shared" si="4"/>
        <v>396</v>
      </c>
      <c r="L170" s="149">
        <f t="shared" si="5"/>
        <v>22</v>
      </c>
      <c r="M170" s="44">
        <f t="shared" si="3"/>
        <v>0.58420339967426915</v>
      </c>
      <c r="Q170" s="191">
        <v>17</v>
      </c>
      <c r="R170" s="193">
        <f t="shared" si="19"/>
        <v>413.04907699999995</v>
      </c>
      <c r="U170" s="16">
        <v>17</v>
      </c>
      <c r="V170" s="211">
        <v>413.04907699999995</v>
      </c>
      <c r="W170" s="149">
        <f t="shared" si="10"/>
        <v>24.297004529411762</v>
      </c>
      <c r="X170" s="44">
        <f t="shared" si="7"/>
        <v>0.64519966581743038</v>
      </c>
      <c r="AC170" s="214">
        <v>40.663167897959227</v>
      </c>
      <c r="AD170" s="16">
        <v>17</v>
      </c>
      <c r="AE170" s="149">
        <f t="shared" si="11"/>
        <v>453.71224489795918</v>
      </c>
      <c r="AF170" s="200">
        <v>40.4</v>
      </c>
      <c r="AG170" s="204">
        <f t="shared" si="8"/>
        <v>40.303040894181912</v>
      </c>
      <c r="AI170" s="16">
        <v>17</v>
      </c>
      <c r="AJ170" s="149">
        <f t="shared" si="9"/>
        <v>413.40920400377729</v>
      </c>
      <c r="AK170" s="149">
        <f t="shared" si="12"/>
        <v>24.31818847081043</v>
      </c>
      <c r="AL170" s="44">
        <f t="shared" si="13"/>
        <v>0.64576219902577592</v>
      </c>
      <c r="AM170" s="149">
        <f t="shared" si="14"/>
        <v>24.317612644030252</v>
      </c>
      <c r="AN170" s="149">
        <f t="shared" si="15"/>
        <v>413.39941494851428</v>
      </c>
    </row>
    <row r="171" spans="2:47" ht="15" x14ac:dyDescent="0.2">
      <c r="J171" s="16">
        <v>19</v>
      </c>
      <c r="K171" s="149">
        <f t="shared" si="4"/>
        <v>417.75</v>
      </c>
      <c r="L171" s="149">
        <f t="shared" si="5"/>
        <v>21.986842105263158</v>
      </c>
      <c r="M171" s="44">
        <f t="shared" si="3"/>
        <v>0.58385399572709562</v>
      </c>
      <c r="Q171" s="191">
        <v>18</v>
      </c>
      <c r="R171" s="193">
        <f t="shared" si="19"/>
        <v>438.12173300000001</v>
      </c>
      <c r="U171" s="16">
        <v>18</v>
      </c>
      <c r="V171" s="211">
        <v>438.12173300000001</v>
      </c>
      <c r="W171" s="149">
        <f t="shared" si="10"/>
        <v>24.340096277777779</v>
      </c>
      <c r="X171" s="44">
        <f t="shared" si="7"/>
        <v>0.64634395426712743</v>
      </c>
      <c r="AC171" s="214">
        <v>41.753777204081644</v>
      </c>
      <c r="AD171" s="16">
        <v>18</v>
      </c>
      <c r="AE171" s="149">
        <f t="shared" si="11"/>
        <v>479.87551020408165</v>
      </c>
      <c r="AF171" s="200">
        <v>41.6</v>
      </c>
      <c r="AG171" s="204">
        <f t="shared" si="8"/>
        <v>41.491056421433811</v>
      </c>
      <c r="AI171" s="16">
        <v>18</v>
      </c>
      <c r="AJ171" s="149">
        <f t="shared" si="9"/>
        <v>438.38445378264782</v>
      </c>
      <c r="AK171" s="149">
        <f t="shared" si="12"/>
        <v>24.354691876813767</v>
      </c>
      <c r="AL171" s="44">
        <f t="shared" si="13"/>
        <v>0.64673153602063238</v>
      </c>
      <c r="AM171" s="149">
        <f t="shared" si="14"/>
        <v>24.354115185674857</v>
      </c>
      <c r="AN171" s="149">
        <f t="shared" si="15"/>
        <v>438.37407334214743</v>
      </c>
    </row>
    <row r="172" spans="2:47" ht="15" x14ac:dyDescent="0.2">
      <c r="J172" s="16">
        <v>20</v>
      </c>
      <c r="K172" s="149">
        <f t="shared" si="4"/>
        <v>439.5</v>
      </c>
      <c r="L172" s="149">
        <f t="shared" si="5"/>
        <v>21.975000000000001</v>
      </c>
      <c r="M172" s="44">
        <f t="shared" si="3"/>
        <v>0.58353953217463939</v>
      </c>
      <c r="Q172" s="191">
        <v>19</v>
      </c>
      <c r="R172" s="193">
        <f t="shared" si="19"/>
        <v>463.33964500000002</v>
      </c>
      <c r="U172" s="16">
        <v>19</v>
      </c>
      <c r="V172" s="211">
        <v>463.33964500000002</v>
      </c>
      <c r="W172" s="149">
        <f t="shared" si="10"/>
        <v>24.386297105263157</v>
      </c>
      <c r="X172" s="44">
        <f t="shared" si="7"/>
        <v>0.64757080338006945</v>
      </c>
      <c r="AC172" s="214">
        <v>42.6991305102041</v>
      </c>
      <c r="AD172" s="16">
        <v>19</v>
      </c>
      <c r="AE172" s="149">
        <f t="shared" si="11"/>
        <v>506.03877551020412</v>
      </c>
      <c r="AF172" s="200">
        <v>42.6</v>
      </c>
      <c r="AG172" s="204">
        <f t="shared" si="8"/>
        <v>42.520878638334338</v>
      </c>
      <c r="AI172" s="16">
        <v>19</v>
      </c>
      <c r="AJ172" s="149">
        <f t="shared" si="9"/>
        <v>463.51789687186977</v>
      </c>
      <c r="AK172" s="149">
        <f t="shared" si="12"/>
        <v>24.395678782729988</v>
      </c>
      <c r="AL172" s="44">
        <f t="shared" si="13"/>
        <v>0.6478199310105589</v>
      </c>
      <c r="AM172" s="149">
        <f t="shared" si="14"/>
        <v>24.395101121068198</v>
      </c>
      <c r="AN172" s="149">
        <f t="shared" si="15"/>
        <v>463.50692130029574</v>
      </c>
    </row>
    <row r="173" spans="2:47" ht="15" x14ac:dyDescent="0.2">
      <c r="J173" s="16">
        <v>21</v>
      </c>
      <c r="K173" s="149">
        <f t="shared" si="4"/>
        <v>461.25</v>
      </c>
      <c r="L173" s="149">
        <f t="shared" si="5"/>
        <v>21.964285714285715</v>
      </c>
      <c r="M173" s="44">
        <f t="shared" si="3"/>
        <v>0.58325501753194087</v>
      </c>
      <c r="Q173" s="191">
        <v>20</v>
      </c>
      <c r="R173" s="193">
        <f t="shared" si="19"/>
        <v>488.70281299999999</v>
      </c>
      <c r="U173" s="16">
        <v>20</v>
      </c>
      <c r="V173" s="211">
        <v>488.70281299999999</v>
      </c>
      <c r="W173" s="149">
        <f t="shared" si="10"/>
        <v>24.435140650000001</v>
      </c>
      <c r="X173" s="44">
        <f t="shared" si="7"/>
        <v>0.64886782905676965</v>
      </c>
      <c r="AC173" s="214">
        <v>43.499227816326538</v>
      </c>
      <c r="AD173" s="16">
        <v>20</v>
      </c>
      <c r="AE173" s="149">
        <f t="shared" si="11"/>
        <v>532.20204081632653</v>
      </c>
      <c r="AF173" s="200">
        <v>43.5</v>
      </c>
      <c r="AG173" s="204">
        <f t="shared" si="8"/>
        <v>43.393258548181116</v>
      </c>
      <c r="AI173" s="16">
        <v>20</v>
      </c>
      <c r="AJ173" s="149">
        <f t="shared" si="9"/>
        <v>488.80878226814542</v>
      </c>
      <c r="AK173" s="149">
        <f t="shared" si="12"/>
        <v>24.440439113407272</v>
      </c>
      <c r="AL173" s="44">
        <f t="shared" si="13"/>
        <v>0.64900852816293231</v>
      </c>
      <c r="AM173" s="149">
        <f t="shared" si="14"/>
        <v>24.439860391872248</v>
      </c>
      <c r="AN173" s="149">
        <f t="shared" si="15"/>
        <v>488.79720783744494</v>
      </c>
    </row>
    <row r="174" spans="2:47" ht="15" x14ac:dyDescent="0.2">
      <c r="J174" s="16">
        <v>22</v>
      </c>
      <c r="K174" s="149">
        <f t="shared" si="4"/>
        <v>483</v>
      </c>
      <c r="L174" s="149">
        <f t="shared" si="5"/>
        <v>21.954545454545453</v>
      </c>
      <c r="M174" s="44">
        <f t="shared" si="3"/>
        <v>0.58299636785676034</v>
      </c>
      <c r="Q174" s="191">
        <v>21</v>
      </c>
      <c r="R174" s="193">
        <f t="shared" si="19"/>
        <v>514.21123699999998</v>
      </c>
      <c r="U174" s="16">
        <v>21</v>
      </c>
      <c r="V174" s="211">
        <v>514.21123699999998</v>
      </c>
      <c r="W174" s="149">
        <f t="shared" si="10"/>
        <v>24.48624938095238</v>
      </c>
      <c r="X174" s="44">
        <f t="shared" si="7"/>
        <v>0.65022500607383416</v>
      </c>
      <c r="AC174" s="214">
        <v>44.154069122448959</v>
      </c>
      <c r="AD174" s="16">
        <v>21</v>
      </c>
      <c r="AE174" s="149">
        <f t="shared" si="11"/>
        <v>558.36530612244894</v>
      </c>
      <c r="AF174" s="200">
        <v>44.3</v>
      </c>
      <c r="AG174" s="204">
        <f t="shared" si="8"/>
        <v>44.108947154271767</v>
      </c>
      <c r="AI174" s="16">
        <v>21</v>
      </c>
      <c r="AJ174" s="149">
        <f t="shared" si="9"/>
        <v>514.25635896817721</v>
      </c>
      <c r="AK174" s="149">
        <f t="shared" si="12"/>
        <v>24.488398046103676</v>
      </c>
      <c r="AL174" s="44">
        <f t="shared" si="13"/>
        <v>0.65028206323229543</v>
      </c>
      <c r="AM174" s="149">
        <f t="shared" si="14"/>
        <v>24.487818188956197</v>
      </c>
      <c r="AN174" s="149">
        <f t="shared" si="15"/>
        <v>514.24418196808017</v>
      </c>
    </row>
    <row r="175" spans="2:47" ht="15" x14ac:dyDescent="0.2">
      <c r="J175" s="16">
        <v>23</v>
      </c>
      <c r="K175" s="149">
        <f t="shared" si="4"/>
        <v>504.75</v>
      </c>
      <c r="L175" s="149">
        <f t="shared" si="5"/>
        <v>21.945652173913043</v>
      </c>
      <c r="M175" s="44">
        <f t="shared" si="3"/>
        <v>0.58276020945768259</v>
      </c>
      <c r="Q175" s="191">
        <v>22</v>
      </c>
      <c r="R175" s="193">
        <f t="shared" si="19"/>
        <v>539.86491699999999</v>
      </c>
      <c r="U175" s="16">
        <v>22</v>
      </c>
      <c r="V175" s="211">
        <v>539.86491699999999</v>
      </c>
      <c r="W175" s="149">
        <f t="shared" si="10"/>
        <v>24.53931440909091</v>
      </c>
      <c r="X175" s="44">
        <f t="shared" si="7"/>
        <v>0.6516341319757587</v>
      </c>
      <c r="AC175" s="214">
        <v>44.663654428571476</v>
      </c>
      <c r="AD175" s="16">
        <v>22</v>
      </c>
      <c r="AE175" s="149">
        <f t="shared" si="11"/>
        <v>584.52857142857147</v>
      </c>
      <c r="AF175" s="200">
        <v>44.8</v>
      </c>
      <c r="AG175" s="204">
        <f t="shared" si="8"/>
        <v>44.668695459903965</v>
      </c>
      <c r="AI175" s="16">
        <v>22</v>
      </c>
      <c r="AJ175" s="149">
        <f t="shared" si="9"/>
        <v>539.85987596866755</v>
      </c>
      <c r="AK175" s="149">
        <f t="shared" si="12"/>
        <v>24.539085271303069</v>
      </c>
      <c r="AL175" s="44">
        <f t="shared" si="13"/>
        <v>0.65162804729054724</v>
      </c>
      <c r="AM175" s="149">
        <f t="shared" si="14"/>
        <v>24.538504213940296</v>
      </c>
      <c r="AN175" s="149">
        <f t="shared" si="15"/>
        <v>539.84709270668657</v>
      </c>
    </row>
    <row r="176" spans="2:47" ht="15" x14ac:dyDescent="0.2">
      <c r="J176" s="16">
        <v>24</v>
      </c>
      <c r="K176" s="149">
        <f t="shared" si="4"/>
        <v>526.5</v>
      </c>
      <c r="L176" s="149">
        <f t="shared" si="5"/>
        <v>21.9375</v>
      </c>
      <c r="M176" s="44">
        <f t="shared" si="3"/>
        <v>0.58254373092519462</v>
      </c>
      <c r="Q176" s="191">
        <v>23</v>
      </c>
      <c r="R176" s="193">
        <f t="shared" si="19"/>
        <v>565.66385300000002</v>
      </c>
      <c r="U176" s="16">
        <v>23</v>
      </c>
      <c r="V176" s="211">
        <v>565.66385300000002</v>
      </c>
      <c r="W176" s="149">
        <f t="shared" si="10"/>
        <v>24.594080565217393</v>
      </c>
      <c r="X176" s="44">
        <f t="shared" si="7"/>
        <v>0.65308843082103973</v>
      </c>
      <c r="AC176" s="214">
        <v>45.027983734693862</v>
      </c>
      <c r="AD176" s="16">
        <v>23</v>
      </c>
      <c r="AE176" s="149">
        <f t="shared" si="11"/>
        <v>610.69183673469388</v>
      </c>
      <c r="AF176" s="200">
        <v>45.1</v>
      </c>
      <c r="AG176" s="204">
        <f t="shared" si="8"/>
        <v>45.073254468375289</v>
      </c>
      <c r="AI176" s="16">
        <v>23</v>
      </c>
      <c r="AJ176" s="149">
        <f t="shared" si="9"/>
        <v>565.61858226631864</v>
      </c>
      <c r="AK176" s="149">
        <f t="shared" si="12"/>
        <v>24.592112272448638</v>
      </c>
      <c r="AL176" s="44">
        <f t="shared" si="13"/>
        <v>0.65303616339708237</v>
      </c>
      <c r="AM176" s="149">
        <f t="shared" si="14"/>
        <v>24.591529959467366</v>
      </c>
      <c r="AN176" s="149">
        <f t="shared" si="15"/>
        <v>565.60518906774939</v>
      </c>
    </row>
    <row r="177" spans="10:40" ht="15" x14ac:dyDescent="0.2">
      <c r="J177" s="16">
        <v>25</v>
      </c>
      <c r="K177" s="149">
        <f t="shared" si="4"/>
        <v>548.25</v>
      </c>
      <c r="L177" s="149">
        <f t="shared" si="5"/>
        <v>21.93</v>
      </c>
      <c r="M177" s="44">
        <f t="shared" si="3"/>
        <v>0.58234457067530554</v>
      </c>
      <c r="Q177" s="191">
        <v>24</v>
      </c>
      <c r="R177" s="193">
        <f t="shared" si="19"/>
        <v>591.60804499999995</v>
      </c>
      <c r="U177" s="16">
        <v>24</v>
      </c>
      <c r="V177" s="211">
        <v>591.60804499999995</v>
      </c>
      <c r="W177" s="149">
        <f t="shared" si="10"/>
        <v>24.650335208333331</v>
      </c>
      <c r="X177" s="44">
        <f t="shared" si="7"/>
        <v>0.65458225599175768</v>
      </c>
      <c r="AC177" s="214">
        <v>45.247057040816344</v>
      </c>
      <c r="AD177" s="16">
        <v>24</v>
      </c>
      <c r="AE177" s="149">
        <f t="shared" si="11"/>
        <v>636.85510204081629</v>
      </c>
      <c r="AF177" s="149">
        <f t="shared" ref="AF177:AF203" si="20">AE177-V177</f>
        <v>45.247057040816344</v>
      </c>
      <c r="AG177" s="204">
        <f t="shared" si="8"/>
        <v>45.323375182983376</v>
      </c>
      <c r="AI177" s="16">
        <v>24</v>
      </c>
      <c r="AJ177" s="149">
        <f t="shared" si="9"/>
        <v>591.53172685783295</v>
      </c>
      <c r="AK177" s="149">
        <f t="shared" si="12"/>
        <v>24.64715528574304</v>
      </c>
      <c r="AL177" s="44">
        <f t="shared" si="13"/>
        <v>0.65449781410139618</v>
      </c>
      <c r="AM177" s="149">
        <f t="shared" si="14"/>
        <v>24.646571669406413</v>
      </c>
      <c r="AN177" s="149">
        <f t="shared" si="15"/>
        <v>591.51772006575391</v>
      </c>
    </row>
    <row r="178" spans="10:40" ht="15" x14ac:dyDescent="0.2">
      <c r="J178" s="16">
        <v>26</v>
      </c>
      <c r="K178" s="149">
        <f t="shared" si="4"/>
        <v>570</v>
      </c>
      <c r="L178" s="149">
        <f t="shared" si="5"/>
        <v>21.923076923076923</v>
      </c>
      <c r="M178" s="44">
        <f t="shared" si="3"/>
        <v>0.5821607304446389</v>
      </c>
      <c r="Q178" s="191">
        <v>25</v>
      </c>
      <c r="R178" s="193">
        <f t="shared" si="19"/>
        <v>617.69749300000001</v>
      </c>
      <c r="U178" s="16">
        <v>25</v>
      </c>
      <c r="V178" s="211">
        <v>617.69749300000001</v>
      </c>
      <c r="W178" s="149">
        <f t="shared" si="10"/>
        <v>24.70789972</v>
      </c>
      <c r="X178" s="44">
        <f t="shared" si="7"/>
        <v>0.65611086432886023</v>
      </c>
      <c r="AC178" s="215">
        <v>45.320874346938695</v>
      </c>
      <c r="AD178" s="197">
        <v>25</v>
      </c>
      <c r="AE178" s="189">
        <f t="shared" si="11"/>
        <v>663.0183673469387</v>
      </c>
      <c r="AF178" s="189">
        <f t="shared" si="20"/>
        <v>45.320874346938695</v>
      </c>
      <c r="AG178" s="206">
        <f t="shared" si="8"/>
        <v>45.419808607025864</v>
      </c>
      <c r="AI178" s="16">
        <v>25</v>
      </c>
      <c r="AJ178" s="149">
        <f t="shared" si="9"/>
        <v>617.59855873991285</v>
      </c>
      <c r="AK178" s="149">
        <f t="shared" si="12"/>
        <v>24.703942349596513</v>
      </c>
      <c r="AL178" s="44">
        <f t="shared" si="13"/>
        <v>0.65600577754506528</v>
      </c>
      <c r="AM178" s="149">
        <f t="shared" si="14"/>
        <v>24.703357388607419</v>
      </c>
      <c r="AN178" s="149">
        <f t="shared" si="15"/>
        <v>617.58393471518548</v>
      </c>
    </row>
    <row r="179" spans="10:40" ht="15" x14ac:dyDescent="0.2">
      <c r="J179" s="16">
        <v>27</v>
      </c>
      <c r="K179" s="149">
        <f t="shared" si="4"/>
        <v>591.75</v>
      </c>
      <c r="L179" s="149">
        <f t="shared" si="5"/>
        <v>21.916666666666668</v>
      </c>
      <c r="M179" s="44">
        <f t="shared" si="3"/>
        <v>0.58199050800883634</v>
      </c>
      <c r="Q179" s="191">
        <v>26</v>
      </c>
      <c r="R179" s="193">
        <f t="shared" si="19"/>
        <v>643.93219699999997</v>
      </c>
      <c r="U179" s="16">
        <v>26</v>
      </c>
      <c r="V179" s="211">
        <v>643.93219699999997</v>
      </c>
      <c r="W179" s="149">
        <f t="shared" si="10"/>
        <v>24.766622961538459</v>
      </c>
      <c r="X179" s="44">
        <f t="shared" si="7"/>
        <v>0.6576702423900721</v>
      </c>
      <c r="AC179" s="214">
        <v>45.249435653061141</v>
      </c>
      <c r="AD179" s="16">
        <v>26</v>
      </c>
      <c r="AE179" s="149">
        <f t="shared" si="11"/>
        <v>689.18163265306111</v>
      </c>
      <c r="AF179" s="149">
        <f t="shared" si="20"/>
        <v>45.249435653061141</v>
      </c>
      <c r="AG179" s="204">
        <f t="shared" si="8"/>
        <v>45.363305743800382</v>
      </c>
      <c r="AI179" s="16">
        <v>26</v>
      </c>
      <c r="AJ179" s="149">
        <f t="shared" si="9"/>
        <v>643.81832690926069</v>
      </c>
      <c r="AK179" s="149">
        <f t="shared" si="12"/>
        <v>24.762243342663872</v>
      </c>
      <c r="AL179" s="44">
        <f t="shared" si="13"/>
        <v>0.65755394292480795</v>
      </c>
      <c r="AM179" s="149">
        <f t="shared" si="14"/>
        <v>24.761657001174211</v>
      </c>
      <c r="AN179" s="149">
        <f t="shared" si="15"/>
        <v>643.80308203052948</v>
      </c>
    </row>
    <row r="180" spans="10:40" ht="15" x14ac:dyDescent="0.2">
      <c r="J180" s="16">
        <v>28</v>
      </c>
      <c r="K180" s="149">
        <f t="shared" si="4"/>
        <v>613.5</v>
      </c>
      <c r="L180" s="149">
        <f t="shared" si="5"/>
        <v>21.910714285714285</v>
      </c>
      <c r="M180" s="44">
        <f t="shared" si="3"/>
        <v>0.58183244431844827</v>
      </c>
      <c r="Q180" s="191">
        <v>27</v>
      </c>
      <c r="R180" s="193">
        <f t="shared" si="19"/>
        <v>670.31215700000007</v>
      </c>
      <c r="U180" s="16">
        <v>27</v>
      </c>
      <c r="V180" s="211">
        <v>670.31215700000007</v>
      </c>
      <c r="W180" s="149">
        <f t="shared" si="10"/>
        <v>24.826376185185186</v>
      </c>
      <c r="X180" s="44">
        <f t="shared" si="7"/>
        <v>0.6592569713171591</v>
      </c>
      <c r="AC180" s="214">
        <v>45.03274095918357</v>
      </c>
      <c r="AD180" s="16">
        <v>27</v>
      </c>
      <c r="AE180" s="149">
        <f t="shared" si="11"/>
        <v>715.34489795918364</v>
      </c>
      <c r="AF180" s="149">
        <f>AE180-V180</f>
        <v>45.03274095918357</v>
      </c>
      <c r="AG180" s="204">
        <f t="shared" si="8"/>
        <v>45.15461759660456</v>
      </c>
      <c r="AI180" s="16">
        <v>27</v>
      </c>
      <c r="AJ180" s="149">
        <f t="shared" si="9"/>
        <v>670.19028036257907</v>
      </c>
      <c r="AK180" s="149">
        <f t="shared" si="12"/>
        <v>24.821862235651079</v>
      </c>
      <c r="AL180" s="44">
        <f t="shared" si="13"/>
        <v>0.65913710474153253</v>
      </c>
      <c r="AM180" s="149">
        <f t="shared" si="14"/>
        <v>24.821274482454484</v>
      </c>
      <c r="AN180" s="149">
        <f t="shared" si="15"/>
        <v>670.17441102627106</v>
      </c>
    </row>
    <row r="181" spans="10:40" ht="15" x14ac:dyDescent="0.2">
      <c r="J181" s="16">
        <v>29</v>
      </c>
      <c r="K181" s="149">
        <f t="shared" si="4"/>
        <v>635.25</v>
      </c>
      <c r="L181" s="149">
        <f t="shared" si="5"/>
        <v>21.905172413793103</v>
      </c>
      <c r="M181" s="44">
        <f t="shared" si="3"/>
        <v>0.58168528157222499</v>
      </c>
      <c r="Q181" s="191">
        <v>28</v>
      </c>
      <c r="R181" s="193">
        <f t="shared" si="19"/>
        <v>696.83737299999996</v>
      </c>
      <c r="U181" s="16">
        <v>28</v>
      </c>
      <c r="V181" s="211">
        <v>696.83737299999996</v>
      </c>
      <c r="W181" s="149">
        <f t="shared" si="10"/>
        <v>24.887049035714284</v>
      </c>
      <c r="X181" s="44">
        <f t="shared" si="7"/>
        <v>0.66086812066020584</v>
      </c>
      <c r="AC181" s="214">
        <v>44.670790265306096</v>
      </c>
      <c r="AD181" s="16">
        <v>28</v>
      </c>
      <c r="AE181" s="149">
        <f t="shared" si="11"/>
        <v>741.50816326530605</v>
      </c>
      <c r="AF181" s="149">
        <f t="shared" si="20"/>
        <v>44.670790265306096</v>
      </c>
      <c r="AG181" s="204">
        <f t="shared" si="8"/>
        <v>44.794495168735999</v>
      </c>
      <c r="AI181" s="16">
        <v>28</v>
      </c>
      <c r="AJ181" s="149">
        <f t="shared" si="9"/>
        <v>696.71366809657002</v>
      </c>
      <c r="AK181" s="149">
        <f t="shared" si="12"/>
        <v>24.882631003448928</v>
      </c>
      <c r="AL181" s="44">
        <f t="shared" si="13"/>
        <v>0.66075080113887441</v>
      </c>
      <c r="AM181" s="149">
        <f t="shared" si="14"/>
        <v>24.882041811317688</v>
      </c>
      <c r="AN181" s="149">
        <f t="shared" si="15"/>
        <v>696.69717071689524</v>
      </c>
    </row>
    <row r="182" spans="10:40" ht="15" x14ac:dyDescent="0.2">
      <c r="J182" s="16">
        <v>30</v>
      </c>
      <c r="K182" s="149">
        <f t="shared" si="4"/>
        <v>657</v>
      </c>
      <c r="L182" s="149">
        <f t="shared" si="5"/>
        <v>21.9</v>
      </c>
      <c r="M182" s="44">
        <f t="shared" si="3"/>
        <v>0.58154792967574975</v>
      </c>
      <c r="Q182" s="191">
        <v>29</v>
      </c>
      <c r="R182" s="193">
        <f t="shared" si="19"/>
        <v>723.50784499999997</v>
      </c>
      <c r="U182" s="16">
        <v>29</v>
      </c>
      <c r="V182" s="211">
        <v>723.50784499999997</v>
      </c>
      <c r="W182" s="149">
        <f t="shared" si="10"/>
        <v>24.948546379310343</v>
      </c>
      <c r="X182" s="44">
        <f t="shared" si="7"/>
        <v>0.66250116416928562</v>
      </c>
      <c r="AC182" s="214">
        <v>44.163583571428489</v>
      </c>
      <c r="AD182" s="16">
        <v>29</v>
      </c>
      <c r="AE182" s="149">
        <f t="shared" si="11"/>
        <v>767.67142857142846</v>
      </c>
      <c r="AF182" s="149">
        <f t="shared" si="20"/>
        <v>44.163583571428489</v>
      </c>
      <c r="AG182" s="204">
        <f t="shared" si="8"/>
        <v>44.283689463492358</v>
      </c>
      <c r="AI182" s="16">
        <v>29</v>
      </c>
      <c r="AJ182" s="149">
        <f t="shared" si="9"/>
        <v>723.38773910793611</v>
      </c>
      <c r="AK182" s="149">
        <f t="shared" si="12"/>
        <v>24.944404796825385</v>
      </c>
      <c r="AL182" s="44">
        <f t="shared" si="13"/>
        <v>0.66239118568893363</v>
      </c>
      <c r="AM182" s="149">
        <f t="shared" si="14"/>
        <v>24.943814141961649</v>
      </c>
      <c r="AN182" s="149">
        <f t="shared" si="15"/>
        <v>723.37061011688786</v>
      </c>
    </row>
    <row r="183" spans="10:40" ht="15" x14ac:dyDescent="0.2">
      <c r="J183" s="16">
        <v>31</v>
      </c>
      <c r="K183" s="149">
        <f t="shared" si="4"/>
        <v>678.75</v>
      </c>
      <c r="L183" s="149">
        <f t="shared" si="5"/>
        <v>21.89516129032258</v>
      </c>
      <c r="M183" s="44">
        <f t="shared" si="3"/>
        <v>0.58141943919195049</v>
      </c>
      <c r="Q183" s="191">
        <v>30</v>
      </c>
      <c r="R183" s="193">
        <f t="shared" si="19"/>
        <v>750.32357300000001</v>
      </c>
      <c r="U183" s="16">
        <v>30</v>
      </c>
      <c r="V183" s="211">
        <v>750.32357300000001</v>
      </c>
      <c r="W183" s="149">
        <f t="shared" si="10"/>
        <v>25.010785766666668</v>
      </c>
      <c r="X183" s="44">
        <f t="shared" si="7"/>
        <v>0.66415391242779498</v>
      </c>
      <c r="AC183" s="214">
        <v>43.511120877550979</v>
      </c>
      <c r="AD183" s="16">
        <v>30</v>
      </c>
      <c r="AE183" s="149">
        <f t="shared" si="11"/>
        <v>793.83469387755099</v>
      </c>
      <c r="AF183" s="149">
        <f t="shared" si="20"/>
        <v>43.511120877550979</v>
      </c>
      <c r="AG183" s="204">
        <f t="shared" si="8"/>
        <v>43.622951484171246</v>
      </c>
      <c r="AI183" s="16">
        <v>30</v>
      </c>
      <c r="AJ183" s="149">
        <f t="shared" si="9"/>
        <v>750.21174239337972</v>
      </c>
      <c r="AK183" s="149">
        <f t="shared" si="12"/>
        <v>25.007058079779323</v>
      </c>
      <c r="AL183" s="44">
        <f t="shared" si="13"/>
        <v>0.66405492482086281</v>
      </c>
      <c r="AM183" s="149">
        <f t="shared" si="14"/>
        <v>25.006465941357785</v>
      </c>
      <c r="AN183" s="149">
        <f t="shared" si="15"/>
        <v>750.1939782407336</v>
      </c>
    </row>
    <row r="184" spans="10:40" ht="15" x14ac:dyDescent="0.2">
      <c r="J184" s="16">
        <v>32</v>
      </c>
      <c r="K184" s="149">
        <f t="shared" si="4"/>
        <v>700.5</v>
      </c>
      <c r="L184" s="149">
        <f t="shared" si="5"/>
        <v>21.890625</v>
      </c>
      <c r="M184" s="44">
        <f t="shared" si="3"/>
        <v>0.58129897936338859</v>
      </c>
      <c r="Q184" s="191">
        <v>31</v>
      </c>
      <c r="R184" s="193">
        <f t="shared" si="19"/>
        <v>777.28455700000006</v>
      </c>
      <c r="U184" s="16">
        <v>31</v>
      </c>
      <c r="V184" s="211">
        <v>777.28455700000006</v>
      </c>
      <c r="W184" s="149">
        <f t="shared" si="10"/>
        <v>25.073695387096777</v>
      </c>
      <c r="X184" s="44">
        <f t="shared" si="7"/>
        <v>0.66582445852449901</v>
      </c>
      <c r="AC184" s="214">
        <v>42.713402183673338</v>
      </c>
      <c r="AD184" s="16">
        <v>31</v>
      </c>
      <c r="AE184" s="149">
        <f t="shared" si="11"/>
        <v>819.9979591836734</v>
      </c>
      <c r="AF184" s="149">
        <f t="shared" si="20"/>
        <v>42.713402183673338</v>
      </c>
      <c r="AG184" s="204">
        <f t="shared" si="8"/>
        <v>42.813032234070313</v>
      </c>
      <c r="AI184" s="16">
        <v>31</v>
      </c>
      <c r="AJ184" s="149">
        <f t="shared" si="9"/>
        <v>777.1849269496031</v>
      </c>
      <c r="AK184" s="149">
        <f t="shared" si="12"/>
        <v>25.070481514503324</v>
      </c>
      <c r="AL184" s="44">
        <f t="shared" si="13"/>
        <v>0.66573911510198924</v>
      </c>
      <c r="AM184" s="149">
        <f t="shared" si="14"/>
        <v>25.069887874287677</v>
      </c>
      <c r="AN184" s="149">
        <f t="shared" si="15"/>
        <v>777.16652410291795</v>
      </c>
    </row>
    <row r="185" spans="10:40" ht="15" x14ac:dyDescent="0.2">
      <c r="J185" s="16">
        <v>33</v>
      </c>
      <c r="K185" s="149">
        <f t="shared" si="4"/>
        <v>722.25</v>
      </c>
      <c r="L185" s="149">
        <f t="shared" si="5"/>
        <v>21.886363636363637</v>
      </c>
      <c r="M185" s="44">
        <f t="shared" ref="M185:M202" si="21">SQRT(12*32.2*L185^2/(4*$B$153*($B$152*56)*$B$151^2))</f>
        <v>0.58118582013049724</v>
      </c>
      <c r="Q185" s="191">
        <v>32</v>
      </c>
      <c r="R185" s="193">
        <f t="shared" si="19"/>
        <v>804.39079700000002</v>
      </c>
      <c r="U185" s="16">
        <v>32</v>
      </c>
      <c r="V185" s="211">
        <v>804.39079700000002</v>
      </c>
      <c r="W185" s="149">
        <f t="shared" si="10"/>
        <v>25.137212406250001</v>
      </c>
      <c r="X185" s="44">
        <f t="shared" si="7"/>
        <v>0.66751113391206673</v>
      </c>
      <c r="AC185" s="214">
        <v>41.770427489795793</v>
      </c>
      <c r="AD185" s="16">
        <v>32</v>
      </c>
      <c r="AE185" s="149">
        <f t="shared" si="11"/>
        <v>846.16122448979581</v>
      </c>
      <c r="AF185" s="149">
        <f t="shared" si="20"/>
        <v>41.770427489795793</v>
      </c>
      <c r="AG185" s="204">
        <f t="shared" si="8"/>
        <v>41.85468271648714</v>
      </c>
      <c r="AI185" s="16">
        <v>32</v>
      </c>
      <c r="AJ185" s="149">
        <f t="shared" si="9"/>
        <v>804.30654177330871</v>
      </c>
      <c r="AK185" s="149">
        <f t="shared" si="12"/>
        <v>25.134579430415897</v>
      </c>
      <c r="AL185" s="44">
        <f t="shared" si="13"/>
        <v>0.66744121602872375</v>
      </c>
      <c r="AM185" s="149">
        <f t="shared" si="14"/>
        <v>25.1339842724352</v>
      </c>
      <c r="AN185" s="149">
        <f t="shared" si="15"/>
        <v>804.28749671792639</v>
      </c>
    </row>
    <row r="186" spans="10:40" ht="15" x14ac:dyDescent="0.2">
      <c r="J186" s="16">
        <v>34</v>
      </c>
      <c r="K186" s="149">
        <f t="shared" ref="K186:K202" si="22">(K$149*$J186)+K$150</f>
        <v>744</v>
      </c>
      <c r="L186" s="149">
        <f t="shared" si="5"/>
        <v>21.882352941176471</v>
      </c>
      <c r="M186" s="44">
        <f t="shared" si="21"/>
        <v>0.58107931732306994</v>
      </c>
      <c r="Q186" s="191">
        <v>33</v>
      </c>
      <c r="R186" s="193">
        <f t="shared" si="19"/>
        <v>831.642293</v>
      </c>
      <c r="U186" s="16">
        <v>33</v>
      </c>
      <c r="V186" s="211">
        <v>831.642293</v>
      </c>
      <c r="W186" s="149">
        <f t="shared" si="10"/>
        <v>25.201281606060604</v>
      </c>
      <c r="X186" s="44">
        <f t="shared" ref="X186:X203" si="23">SQRT(12*32.2*W186^2/(4*$B$153*($B$152*56)*$B$151^2))</f>
        <v>0.66921247229132874</v>
      </c>
      <c r="AC186" s="214">
        <v>40.68219679591823</v>
      </c>
      <c r="AD186" s="16">
        <v>33</v>
      </c>
      <c r="AE186" s="149">
        <f t="shared" si="11"/>
        <v>872.32448979591823</v>
      </c>
      <c r="AF186" s="149">
        <f t="shared" si="20"/>
        <v>40.68219679591823</v>
      </c>
      <c r="AG186" s="204">
        <f t="shared" ref="AG186:AG203" si="24">(AG$146*($AD186)^3)+(AG$147*($AD186)^2)+(AG$148*($AD186)^1)+(AG$149)</f>
        <v>40.748653934719393</v>
      </c>
      <c r="AI186" s="16">
        <v>33</v>
      </c>
      <c r="AJ186" s="149">
        <f t="shared" ref="AJ186:AJ203" si="25">AE186-AG186</f>
        <v>831.57583586119881</v>
      </c>
      <c r="AK186" s="149">
        <f t="shared" si="12"/>
        <v>25.199267753369661</v>
      </c>
      <c r="AL186" s="44">
        <f t="shared" ref="AL186:AL203" si="26">SQRT(12*32.2*AK186^2/(4*$B$153*($B$152*56)*$B$151^2))</f>
        <v>0.66915899503730636</v>
      </c>
      <c r="AM186" s="149">
        <f t="shared" si="14"/>
        <v>25.198671063643754</v>
      </c>
      <c r="AN186" s="149">
        <f t="shared" si="15"/>
        <v>831.55614510024384</v>
      </c>
    </row>
    <row r="187" spans="10:40" ht="15" x14ac:dyDescent="0.2">
      <c r="J187" s="16">
        <v>35</v>
      </c>
      <c r="K187" s="149">
        <f t="shared" si="22"/>
        <v>765.75</v>
      </c>
      <c r="L187" s="149">
        <f t="shared" si="5"/>
        <v>21.87857142857143</v>
      </c>
      <c r="M187" s="44">
        <f t="shared" si="21"/>
        <v>0.58097890039035283</v>
      </c>
      <c r="Q187" s="191">
        <v>34</v>
      </c>
      <c r="R187" s="193">
        <f t="shared" si="19"/>
        <v>859.03904499999987</v>
      </c>
      <c r="U187" s="16">
        <v>34</v>
      </c>
      <c r="V187" s="211">
        <v>859.03904499999987</v>
      </c>
      <c r="W187" s="149">
        <f t="shared" si="10"/>
        <v>25.265854264705879</v>
      </c>
      <c r="X187" s="44">
        <f t="shared" si="23"/>
        <v>0.67092717986890038</v>
      </c>
      <c r="AC187" s="214">
        <v>39.448710102040764</v>
      </c>
      <c r="AD187" s="16">
        <v>34</v>
      </c>
      <c r="AE187" s="149">
        <f t="shared" si="11"/>
        <v>898.48775510204064</v>
      </c>
      <c r="AF187" s="149">
        <f t="shared" si="20"/>
        <v>39.448710102040764</v>
      </c>
      <c r="AG187" s="204">
        <f t="shared" si="24"/>
        <v>39.495696892064707</v>
      </c>
      <c r="AI187" s="16">
        <v>34</v>
      </c>
      <c r="AJ187" s="149">
        <f t="shared" si="25"/>
        <v>858.99205820997588</v>
      </c>
      <c r="AK187" s="149">
        <f t="shared" si="12"/>
        <v>25.264472300293409</v>
      </c>
      <c r="AL187" s="44">
        <f t="shared" si="26"/>
        <v>0.67089048221853698</v>
      </c>
      <c r="AM187" s="149">
        <f t="shared" si="14"/>
        <v>25.263874066598699</v>
      </c>
      <c r="AN187" s="149">
        <f t="shared" si="15"/>
        <v>858.97171826435579</v>
      </c>
    </row>
    <row r="188" spans="10:40" ht="15" x14ac:dyDescent="0.2">
      <c r="J188" s="16">
        <v>36</v>
      </c>
      <c r="K188" s="149">
        <f t="shared" si="22"/>
        <v>787.5</v>
      </c>
      <c r="L188" s="149">
        <f t="shared" si="5"/>
        <v>21.875</v>
      </c>
      <c r="M188" s="44">
        <f t="shared" si="21"/>
        <v>0.58088406217611999</v>
      </c>
      <c r="Q188" s="191">
        <v>35</v>
      </c>
      <c r="R188" s="193">
        <f t="shared" si="19"/>
        <v>886.581053</v>
      </c>
      <c r="U188" s="16">
        <v>35</v>
      </c>
      <c r="V188" s="211">
        <v>886.581053</v>
      </c>
      <c r="W188" s="149">
        <f t="shared" si="10"/>
        <v>25.330887228571427</v>
      </c>
      <c r="X188" s="44">
        <f t="shared" si="23"/>
        <v>0.6726541107134979</v>
      </c>
      <c r="AC188" s="214">
        <v>38.069967408163166</v>
      </c>
      <c r="AD188" s="16">
        <v>35</v>
      </c>
      <c r="AE188" s="149">
        <f t="shared" si="11"/>
        <v>924.65102040816316</v>
      </c>
      <c r="AF188" s="149">
        <f t="shared" si="20"/>
        <v>38.069967408163166</v>
      </c>
      <c r="AG188" s="204">
        <f t="shared" si="24"/>
        <v>38.096562591820721</v>
      </c>
      <c r="AI188" s="16">
        <v>35</v>
      </c>
      <c r="AJ188" s="149">
        <f t="shared" si="25"/>
        <v>886.55445781634239</v>
      </c>
      <c r="AK188" s="149">
        <f t="shared" si="12"/>
        <v>25.330127366181213</v>
      </c>
      <c r="AL188" s="44">
        <f t="shared" si="26"/>
        <v>0.67263393279569572</v>
      </c>
      <c r="AM188" s="149">
        <f t="shared" si="14"/>
        <v>25.329527577849927</v>
      </c>
      <c r="AN188" s="149">
        <f t="shared" si="15"/>
        <v>886.53346522474749</v>
      </c>
    </row>
    <row r="189" spans="10:40" ht="15" x14ac:dyDescent="0.2">
      <c r="J189" s="16">
        <v>37</v>
      </c>
      <c r="K189" s="149">
        <f t="shared" si="22"/>
        <v>809.25</v>
      </c>
      <c r="L189" s="149">
        <f t="shared" si="5"/>
        <v>21.871621621621621</v>
      </c>
      <c r="M189" s="44">
        <f t="shared" si="21"/>
        <v>0.58079435035184568</v>
      </c>
      <c r="Q189" s="191">
        <v>36</v>
      </c>
      <c r="R189" s="193">
        <f t="shared" si="19"/>
        <v>914.26831700000002</v>
      </c>
      <c r="U189" s="16">
        <v>36</v>
      </c>
      <c r="V189" s="211">
        <v>914.26831700000002</v>
      </c>
      <c r="W189" s="149">
        <f t="shared" si="10"/>
        <v>25.39634213888889</v>
      </c>
      <c r="X189" s="44">
        <f t="shared" si="23"/>
        <v>0.67439224621953597</v>
      </c>
      <c r="AC189" s="214">
        <v>36.54596871428555</v>
      </c>
      <c r="AD189" s="16">
        <v>36</v>
      </c>
      <c r="AE189" s="149">
        <f t="shared" si="11"/>
        <v>950.81428571428557</v>
      </c>
      <c r="AF189" s="149">
        <f t="shared" si="20"/>
        <v>36.54596871428555</v>
      </c>
      <c r="AG189" s="204">
        <f t="shared" si="24"/>
        <v>36.552002037285</v>
      </c>
      <c r="AI189" s="16">
        <v>36</v>
      </c>
      <c r="AJ189" s="149">
        <f t="shared" si="25"/>
        <v>914.2622836770006</v>
      </c>
      <c r="AK189" s="149">
        <f t="shared" si="12"/>
        <v>25.396174546583349</v>
      </c>
      <c r="AL189" s="44">
        <f t="shared" si="26"/>
        <v>0.6743877958561425</v>
      </c>
      <c r="AM189" s="149">
        <f t="shared" si="14"/>
        <v>25.39557319433067</v>
      </c>
      <c r="AN189" s="149">
        <f t="shared" si="15"/>
        <v>914.24063499590409</v>
      </c>
    </row>
    <row r="190" spans="10:40" ht="15" x14ac:dyDescent="0.2">
      <c r="J190" s="16">
        <v>38</v>
      </c>
      <c r="K190" s="149">
        <f t="shared" si="22"/>
        <v>831</v>
      </c>
      <c r="L190" s="149">
        <f t="shared" si="5"/>
        <v>21.868421052631579</v>
      </c>
      <c r="M190" s="44">
        <f t="shared" si="21"/>
        <v>0.58070936020253316</v>
      </c>
      <c r="Q190" s="191">
        <v>37</v>
      </c>
      <c r="R190" s="193">
        <f t="shared" si="19"/>
        <v>942.10083699999996</v>
      </c>
      <c r="U190" s="16">
        <v>37</v>
      </c>
      <c r="V190" s="211">
        <v>942.10083699999996</v>
      </c>
      <c r="W190" s="149">
        <f t="shared" si="10"/>
        <v>25.462184783783783</v>
      </c>
      <c r="X190" s="44">
        <f t="shared" si="23"/>
        <v>0.67614067790095156</v>
      </c>
      <c r="AC190" s="214">
        <v>34.876714020408031</v>
      </c>
      <c r="AD190" s="16">
        <v>37</v>
      </c>
      <c r="AE190" s="149">
        <f t="shared" si="11"/>
        <v>976.97755102040799</v>
      </c>
      <c r="AF190" s="149">
        <f t="shared" si="20"/>
        <v>34.876714020408031</v>
      </c>
      <c r="AG190" s="204">
        <f t="shared" si="24"/>
        <v>34.862766231755209</v>
      </c>
      <c r="AI190" s="16">
        <v>37</v>
      </c>
      <c r="AJ190" s="149">
        <f t="shared" si="25"/>
        <v>942.11478478865274</v>
      </c>
      <c r="AK190" s="149">
        <f t="shared" si="12"/>
        <v>25.462561751044667</v>
      </c>
      <c r="AL190" s="44">
        <f t="shared" si="26"/>
        <v>0.67615068815346857</v>
      </c>
      <c r="AM190" s="149">
        <f t="shared" si="14"/>
        <v>25.461958826819217</v>
      </c>
      <c r="AN190" s="149">
        <f t="shared" si="15"/>
        <v>942.09247659231107</v>
      </c>
    </row>
    <row r="191" spans="10:40" ht="15" x14ac:dyDescent="0.2">
      <c r="J191" s="16">
        <v>39</v>
      </c>
      <c r="K191" s="149">
        <f t="shared" si="22"/>
        <v>852.75</v>
      </c>
      <c r="L191" s="149">
        <f t="shared" si="5"/>
        <v>21.865384615384617</v>
      </c>
      <c r="M191" s="44">
        <f t="shared" si="21"/>
        <v>0.5806287285224162</v>
      </c>
      <c r="Q191" s="191">
        <v>38</v>
      </c>
      <c r="R191" s="193">
        <f t="shared" si="19"/>
        <v>970.07861300000002</v>
      </c>
      <c r="U191" s="16">
        <v>38</v>
      </c>
      <c r="V191" s="211">
        <v>970.07861300000002</v>
      </c>
      <c r="W191" s="149">
        <f t="shared" si="10"/>
        <v>25.528384552631579</v>
      </c>
      <c r="X191" s="44">
        <f t="shared" si="23"/>
        <v>0.67789859290179388</v>
      </c>
      <c r="AC191" s="214">
        <v>33.062203326530494</v>
      </c>
      <c r="AD191" s="16">
        <v>38</v>
      </c>
      <c r="AE191" s="149">
        <f t="shared" si="11"/>
        <v>1003.1408163265305</v>
      </c>
      <c r="AF191" s="149">
        <f t="shared" si="20"/>
        <v>33.062203326530494</v>
      </c>
      <c r="AG191" s="204">
        <f t="shared" si="24"/>
        <v>33.029606178529015</v>
      </c>
      <c r="AI191" s="16">
        <v>38</v>
      </c>
      <c r="AJ191" s="149">
        <f t="shared" si="25"/>
        <v>970.11121014800153</v>
      </c>
      <c r="AK191" s="149">
        <f t="shared" si="12"/>
        <v>25.529242372315831</v>
      </c>
      <c r="AL191" s="44">
        <f t="shared" si="26"/>
        <v>0.67792137204615066</v>
      </c>
      <c r="AM191" s="149">
        <f t="shared" si="14"/>
        <v>25.528637869169831</v>
      </c>
      <c r="AN191" s="149">
        <f t="shared" si="15"/>
        <v>970.08823902845359</v>
      </c>
    </row>
    <row r="192" spans="10:40" ht="15" x14ac:dyDescent="0.2">
      <c r="J192" s="16">
        <v>40</v>
      </c>
      <c r="K192" s="149">
        <f t="shared" si="22"/>
        <v>874.5</v>
      </c>
      <c r="L192" s="149">
        <f t="shared" si="5"/>
        <v>21.862500000000001</v>
      </c>
      <c r="M192" s="44">
        <f t="shared" si="21"/>
        <v>0.5805521284263051</v>
      </c>
      <c r="Q192" s="191">
        <v>39</v>
      </c>
      <c r="R192" s="193">
        <f t="shared" si="19"/>
        <v>998.20164499999998</v>
      </c>
      <c r="U192" s="16">
        <v>39</v>
      </c>
      <c r="V192" s="211">
        <v>998.20164499999998</v>
      </c>
      <c r="W192" s="149">
        <f t="shared" si="10"/>
        <v>25.594913974358974</v>
      </c>
      <c r="X192" s="44">
        <f t="shared" si="23"/>
        <v>0.67966526173595332</v>
      </c>
      <c r="AC192" s="214">
        <v>31.102436632652939</v>
      </c>
      <c r="AD192" s="16">
        <v>39</v>
      </c>
      <c r="AE192" s="149">
        <f t="shared" si="11"/>
        <v>1029.3040816326529</v>
      </c>
      <c r="AF192" s="149">
        <f t="shared" si="20"/>
        <v>31.102436632652939</v>
      </c>
      <c r="AG192" s="204">
        <f t="shared" si="24"/>
        <v>31.05327288090395</v>
      </c>
      <c r="AI192" s="16">
        <v>39</v>
      </c>
      <c r="AJ192" s="149">
        <f t="shared" si="25"/>
        <v>998.25080875174899</v>
      </c>
      <c r="AK192" s="149">
        <f t="shared" si="12"/>
        <v>25.596174583378179</v>
      </c>
      <c r="AL192" s="44">
        <f t="shared" si="26"/>
        <v>0.67969873683025694</v>
      </c>
      <c r="AM192" s="149">
        <f t="shared" si="14"/>
        <v>25.595568495354275</v>
      </c>
      <c r="AN192" s="149">
        <f t="shared" si="15"/>
        <v>998.22717131881677</v>
      </c>
    </row>
    <row r="193" spans="10:40" ht="15" x14ac:dyDescent="0.2">
      <c r="J193" s="16">
        <v>41</v>
      </c>
      <c r="K193" s="149">
        <f t="shared" si="22"/>
        <v>896.25</v>
      </c>
      <c r="L193" s="149">
        <f t="shared" si="5"/>
        <v>21.859756097560975</v>
      </c>
      <c r="M193" s="44">
        <f t="shared" si="21"/>
        <v>0.58047926492024804</v>
      </c>
      <c r="Q193" s="191">
        <v>40</v>
      </c>
      <c r="R193" s="193">
        <f t="shared" si="19"/>
        <v>1026.4699329999999</v>
      </c>
      <c r="U193" s="16">
        <v>40</v>
      </c>
      <c r="V193" s="211">
        <v>1026.4699329999999</v>
      </c>
      <c r="W193" s="149">
        <f t="shared" si="10"/>
        <v>25.661748324999998</v>
      </c>
      <c r="X193" s="44">
        <f t="shared" si="23"/>
        <v>0.68144002786593094</v>
      </c>
      <c r="AC193" s="214">
        <v>28.99741393877548</v>
      </c>
      <c r="AD193" s="16">
        <v>40</v>
      </c>
      <c r="AE193" s="149">
        <f t="shared" si="11"/>
        <v>1055.4673469387753</v>
      </c>
      <c r="AF193" s="149">
        <f t="shared" si="20"/>
        <v>28.99741393877548</v>
      </c>
      <c r="AG193" s="204">
        <f t="shared" si="24"/>
        <v>28.934517342177717</v>
      </c>
      <c r="AI193" s="16">
        <v>40</v>
      </c>
      <c r="AJ193" s="149">
        <f t="shared" si="25"/>
        <v>1026.5328295965976</v>
      </c>
      <c r="AK193" s="149">
        <f t="shared" si="12"/>
        <v>25.663320739914941</v>
      </c>
      <c r="AL193" s="44">
        <f t="shared" si="26"/>
        <v>0.68148178287224948</v>
      </c>
      <c r="AM193" s="149">
        <f t="shared" si="14"/>
        <v>25.662713061947144</v>
      </c>
      <c r="AN193" s="149">
        <f t="shared" si="15"/>
        <v>1026.5085224778859</v>
      </c>
    </row>
    <row r="194" spans="10:40" ht="15" x14ac:dyDescent="0.2">
      <c r="J194" s="16">
        <v>42</v>
      </c>
      <c r="K194" s="149">
        <f t="shared" si="22"/>
        <v>918</v>
      </c>
      <c r="L194" s="149">
        <f t="shared" si="5"/>
        <v>21.857142857142858</v>
      </c>
      <c r="M194" s="44">
        <f t="shared" si="21"/>
        <v>0.58040987110495579</v>
      </c>
      <c r="Q194" s="191">
        <v>41</v>
      </c>
      <c r="R194" s="193">
        <f t="shared" si="19"/>
        <v>1054.8834769999999</v>
      </c>
      <c r="U194" s="16">
        <v>41</v>
      </c>
      <c r="V194" s="211">
        <v>1054.8834769999999</v>
      </c>
      <c r="W194" s="149">
        <f t="shared" si="10"/>
        <v>25.728865292682922</v>
      </c>
      <c r="X194" s="44">
        <f t="shared" si="23"/>
        <v>0.68322229880666707</v>
      </c>
      <c r="AC194" s="214">
        <v>26.747135244897891</v>
      </c>
      <c r="AD194" s="16">
        <v>41</v>
      </c>
      <c r="AE194" s="149">
        <f t="shared" si="11"/>
        <v>1081.6306122448977</v>
      </c>
      <c r="AF194" s="149">
        <f t="shared" si="20"/>
        <v>26.747135244897891</v>
      </c>
      <c r="AG194" s="204">
        <f t="shared" si="24"/>
        <v>26.674090565647933</v>
      </c>
      <c r="AI194" s="16">
        <v>41</v>
      </c>
      <c r="AJ194" s="149">
        <f t="shared" si="25"/>
        <v>1054.9565216792498</v>
      </c>
      <c r="AK194" s="149">
        <f t="shared" si="12"/>
        <v>25.730646870225605</v>
      </c>
      <c r="AL194" s="44">
        <f t="shared" si="26"/>
        <v>0.68326960806381332</v>
      </c>
      <c r="AM194" s="149">
        <f t="shared" si="14"/>
        <v>25.730037598052352</v>
      </c>
      <c r="AN194" s="149">
        <f t="shared" si="15"/>
        <v>1054.9315415201465</v>
      </c>
    </row>
    <row r="195" spans="10:40" ht="15" x14ac:dyDescent="0.2">
      <c r="J195" s="16">
        <v>43</v>
      </c>
      <c r="K195" s="149">
        <f t="shared" si="22"/>
        <v>939.75</v>
      </c>
      <c r="L195" s="149">
        <f t="shared" si="5"/>
        <v>21.854651162790699</v>
      </c>
      <c r="M195" s="44">
        <f t="shared" si="21"/>
        <v>0.58034370490897935</v>
      </c>
      <c r="Q195" s="191">
        <v>42</v>
      </c>
      <c r="R195" s="193">
        <f t="shared" si="19"/>
        <v>1083.4422769999999</v>
      </c>
      <c r="U195" s="16">
        <v>42</v>
      </c>
      <c r="V195" s="211">
        <v>1083.4422769999999</v>
      </c>
      <c r="W195" s="149">
        <f t="shared" si="10"/>
        <v>25.796244690476186</v>
      </c>
      <c r="X195" s="44">
        <f t="shared" si="23"/>
        <v>0.68501153850025021</v>
      </c>
      <c r="AC195" s="214">
        <v>24.351600551020283</v>
      </c>
      <c r="AD195" s="16">
        <v>42</v>
      </c>
      <c r="AE195" s="149">
        <f t="shared" si="11"/>
        <v>1107.7938775510202</v>
      </c>
      <c r="AF195" s="149">
        <f t="shared" si="20"/>
        <v>24.351600551020283</v>
      </c>
      <c r="AG195" s="204">
        <f t="shared" si="24"/>
        <v>24.272743554612195</v>
      </c>
      <c r="AI195" s="16">
        <v>42</v>
      </c>
      <c r="AJ195" s="149">
        <f t="shared" si="25"/>
        <v>1083.521133996408</v>
      </c>
      <c r="AK195" s="149">
        <f t="shared" si="12"/>
        <v>25.798122238009714</v>
      </c>
      <c r="AL195" s="44">
        <f t="shared" si="26"/>
        <v>0.68506139621171103</v>
      </c>
      <c r="AM195" s="149">
        <f t="shared" si="14"/>
        <v>25.797511368097233</v>
      </c>
      <c r="AN195" s="149">
        <f t="shared" si="15"/>
        <v>1083.4954774600837</v>
      </c>
    </row>
    <row r="196" spans="10:40" ht="15" x14ac:dyDescent="0.2">
      <c r="J196" s="16">
        <v>44</v>
      </c>
      <c r="K196" s="149">
        <f t="shared" si="22"/>
        <v>961.5</v>
      </c>
      <c r="L196" s="149">
        <f t="shared" si="5"/>
        <v>21.852272727272727</v>
      </c>
      <c r="M196" s="44">
        <f t="shared" si="21"/>
        <v>0.58028054626736547</v>
      </c>
      <c r="Q196" s="191">
        <v>43</v>
      </c>
      <c r="R196" s="193">
        <f t="shared" si="19"/>
        <v>1112.1463329999999</v>
      </c>
      <c r="U196" s="16">
        <v>43</v>
      </c>
      <c r="V196" s="211">
        <v>1112.1463329999999</v>
      </c>
      <c r="W196" s="149">
        <f t="shared" si="10"/>
        <v>25.863868209302325</v>
      </c>
      <c r="X196" s="44">
        <f t="shared" si="23"/>
        <v>0.6868072607546214</v>
      </c>
      <c r="AC196" s="214">
        <v>21.810809857142658</v>
      </c>
      <c r="AD196" s="16">
        <v>43</v>
      </c>
      <c r="AE196" s="149">
        <f t="shared" si="11"/>
        <v>1133.9571428571426</v>
      </c>
      <c r="AF196" s="149">
        <f t="shared" si="20"/>
        <v>21.810809857142658</v>
      </c>
      <c r="AG196" s="204">
        <f t="shared" si="24"/>
        <v>21.731227312368194</v>
      </c>
      <c r="AI196" s="16">
        <v>43</v>
      </c>
      <c r="AJ196" s="149">
        <f t="shared" si="25"/>
        <v>1112.2259155447744</v>
      </c>
      <c r="AK196" s="149">
        <f t="shared" si="12"/>
        <v>25.865718966157544</v>
      </c>
      <c r="AL196" s="44">
        <f t="shared" si="26"/>
        <v>0.68685640704765727</v>
      </c>
      <c r="AM196" s="149">
        <f t="shared" si="14"/>
        <v>25.865106495632151</v>
      </c>
      <c r="AN196" s="149">
        <f t="shared" si="15"/>
        <v>1112.1995793121825</v>
      </c>
    </row>
    <row r="197" spans="10:40" ht="15" x14ac:dyDescent="0.2">
      <c r="J197" s="16">
        <v>45</v>
      </c>
      <c r="K197" s="149">
        <f t="shared" si="22"/>
        <v>983.25</v>
      </c>
      <c r="L197" s="149">
        <f t="shared" si="5"/>
        <v>21.85</v>
      </c>
      <c r="M197" s="44">
        <f t="shared" si="21"/>
        <v>0.58022019467649011</v>
      </c>
      <c r="Q197" s="191">
        <v>44</v>
      </c>
      <c r="R197" s="193">
        <f t="shared" si="19"/>
        <v>1140.995645</v>
      </c>
      <c r="U197" s="16">
        <v>44</v>
      </c>
      <c r="V197" s="211">
        <v>1140.995645</v>
      </c>
      <c r="W197" s="149">
        <f t="shared" si="10"/>
        <v>25.931719204545455</v>
      </c>
      <c r="X197" s="44">
        <f t="shared" si="23"/>
        <v>0.6886090235769996</v>
      </c>
      <c r="AC197" s="214">
        <v>19.124763163265243</v>
      </c>
      <c r="AD197" s="16">
        <v>44</v>
      </c>
      <c r="AE197" s="149">
        <f t="shared" si="11"/>
        <v>1160.1204081632652</v>
      </c>
      <c r="AF197" s="149">
        <f t="shared" si="20"/>
        <v>19.124763163265243</v>
      </c>
      <c r="AG197" s="204">
        <f t="shared" si="24"/>
        <v>19.050292842213512</v>
      </c>
      <c r="AI197" s="16">
        <v>44</v>
      </c>
      <c r="AJ197" s="149">
        <f t="shared" si="25"/>
        <v>1141.0701153210516</v>
      </c>
      <c r="AK197" s="149">
        <f t="shared" si="12"/>
        <v>25.933411711842083</v>
      </c>
      <c r="AL197" s="44">
        <f t="shared" si="26"/>
        <v>0.68865396760048436</v>
      </c>
      <c r="AM197" s="149">
        <f t="shared" si="14"/>
        <v>25.932797638430205</v>
      </c>
      <c r="AN197" s="149">
        <f t="shared" si="15"/>
        <v>1141.0430960909291</v>
      </c>
    </row>
    <row r="198" spans="10:40" ht="15" x14ac:dyDescent="0.2">
      <c r="J198" s="16">
        <v>46</v>
      </c>
      <c r="K198" s="149">
        <f t="shared" si="22"/>
        <v>1005</v>
      </c>
      <c r="L198" s="149">
        <f t="shared" si="5"/>
        <v>21.847826086956523</v>
      </c>
      <c r="M198" s="44">
        <f t="shared" si="21"/>
        <v>0.5801624670678267</v>
      </c>
      <c r="Q198" s="191">
        <v>45</v>
      </c>
      <c r="R198" s="193">
        <f t="shared" si="19"/>
        <v>1169.9902129999998</v>
      </c>
      <c r="U198" s="16">
        <v>45</v>
      </c>
      <c r="V198" s="211">
        <v>1169.9902129999998</v>
      </c>
      <c r="W198" s="149">
        <f t="shared" si="10"/>
        <v>25.999782511111107</v>
      </c>
      <c r="X198" s="44">
        <f t="shared" si="23"/>
        <v>0.69041642426285077</v>
      </c>
      <c r="AC198" s="214">
        <v>16.29346046938781</v>
      </c>
      <c r="AD198" s="16">
        <v>45</v>
      </c>
      <c r="AE198" s="149">
        <f t="shared" si="11"/>
        <v>1186.2836734693876</v>
      </c>
      <c r="AF198" s="149">
        <f t="shared" si="20"/>
        <v>16.29346046938781</v>
      </c>
      <c r="AG198" s="204">
        <f t="shared" si="24"/>
        <v>16.230691147445729</v>
      </c>
      <c r="AI198" s="16">
        <v>45</v>
      </c>
      <c r="AJ198" s="149">
        <f t="shared" si="25"/>
        <v>1170.052982321942</v>
      </c>
      <c r="AK198" s="149">
        <f t="shared" si="12"/>
        <v>26.001177384932042</v>
      </c>
      <c r="AL198" s="44">
        <f t="shared" si="26"/>
        <v>0.69045346471868285</v>
      </c>
      <c r="AM198" s="149">
        <f t="shared" si="14"/>
        <v>26.000561706906833</v>
      </c>
      <c r="AN198" s="149">
        <f t="shared" si="15"/>
        <v>1170.0252768108076</v>
      </c>
    </row>
    <row r="199" spans="10:40" ht="15" x14ac:dyDescent="0.2">
      <c r="J199" s="16">
        <v>47</v>
      </c>
      <c r="K199" s="149">
        <f t="shared" si="22"/>
        <v>1026.75</v>
      </c>
      <c r="L199" s="149">
        <f t="shared" si="5"/>
        <v>21.845744680851062</v>
      </c>
      <c r="M199" s="44">
        <f t="shared" si="21"/>
        <v>0.58010719595314875</v>
      </c>
      <c r="Q199" s="191">
        <v>46</v>
      </c>
      <c r="R199" s="193">
        <f t="shared" si="19"/>
        <v>1199.1300369999999</v>
      </c>
      <c r="U199" s="16">
        <v>46</v>
      </c>
      <c r="V199" s="211">
        <v>1199.1300369999999</v>
      </c>
      <c r="W199" s="149">
        <f t="shared" si="10"/>
        <v>26.068044282608692</v>
      </c>
      <c r="X199" s="44">
        <f t="shared" si="23"/>
        <v>0.69222909512542707</v>
      </c>
      <c r="AC199" s="214">
        <v>13.316901775510132</v>
      </c>
      <c r="AD199" s="16">
        <v>46</v>
      </c>
      <c r="AE199" s="149">
        <f t="shared" si="11"/>
        <v>1212.44693877551</v>
      </c>
      <c r="AF199" s="149">
        <f t="shared" si="20"/>
        <v>13.316901775510132</v>
      </c>
      <c r="AG199" s="204">
        <f t="shared" si="24"/>
        <v>13.273173231362595</v>
      </c>
      <c r="AI199" s="16">
        <v>46</v>
      </c>
      <c r="AJ199" s="149">
        <f t="shared" si="25"/>
        <v>1199.1737655441475</v>
      </c>
      <c r="AK199" s="149">
        <f t="shared" si="12"/>
        <v>26.068994903133643</v>
      </c>
      <c r="AL199" s="44">
        <f t="shared" si="26"/>
        <v>0.69225433856826679</v>
      </c>
      <c r="AM199" s="149">
        <f t="shared" si="14"/>
        <v>26.068377619267469</v>
      </c>
      <c r="AN199" s="149">
        <f t="shared" si="15"/>
        <v>1199.1453704863036</v>
      </c>
    </row>
    <row r="200" spans="10:40" ht="15" x14ac:dyDescent="0.2">
      <c r="J200" s="16">
        <v>48</v>
      </c>
      <c r="K200" s="149">
        <f t="shared" si="22"/>
        <v>1048.5</v>
      </c>
      <c r="L200" s="149">
        <f t="shared" si="5"/>
        <v>21.84375</v>
      </c>
      <c r="M200" s="44">
        <f t="shared" si="21"/>
        <v>0.58005422780158267</v>
      </c>
      <c r="Q200" s="191">
        <v>47</v>
      </c>
      <c r="R200" s="193">
        <f t="shared" si="19"/>
        <v>1228.4151169999998</v>
      </c>
      <c r="U200" s="16">
        <v>47</v>
      </c>
      <c r="V200" s="211">
        <v>1228.4151169999998</v>
      </c>
      <c r="W200" s="149">
        <f t="shared" si="10"/>
        <v>26.136491851063827</v>
      </c>
      <c r="X200" s="44">
        <f t="shared" si="23"/>
        <v>0.69404669977046918</v>
      </c>
      <c r="AC200" s="214">
        <v>10.195087081632664</v>
      </c>
      <c r="AD200" s="16">
        <v>47</v>
      </c>
      <c r="AE200" s="149">
        <f t="shared" si="11"/>
        <v>1238.6102040816324</v>
      </c>
      <c r="AF200" s="149">
        <f t="shared" si="20"/>
        <v>10.195087081632664</v>
      </c>
      <c r="AG200" s="204">
        <f t="shared" si="24"/>
        <v>10.178490097261633</v>
      </c>
      <c r="AI200" s="16">
        <v>47</v>
      </c>
      <c r="AJ200" s="149">
        <f t="shared" si="25"/>
        <v>1228.4317139843708</v>
      </c>
      <c r="AK200" s="149">
        <f t="shared" si="12"/>
        <v>26.136844978390869</v>
      </c>
      <c r="AL200" s="44">
        <f t="shared" si="26"/>
        <v>0.69405607696069538</v>
      </c>
      <c r="AM200" s="149">
        <f t="shared" si="14"/>
        <v>26.136226087912828</v>
      </c>
      <c r="AN200" s="149">
        <f t="shared" si="15"/>
        <v>1228.4026261319029</v>
      </c>
    </row>
    <row r="201" spans="10:40" ht="15" x14ac:dyDescent="0.2">
      <c r="J201" s="16">
        <v>49</v>
      </c>
      <c r="K201" s="149">
        <f t="shared" si="22"/>
        <v>1070.25</v>
      </c>
      <c r="L201" s="149">
        <f t="shared" si="5"/>
        <v>21.841836734693878</v>
      </c>
      <c r="M201" s="44">
        <f t="shared" si="21"/>
        <v>0.58000342161538643</v>
      </c>
      <c r="Q201" s="191">
        <v>48</v>
      </c>
      <c r="R201" s="193">
        <f t="shared" si="19"/>
        <v>1257.8454529999999</v>
      </c>
      <c r="U201" s="16">
        <v>48</v>
      </c>
      <c r="V201" s="211">
        <v>1257.8454529999999</v>
      </c>
      <c r="W201" s="149">
        <f t="shared" si="10"/>
        <v>26.205113604166666</v>
      </c>
      <c r="X201" s="44">
        <f t="shared" si="23"/>
        <v>0.69586892983657311</v>
      </c>
      <c r="AC201" s="214">
        <v>6.9280163877549512</v>
      </c>
      <c r="AD201" s="16">
        <v>48</v>
      </c>
      <c r="AE201" s="149">
        <f t="shared" si="11"/>
        <v>1264.7734693877549</v>
      </c>
      <c r="AF201" s="149">
        <f t="shared" si="20"/>
        <v>6.9280163877549512</v>
      </c>
      <c r="AG201" s="204">
        <f t="shared" si="24"/>
        <v>6.9473927484404827</v>
      </c>
      <c r="AI201" s="16">
        <v>48</v>
      </c>
      <c r="AJ201" s="149">
        <f t="shared" si="25"/>
        <v>1257.8260766393144</v>
      </c>
      <c r="AK201" s="149">
        <f t="shared" si="12"/>
        <v>26.204709929985714</v>
      </c>
      <c r="AL201" s="44">
        <f t="shared" si="26"/>
        <v>0.69585821038980622</v>
      </c>
      <c r="AM201" s="149">
        <f t="shared" si="14"/>
        <v>26.204089432543544</v>
      </c>
      <c r="AN201" s="149">
        <f t="shared" si="15"/>
        <v>1257.7962927620902</v>
      </c>
    </row>
    <row r="202" spans="10:40" ht="15" x14ac:dyDescent="0.2">
      <c r="J202" s="16">
        <v>50</v>
      </c>
      <c r="K202" s="149">
        <f t="shared" si="22"/>
        <v>1092</v>
      </c>
      <c r="L202" s="149">
        <f t="shared" si="5"/>
        <v>21.84</v>
      </c>
      <c r="M202" s="44">
        <f t="shared" si="21"/>
        <v>0.57995464767663818</v>
      </c>
      <c r="Q202" s="191">
        <v>49</v>
      </c>
      <c r="R202" s="193">
        <f t="shared" si="19"/>
        <v>1287.421045</v>
      </c>
      <c r="U202" s="16">
        <v>49</v>
      </c>
      <c r="V202" s="211">
        <v>1287.421045</v>
      </c>
      <c r="W202" s="149">
        <f t="shared" si="10"/>
        <v>26.273898877551023</v>
      </c>
      <c r="X202" s="44">
        <f t="shared" si="23"/>
        <v>0.69769550213469422</v>
      </c>
      <c r="AC202" s="214">
        <v>3.5156896938772206</v>
      </c>
      <c r="AD202" s="16">
        <v>49</v>
      </c>
      <c r="AE202" s="149">
        <f t="shared" si="11"/>
        <v>1290.9367346938773</v>
      </c>
      <c r="AF202" s="149">
        <f t="shared" si="20"/>
        <v>3.5156896938772206</v>
      </c>
      <c r="AG202" s="204">
        <f t="shared" si="24"/>
        <v>3.5806321881968062</v>
      </c>
      <c r="AI202" s="16">
        <v>49</v>
      </c>
      <c r="AJ202" s="149">
        <f t="shared" si="25"/>
        <v>1287.3561025056804</v>
      </c>
      <c r="AK202" s="149">
        <f t="shared" si="12"/>
        <v>26.272573520524091</v>
      </c>
      <c r="AL202" s="44">
        <f t="shared" si="26"/>
        <v>0.6976603076764708</v>
      </c>
      <c r="AM202" s="149">
        <f t="shared" si="14"/>
        <v>26.271951416150017</v>
      </c>
      <c r="AN202" s="149">
        <f t="shared" si="15"/>
        <v>1287.3256193913508</v>
      </c>
    </row>
    <row r="203" spans="10:40" ht="15" x14ac:dyDescent="0.2">
      <c r="J203" s="16"/>
      <c r="Q203" s="194">
        <v>50</v>
      </c>
      <c r="R203" s="195">
        <f t="shared" si="19"/>
        <v>1317.1418929999998</v>
      </c>
      <c r="U203" s="16">
        <v>50</v>
      </c>
      <c r="V203" s="212">
        <v>1317.1418929999998</v>
      </c>
      <c r="W203" s="149">
        <f t="shared" si="10"/>
        <v>26.342837859999996</v>
      </c>
      <c r="X203" s="44">
        <f t="shared" si="23"/>
        <v>0.69952615613091129</v>
      </c>
      <c r="AC203" s="214">
        <v>-4.1893000000072789E-2</v>
      </c>
      <c r="AD203" s="16">
        <v>50</v>
      </c>
      <c r="AE203" s="149">
        <f t="shared" si="11"/>
        <v>1317.0999999999997</v>
      </c>
      <c r="AF203" s="149">
        <f t="shared" si="20"/>
        <v>-4.1893000000072789E-2</v>
      </c>
      <c r="AG203" s="204">
        <f t="shared" si="24"/>
        <v>7.8959419828241728E-2</v>
      </c>
      <c r="AI203" s="16">
        <v>50</v>
      </c>
      <c r="AJ203" s="149">
        <f t="shared" si="25"/>
        <v>1317.0210405801715</v>
      </c>
      <c r="AK203" s="149">
        <f t="shared" si="12"/>
        <v>26.34042081160343</v>
      </c>
      <c r="AL203" s="44">
        <f t="shared" si="26"/>
        <v>0.69946197213589079</v>
      </c>
      <c r="AM203" s="149">
        <f t="shared" si="14"/>
        <v>26.339797100683409</v>
      </c>
      <c r="AN203" s="149">
        <f t="shared" si="15"/>
        <v>1316.9898550341704</v>
      </c>
    </row>
    <row r="204" spans="10:40" x14ac:dyDescent="0.2">
      <c r="J204" s="16"/>
      <c r="AC204" s="216"/>
    </row>
    <row r="205" spans="10:40" x14ac:dyDescent="0.2">
      <c r="J205" s="16"/>
    </row>
    <row r="206" spans="10:40" x14ac:dyDescent="0.2">
      <c r="J206" s="16"/>
    </row>
    <row r="207" spans="10:40" x14ac:dyDescent="0.2">
      <c r="J207" s="16"/>
    </row>
    <row r="208" spans="10:40" x14ac:dyDescent="0.2">
      <c r="J208" s="16"/>
    </row>
    <row r="209" spans="10:10" x14ac:dyDescent="0.2">
      <c r="J209" s="16"/>
    </row>
    <row r="210" spans="10:10" x14ac:dyDescent="0.2">
      <c r="J210" s="16"/>
    </row>
    <row r="211" spans="10:10" x14ac:dyDescent="0.2">
      <c r="J211" s="16"/>
    </row>
    <row r="212" spans="10:10" x14ac:dyDescent="0.2">
      <c r="J212" s="16"/>
    </row>
    <row r="213" spans="10:10" x14ac:dyDescent="0.2">
      <c r="J213" s="16"/>
    </row>
    <row r="214" spans="10:10" x14ac:dyDescent="0.2">
      <c r="J214" s="16"/>
    </row>
    <row r="215" spans="10:10" x14ac:dyDescent="0.2">
      <c r="J215" s="16"/>
    </row>
    <row r="216" spans="10:10" x14ac:dyDescent="0.2">
      <c r="J216" s="16"/>
    </row>
    <row r="217" spans="10:10" x14ac:dyDescent="0.2">
      <c r="J217" s="16"/>
    </row>
    <row r="218" spans="10:10" x14ac:dyDescent="0.2">
      <c r="J218" s="16"/>
    </row>
    <row r="219" spans="10:10" x14ac:dyDescent="0.2">
      <c r="J219" s="16"/>
    </row>
    <row r="220" spans="10:10" x14ac:dyDescent="0.2">
      <c r="J220" s="16"/>
    </row>
    <row r="221" spans="10:10" x14ac:dyDescent="0.2">
      <c r="J221" s="16"/>
    </row>
    <row r="222" spans="10:10" x14ac:dyDescent="0.2">
      <c r="J222" s="16"/>
    </row>
    <row r="223" spans="10:10" x14ac:dyDescent="0.2">
      <c r="J223" s="16"/>
    </row>
    <row r="224" spans="10:10" x14ac:dyDescent="0.2">
      <c r="J224" s="16"/>
    </row>
    <row r="225" spans="10:10" x14ac:dyDescent="0.2">
      <c r="J225" s="16"/>
    </row>
    <row r="226" spans="10:10" x14ac:dyDescent="0.2">
      <c r="J226" s="16"/>
    </row>
    <row r="227" spans="10:10" x14ac:dyDescent="0.2">
      <c r="J227" s="16"/>
    </row>
    <row r="228" spans="10:10" x14ac:dyDescent="0.2">
      <c r="J228" s="16"/>
    </row>
    <row r="229" spans="10:10" x14ac:dyDescent="0.2">
      <c r="J229" s="16"/>
    </row>
    <row r="230" spans="10:10" x14ac:dyDescent="0.2">
      <c r="J230" s="16"/>
    </row>
    <row r="231" spans="10:10" x14ac:dyDescent="0.2">
      <c r="J231" s="16"/>
    </row>
    <row r="232" spans="10:10" x14ac:dyDescent="0.2">
      <c r="J232" s="16"/>
    </row>
    <row r="233" spans="10:10" x14ac:dyDescent="0.2">
      <c r="J233" s="16"/>
    </row>
    <row r="234" spans="10:10" x14ac:dyDescent="0.2">
      <c r="J234" s="16"/>
    </row>
    <row r="235" spans="10:10" x14ac:dyDescent="0.2">
      <c r="J235" s="16"/>
    </row>
    <row r="236" spans="10:10" x14ac:dyDescent="0.2">
      <c r="J236" s="16"/>
    </row>
    <row r="237" spans="10:10" x14ac:dyDescent="0.2">
      <c r="J237" s="16"/>
    </row>
    <row r="238" spans="10:10" x14ac:dyDescent="0.2">
      <c r="J238" s="16"/>
    </row>
    <row r="239" spans="10:10" x14ac:dyDescent="0.2">
      <c r="J239" s="16"/>
    </row>
    <row r="240" spans="10:10" x14ac:dyDescent="0.2">
      <c r="J240" s="16"/>
    </row>
    <row r="241" spans="10:10" x14ac:dyDescent="0.2">
      <c r="J241" s="16"/>
    </row>
    <row r="242" spans="10:10" x14ac:dyDescent="0.2">
      <c r="J242" s="16"/>
    </row>
    <row r="243" spans="10:10" x14ac:dyDescent="0.2">
      <c r="J243" s="16"/>
    </row>
    <row r="249" spans="10:10" x14ac:dyDescent="0.2">
      <c r="J249" s="16"/>
    </row>
    <row r="250" spans="10:10" x14ac:dyDescent="0.2">
      <c r="J250" s="16"/>
    </row>
    <row r="251" spans="10:10" x14ac:dyDescent="0.2">
      <c r="J251" s="16"/>
    </row>
    <row r="252" spans="10:10" x14ac:dyDescent="0.2">
      <c r="J252" s="16"/>
    </row>
    <row r="253" spans="10:10" x14ac:dyDescent="0.2">
      <c r="J253" s="16"/>
    </row>
    <row r="254" spans="10:10" x14ac:dyDescent="0.2">
      <c r="J254" s="16"/>
    </row>
  </sheetData>
  <sortState xmlns:xlrd2="http://schemas.microsoft.com/office/spreadsheetml/2017/richdata2" ref="AH154:AH167">
    <sortCondition ref="AH154:AH167"/>
  </sortState>
  <pageMargins left="0.7" right="0.7" top="0.25" bottom="0.25" header="0.3" footer="0.3"/>
  <pageSetup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4D42-EAAC-4EEA-968E-304530315643}">
  <sheetPr transitionEvaluation="1" transitionEntry="1"/>
  <dimension ref="B1:Z97"/>
  <sheetViews>
    <sheetView showGridLines="0" topLeftCell="A7" zoomScale="90" zoomScaleNormal="90" workbookViewId="0">
      <selection activeCell="E24" sqref="E24:E33"/>
    </sheetView>
  </sheetViews>
  <sheetFormatPr defaultRowHeight="12.75" x14ac:dyDescent="0.2"/>
  <sheetData>
    <row r="1" spans="14:18" x14ac:dyDescent="0.2">
      <c r="N1" s="227"/>
    </row>
    <row r="13" spans="14:18" x14ac:dyDescent="0.2">
      <c r="R13" t="s">
        <v>233</v>
      </c>
    </row>
    <row r="17" spans="2:26" ht="15" x14ac:dyDescent="0.25">
      <c r="F17" s="146" t="s">
        <v>65</v>
      </c>
      <c r="G17" s="146" t="s">
        <v>66</v>
      </c>
      <c r="H17" s="146"/>
      <c r="U17" s="146" t="s">
        <v>65</v>
      </c>
      <c r="V17" s="146" t="s">
        <v>66</v>
      </c>
      <c r="W17" s="146"/>
    </row>
    <row r="18" spans="2:26" ht="15" x14ac:dyDescent="0.25">
      <c r="F18" s="147">
        <v>1</v>
      </c>
      <c r="G18" s="154">
        <v>45.83</v>
      </c>
      <c r="H18" s="155"/>
      <c r="T18" s="154">
        <v>25.5</v>
      </c>
      <c r="U18" s="147">
        <v>1</v>
      </c>
      <c r="V18" s="154">
        <v>25.5</v>
      </c>
      <c r="W18" s="155"/>
    </row>
    <row r="19" spans="2:26" ht="15" x14ac:dyDescent="0.25">
      <c r="F19" s="147">
        <v>50</v>
      </c>
      <c r="G19" s="154">
        <v>1218</v>
      </c>
      <c r="H19" s="155"/>
      <c r="T19" s="154">
        <v>1319</v>
      </c>
      <c r="U19" s="147">
        <v>50</v>
      </c>
      <c r="V19" s="154">
        <v>1319</v>
      </c>
      <c r="W19" s="155"/>
    </row>
    <row r="20" spans="2:26" x14ac:dyDescent="0.2">
      <c r="F20" s="82"/>
      <c r="G20" s="196" cm="1">
        <f t="array" ref="G20">_xlfn.SINGLE(INDEX(LINEST(G18:G19,($F18:$F19)^{1}),1))</f>
        <v>23.921836734693873</v>
      </c>
      <c r="H20" s="82"/>
      <c r="U20" s="82"/>
      <c r="V20" s="196" cm="1">
        <f t="array" ref="V20">_xlfn.SINGLE(INDEX(LINEST(V18:V19,($U18:$U19)^{1}),1))</f>
        <v>26.397959183673464</v>
      </c>
      <c r="W20" s="82"/>
    </row>
    <row r="21" spans="2:26" x14ac:dyDescent="0.2">
      <c r="F21" s="82"/>
      <c r="G21" s="196" cm="1">
        <f t="array" ref="G21">INDEX(LINEST(G18:G19,($F18:$F19)^{1}),1,2)</f>
        <v>21.908163265306257</v>
      </c>
      <c r="H21" s="82"/>
      <c r="S21" t="s">
        <v>234</v>
      </c>
      <c r="U21" s="82"/>
      <c r="V21" s="196" cm="1">
        <f t="array" ref="V21">INDEX(LINEST(V18:V19,($U18:$U19)^{1}),1,2)</f>
        <v>-0.8979591836733789</v>
      </c>
      <c r="W21" s="82"/>
    </row>
    <row r="22" spans="2:26" x14ac:dyDescent="0.2">
      <c r="B22" s="62"/>
      <c r="C22" s="68"/>
      <c r="D22" s="62"/>
      <c r="E22" s="62" t="s">
        <v>237</v>
      </c>
      <c r="S22" t="s">
        <v>235</v>
      </c>
      <c r="T22" t="s">
        <v>236</v>
      </c>
    </row>
    <row r="23" spans="2:26" ht="15" x14ac:dyDescent="0.2">
      <c r="B23" s="63" t="s">
        <v>2</v>
      </c>
      <c r="C23" s="62" t="s">
        <v>12</v>
      </c>
      <c r="D23" s="64" t="s">
        <v>17</v>
      </c>
      <c r="E23" s="62" t="s">
        <v>16</v>
      </c>
      <c r="F23" s="18" t="s">
        <v>65</v>
      </c>
      <c r="G23" s="199" t="s">
        <v>66</v>
      </c>
      <c r="H23" s="207" t="s">
        <v>124</v>
      </c>
      <c r="R23" s="225" t="s">
        <v>65</v>
      </c>
      <c r="S23" s="225" t="s">
        <v>143</v>
      </c>
      <c r="T23" s="225" t="s">
        <v>12</v>
      </c>
      <c r="U23" s="18" t="s">
        <v>65</v>
      </c>
      <c r="V23" s="199" t="s">
        <v>66</v>
      </c>
      <c r="W23" s="207" t="s">
        <v>124</v>
      </c>
    </row>
    <row r="24" spans="2:26" ht="15" x14ac:dyDescent="0.25">
      <c r="B24" s="54">
        <v>1</v>
      </c>
      <c r="C24" s="220"/>
      <c r="D24" s="83"/>
      <c r="E24" s="183">
        <v>46.4</v>
      </c>
      <c r="F24" s="16">
        <v>1</v>
      </c>
      <c r="G24" s="149">
        <f t="shared" ref="G24:G33" si="0">(G$20*F24)+G$21</f>
        <v>45.830000000000126</v>
      </c>
      <c r="H24" s="200">
        <f t="shared" ref="H24:H33" si="1">G24-E24</f>
        <v>-0.56999999999987239</v>
      </c>
      <c r="R24" s="225">
        <v>1</v>
      </c>
      <c r="S24" s="183">
        <v>46.4</v>
      </c>
      <c r="T24" s="226">
        <v>0.7</v>
      </c>
      <c r="U24" s="16">
        <v>1</v>
      </c>
      <c r="V24" s="149">
        <f t="shared" ref="V24:V33" si="2">(V$20*U24)+V$21</f>
        <v>25.500000000000085</v>
      </c>
      <c r="W24" s="200">
        <f>V24-S24</f>
        <v>-20.899999999999913</v>
      </c>
    </row>
    <row r="25" spans="2:26" ht="15" x14ac:dyDescent="0.25">
      <c r="B25" s="54">
        <v>2</v>
      </c>
      <c r="C25" s="220"/>
      <c r="D25" s="358" t="s">
        <v>238</v>
      </c>
      <c r="E25" s="184">
        <v>69.8</v>
      </c>
      <c r="F25" s="16">
        <v>2</v>
      </c>
      <c r="G25" s="149">
        <f t="shared" si="0"/>
        <v>69.751836734693995</v>
      </c>
      <c r="H25" s="200">
        <f t="shared" si="1"/>
        <v>-4.816326530600179E-2</v>
      </c>
      <c r="I25" s="142">
        <f>H25-H24</f>
        <v>0.5218367346938706</v>
      </c>
      <c r="R25" s="225">
        <v>2</v>
      </c>
      <c r="S25" s="184">
        <v>69.8</v>
      </c>
      <c r="T25" s="226">
        <v>0.63</v>
      </c>
      <c r="U25" s="16">
        <v>2</v>
      </c>
      <c r="V25" s="149">
        <f t="shared" si="2"/>
        <v>51.897959183673549</v>
      </c>
      <c r="W25" s="200">
        <f t="shared" ref="W25:W33" si="3">V25-S25</f>
        <v>-17.902040816326448</v>
      </c>
      <c r="X25" s="142">
        <f>W25-W24</f>
        <v>2.9979591836734656</v>
      </c>
    </row>
    <row r="26" spans="2:26" ht="15" x14ac:dyDescent="0.25">
      <c r="B26" s="54">
        <v>3</v>
      </c>
      <c r="C26" s="220"/>
      <c r="D26" s="83"/>
      <c r="E26" s="183">
        <v>89.1</v>
      </c>
      <c r="F26" s="16">
        <v>3</v>
      </c>
      <c r="G26" s="149">
        <f t="shared" si="0"/>
        <v>93.673673469387879</v>
      </c>
      <c r="H26" s="200">
        <f t="shared" si="1"/>
        <v>4.5736734693878844</v>
      </c>
      <c r="I26" s="142">
        <f t="shared" ref="I26:I33" si="4">H26-H25</f>
        <v>4.6218367346938862</v>
      </c>
      <c r="K26" s="143">
        <f t="shared" ref="K26:K33" si="5">H26/H25</f>
        <v>-94.961864407020244</v>
      </c>
      <c r="R26" s="225">
        <v>3</v>
      </c>
      <c r="S26" s="183">
        <v>89.1</v>
      </c>
      <c r="T26" s="226">
        <v>0.61</v>
      </c>
      <c r="U26" s="16">
        <v>3</v>
      </c>
      <c r="V26" s="149">
        <f t="shared" si="2"/>
        <v>78.295918367347014</v>
      </c>
      <c r="W26" s="200">
        <f t="shared" si="3"/>
        <v>-10.804081632652981</v>
      </c>
      <c r="X26" s="142">
        <f t="shared" ref="X26:X33" si="6">W26-W25</f>
        <v>7.097959183673467</v>
      </c>
      <c r="Z26" s="143">
        <f t="shared" ref="Z26:Z33" si="7">W26/W25</f>
        <v>0.60351117191062298</v>
      </c>
    </row>
    <row r="27" spans="2:26" ht="15" x14ac:dyDescent="0.25">
      <c r="B27" s="54">
        <v>4</v>
      </c>
      <c r="C27" s="220"/>
      <c r="D27" s="83"/>
      <c r="E27" s="183">
        <v>106.6</v>
      </c>
      <c r="F27" s="16">
        <v>4</v>
      </c>
      <c r="G27" s="149">
        <f t="shared" si="0"/>
        <v>117.59551020408175</v>
      </c>
      <c r="H27" s="200">
        <f t="shared" si="1"/>
        <v>10.995510204081754</v>
      </c>
      <c r="I27" s="142">
        <f t="shared" si="4"/>
        <v>6.4218367346938692</v>
      </c>
      <c r="K27" s="143">
        <f t="shared" si="5"/>
        <v>2.4040872785685186</v>
      </c>
      <c r="R27" s="225">
        <v>4</v>
      </c>
      <c r="S27" s="183">
        <v>106.6</v>
      </c>
      <c r="T27" s="226">
        <v>0.56999999999999995</v>
      </c>
      <c r="U27" s="16">
        <v>4</v>
      </c>
      <c r="V27" s="149">
        <f t="shared" si="2"/>
        <v>104.69387755102048</v>
      </c>
      <c r="W27" s="200">
        <f t="shared" si="3"/>
        <v>-1.9061224489795165</v>
      </c>
      <c r="X27" s="142">
        <f t="shared" si="6"/>
        <v>8.8979591836734642</v>
      </c>
      <c r="Z27" s="143">
        <f t="shared" si="7"/>
        <v>0.17642614280316776</v>
      </c>
    </row>
    <row r="28" spans="2:26" ht="15" x14ac:dyDescent="0.25">
      <c r="B28" s="54">
        <v>5</v>
      </c>
      <c r="C28" s="220"/>
      <c r="D28" s="83"/>
      <c r="E28" s="184">
        <v>122.7</v>
      </c>
      <c r="F28" s="16">
        <v>5</v>
      </c>
      <c r="G28" s="149">
        <f t="shared" si="0"/>
        <v>141.51734693877563</v>
      </c>
      <c r="H28" s="200">
        <f t="shared" si="1"/>
        <v>18.817346938775628</v>
      </c>
      <c r="I28" s="142">
        <f t="shared" si="4"/>
        <v>7.8218367346938749</v>
      </c>
      <c r="K28" s="143">
        <f t="shared" si="5"/>
        <v>1.7113664204313368</v>
      </c>
      <c r="R28" s="225">
        <v>5</v>
      </c>
      <c r="S28" s="184">
        <v>122.7</v>
      </c>
      <c r="T28" s="226">
        <v>0.55000000000000004</v>
      </c>
      <c r="U28" s="16">
        <v>5</v>
      </c>
      <c r="V28" s="149">
        <f t="shared" si="2"/>
        <v>131.09183673469394</v>
      </c>
      <c r="W28" s="200">
        <f t="shared" si="3"/>
        <v>8.3918367346939391</v>
      </c>
      <c r="X28" s="142">
        <f t="shared" si="6"/>
        <v>10.297959183673456</v>
      </c>
      <c r="Z28" s="143">
        <f t="shared" si="7"/>
        <v>-4.402569593147958</v>
      </c>
    </row>
    <row r="29" spans="2:26" ht="15" x14ac:dyDescent="0.25">
      <c r="B29" s="54">
        <v>10</v>
      </c>
      <c r="C29" s="357"/>
      <c r="D29" s="83"/>
      <c r="E29" s="183">
        <v>209.8</v>
      </c>
      <c r="F29" s="16">
        <v>10</v>
      </c>
      <c r="G29" s="149">
        <f t="shared" si="0"/>
        <v>261.12653061224501</v>
      </c>
      <c r="H29" s="200">
        <f t="shared" si="1"/>
        <v>51.326530612244994</v>
      </c>
      <c r="I29" s="142">
        <f t="shared" si="4"/>
        <v>32.509183673469366</v>
      </c>
      <c r="K29" s="143">
        <f t="shared" si="5"/>
        <v>2.7276178081448825</v>
      </c>
      <c r="R29" s="225">
        <v>10</v>
      </c>
      <c r="S29" s="183">
        <v>209.8</v>
      </c>
      <c r="T29" s="226">
        <v>0.56000000000000005</v>
      </c>
      <c r="U29" s="16">
        <v>10</v>
      </c>
      <c r="V29" s="149">
        <f t="shared" si="2"/>
        <v>263.08163265306126</v>
      </c>
      <c r="W29" s="200">
        <f>V29-S29</f>
        <v>53.281632653061251</v>
      </c>
      <c r="X29" s="142">
        <f t="shared" si="6"/>
        <v>44.889795918367312</v>
      </c>
      <c r="Z29" s="143">
        <f t="shared" si="7"/>
        <v>6.3492217898832255</v>
      </c>
    </row>
    <row r="30" spans="2:26" ht="15" x14ac:dyDescent="0.25">
      <c r="B30" s="54">
        <v>20</v>
      </c>
      <c r="C30" s="357"/>
      <c r="D30" s="83"/>
      <c r="E30" s="183">
        <v>436.6</v>
      </c>
      <c r="F30" s="16">
        <v>20</v>
      </c>
      <c r="G30" s="149">
        <f t="shared" si="0"/>
        <v>500.3448979591837</v>
      </c>
      <c r="H30" s="200">
        <f t="shared" si="1"/>
        <v>63.744897959183675</v>
      </c>
      <c r="I30" s="142">
        <f t="shared" si="4"/>
        <v>12.41836734693868</v>
      </c>
      <c r="K30" s="143">
        <f t="shared" si="5"/>
        <v>1.2419483101391626</v>
      </c>
      <c r="R30" s="225">
        <v>20</v>
      </c>
      <c r="S30" s="183">
        <v>436.6</v>
      </c>
      <c r="T30" s="226">
        <v>0.57999999999999996</v>
      </c>
      <c r="U30" s="16">
        <v>20</v>
      </c>
      <c r="V30" s="149">
        <f t="shared" si="2"/>
        <v>527.0612244897959</v>
      </c>
      <c r="W30" s="200">
        <f t="shared" si="3"/>
        <v>90.461224489795882</v>
      </c>
      <c r="X30" s="142">
        <f t="shared" si="6"/>
        <v>37.17959183673463</v>
      </c>
      <c r="Z30" s="143">
        <f t="shared" si="7"/>
        <v>1.6977937796843863</v>
      </c>
    </row>
    <row r="31" spans="2:26" ht="15" x14ac:dyDescent="0.25">
      <c r="B31" s="54">
        <v>30</v>
      </c>
      <c r="C31" s="357"/>
      <c r="D31" s="83"/>
      <c r="E31" s="183">
        <v>685.6</v>
      </c>
      <c r="F31" s="16">
        <v>30</v>
      </c>
      <c r="G31" s="149">
        <f t="shared" si="0"/>
        <v>739.56326530612239</v>
      </c>
      <c r="H31" s="200">
        <f t="shared" si="1"/>
        <v>53.963265306122366</v>
      </c>
      <c r="I31" s="142">
        <f t="shared" si="4"/>
        <v>-9.7816326530613082</v>
      </c>
      <c r="K31" s="143">
        <f t="shared" si="5"/>
        <v>0.84655034416519803</v>
      </c>
      <c r="R31" s="225">
        <v>30</v>
      </c>
      <c r="S31" s="183">
        <v>685.6</v>
      </c>
      <c r="T31" s="226">
        <v>0.6</v>
      </c>
      <c r="U31" s="16">
        <v>30</v>
      </c>
      <c r="V31" s="149">
        <f t="shared" si="2"/>
        <v>791.04081632653049</v>
      </c>
      <c r="W31" s="200">
        <f t="shared" si="3"/>
        <v>105.44081632653047</v>
      </c>
      <c r="X31" s="142">
        <f t="shared" si="6"/>
        <v>14.979591836734585</v>
      </c>
      <c r="Z31" s="143">
        <f t="shared" si="7"/>
        <v>1.1655913008166754</v>
      </c>
    </row>
    <row r="32" spans="2:26" ht="15" x14ac:dyDescent="0.25">
      <c r="B32" s="54">
        <v>40</v>
      </c>
      <c r="C32" s="357"/>
      <c r="D32" s="358" t="s">
        <v>238</v>
      </c>
      <c r="E32" s="184">
        <v>978.4</v>
      </c>
      <c r="F32" s="16">
        <v>40</v>
      </c>
      <c r="G32" s="149">
        <f t="shared" si="0"/>
        <v>978.78163265306114</v>
      </c>
      <c r="H32" s="200">
        <f t="shared" si="1"/>
        <v>0.38163265306116045</v>
      </c>
      <c r="I32" s="142">
        <f t="shared" si="4"/>
        <v>-53.581632653061206</v>
      </c>
      <c r="K32" s="143">
        <f t="shared" si="5"/>
        <v>7.0720822933200552E-3</v>
      </c>
      <c r="R32" s="225">
        <v>40</v>
      </c>
      <c r="S32" s="184">
        <v>978.4</v>
      </c>
      <c r="T32" s="226">
        <v>0.64</v>
      </c>
      <c r="U32" s="16">
        <v>40</v>
      </c>
      <c r="V32" s="149">
        <f t="shared" si="2"/>
        <v>1055.0204081632651</v>
      </c>
      <c r="W32" s="200">
        <f t="shared" si="3"/>
        <v>76.620408163265097</v>
      </c>
      <c r="X32" s="142">
        <f t="shared" si="6"/>
        <v>-28.82040816326537</v>
      </c>
      <c r="Z32" s="143">
        <f t="shared" si="7"/>
        <v>0.72666744087020385</v>
      </c>
    </row>
    <row r="33" spans="2:26" ht="15" x14ac:dyDescent="0.25">
      <c r="B33" s="54">
        <v>50</v>
      </c>
      <c r="C33" s="357"/>
      <c r="D33" s="83"/>
      <c r="E33" s="183">
        <v>1282.8</v>
      </c>
      <c r="F33" s="16">
        <v>50</v>
      </c>
      <c r="G33" s="149">
        <f t="shared" si="0"/>
        <v>1218</v>
      </c>
      <c r="H33" s="200">
        <f t="shared" si="1"/>
        <v>-64.799999999999955</v>
      </c>
      <c r="I33" s="142">
        <f t="shared" si="4"/>
        <v>-65.181632653061115</v>
      </c>
      <c r="K33" s="143">
        <f t="shared" si="5"/>
        <v>-169.79679144387865</v>
      </c>
      <c r="R33" s="225">
        <v>50</v>
      </c>
      <c r="S33" s="183">
        <v>1282.8</v>
      </c>
      <c r="T33" s="226">
        <v>0.65</v>
      </c>
      <c r="U33" s="16">
        <v>50</v>
      </c>
      <c r="V33" s="149">
        <f t="shared" si="2"/>
        <v>1319</v>
      </c>
      <c r="W33" s="200">
        <f t="shared" si="3"/>
        <v>36.200000000000045</v>
      </c>
      <c r="X33" s="142">
        <f t="shared" si="6"/>
        <v>-40.420408163265051</v>
      </c>
      <c r="Z33" s="143">
        <f t="shared" si="7"/>
        <v>0.47245898146175341</v>
      </c>
    </row>
    <row r="43" spans="2:26" x14ac:dyDescent="0.2">
      <c r="G43" s="18"/>
      <c r="I43" s="208"/>
    </row>
    <row r="44" spans="2:26" x14ac:dyDescent="0.2">
      <c r="M44">
        <v>1.1000000000000001</v>
      </c>
    </row>
    <row r="46" spans="2:26" x14ac:dyDescent="0.2">
      <c r="H46" s="2"/>
    </row>
    <row r="47" spans="2:26" x14ac:dyDescent="0.2">
      <c r="I47" s="205" t="s">
        <v>127</v>
      </c>
    </row>
    <row r="48" spans="2:26" x14ac:dyDescent="0.2">
      <c r="E48" s="204">
        <v>-0.83231644049875397</v>
      </c>
      <c r="G48">
        <v>1</v>
      </c>
      <c r="H48" s="16">
        <v>1</v>
      </c>
      <c r="I48" s="204">
        <v>7.8959419828241728E-2</v>
      </c>
    </row>
    <row r="49" spans="5:20" x14ac:dyDescent="0.2">
      <c r="E49" s="204">
        <v>2.9889285008524107</v>
      </c>
      <c r="G49">
        <v>2</v>
      </c>
      <c r="H49" s="16">
        <v>2</v>
      </c>
      <c r="I49" s="204">
        <v>3.5806321881968062</v>
      </c>
      <c r="J49" s="229">
        <f>I49-I48</f>
        <v>3.5016727683685644</v>
      </c>
    </row>
    <row r="50" spans="5:20" x14ac:dyDescent="0.2">
      <c r="E50" s="204">
        <v>6.6399640790901637</v>
      </c>
      <c r="G50">
        <v>3</v>
      </c>
      <c r="H50" s="16">
        <v>3</v>
      </c>
      <c r="I50" s="204">
        <v>6.9473927484404827</v>
      </c>
      <c r="J50" s="229">
        <f t="shared" ref="J50:L72" si="8">I50-I49</f>
        <v>3.3667605602436765</v>
      </c>
      <c r="K50" s="201">
        <f>J50-J49</f>
        <v>-0.13491220812488791</v>
      </c>
    </row>
    <row r="51" spans="5:20" x14ac:dyDescent="0.2">
      <c r="E51" s="204">
        <v>10.121541297512131</v>
      </c>
      <c r="G51">
        <v>4</v>
      </c>
      <c r="H51" s="16">
        <v>4</v>
      </c>
      <c r="I51" s="204">
        <v>10.178490097261633</v>
      </c>
      <c r="J51" s="229">
        <f t="shared" si="8"/>
        <v>3.2310973488211507</v>
      </c>
      <c r="K51" s="201">
        <f t="shared" si="8"/>
        <v>-0.1356632114225258</v>
      </c>
      <c r="L51" s="201">
        <f>K51-K50</f>
        <v>-7.5100329763788665E-4</v>
      </c>
    </row>
    <row r="52" spans="5:20" x14ac:dyDescent="0.2">
      <c r="E52" s="204">
        <v>13.434411159415941</v>
      </c>
      <c r="G52">
        <v>5</v>
      </c>
      <c r="H52" s="16">
        <v>5</v>
      </c>
      <c r="I52" s="204">
        <v>13.273173231362595</v>
      </c>
      <c r="J52" s="229">
        <f t="shared" si="8"/>
        <v>3.0946831341009613</v>
      </c>
      <c r="K52" s="201">
        <f t="shared" si="8"/>
        <v>-0.13641421472018944</v>
      </c>
      <c r="L52" s="201">
        <f t="shared" si="8"/>
        <v>-7.5100329766364382E-4</v>
      </c>
    </row>
    <row r="53" spans="5:20" x14ac:dyDescent="0.2">
      <c r="E53" s="204">
        <v>16.579324668099222</v>
      </c>
      <c r="G53">
        <v>6</v>
      </c>
      <c r="H53" s="16">
        <v>6</v>
      </c>
      <c r="I53" s="204">
        <v>16.230691147445729</v>
      </c>
      <c r="J53" s="229">
        <f t="shared" si="8"/>
        <v>2.957517916083134</v>
      </c>
      <c r="K53" s="201">
        <f t="shared" si="8"/>
        <v>-0.13716521801782733</v>
      </c>
      <c r="L53" s="201">
        <f t="shared" si="8"/>
        <v>-7.5100329763788665E-4</v>
      </c>
    </row>
    <row r="54" spans="5:20" x14ac:dyDescent="0.2">
      <c r="E54" s="204">
        <v>19.557032826859601</v>
      </c>
      <c r="G54">
        <v>7</v>
      </c>
      <c r="H54" s="16">
        <v>7</v>
      </c>
      <c r="I54" s="204">
        <v>19.050292842213512</v>
      </c>
      <c r="J54" s="229">
        <f t="shared" si="8"/>
        <v>2.8196016947677833</v>
      </c>
      <c r="K54" s="201">
        <f t="shared" si="8"/>
        <v>-0.13791622131535064</v>
      </c>
      <c r="L54" s="201">
        <f t="shared" si="8"/>
        <v>-7.5100329752331163E-4</v>
      </c>
    </row>
    <row r="55" spans="5:20" x14ac:dyDescent="0.2">
      <c r="E55" s="204">
        <v>22.368286638994707</v>
      </c>
      <c r="G55">
        <v>8</v>
      </c>
      <c r="H55" s="16">
        <v>8</v>
      </c>
      <c r="I55" s="204">
        <v>21.731227312368194</v>
      </c>
      <c r="J55" s="229">
        <f t="shared" si="8"/>
        <v>2.680934470154682</v>
      </c>
      <c r="K55" s="201">
        <f t="shared" si="8"/>
        <v>-0.13866722461310133</v>
      </c>
      <c r="L55" s="201">
        <f t="shared" si="8"/>
        <v>-7.5100329775068531E-4</v>
      </c>
    </row>
    <row r="56" spans="5:20" x14ac:dyDescent="0.2">
      <c r="E56" s="204">
        <v>25.013837107802168</v>
      </c>
      <c r="G56">
        <v>9</v>
      </c>
      <c r="H56" s="16">
        <v>9</v>
      </c>
      <c r="I56" s="204">
        <v>24.272743554612195</v>
      </c>
      <c r="J56" s="229">
        <f t="shared" si="8"/>
        <v>2.5415162422440005</v>
      </c>
      <c r="K56" s="201">
        <f t="shared" si="8"/>
        <v>-0.13941822791068148</v>
      </c>
      <c r="L56" s="201">
        <f t="shared" si="8"/>
        <v>-7.5100329758015505E-4</v>
      </c>
    </row>
    <row r="57" spans="5:20" x14ac:dyDescent="0.2">
      <c r="E57" s="204">
        <v>27.494435236579609</v>
      </c>
      <c r="G57">
        <v>10</v>
      </c>
      <c r="H57" s="16">
        <v>10</v>
      </c>
      <c r="I57" s="204">
        <v>26.674090565647933</v>
      </c>
      <c r="J57" s="229">
        <f t="shared" si="8"/>
        <v>2.4013470110357389</v>
      </c>
      <c r="K57" s="201">
        <f t="shared" si="8"/>
        <v>-0.14016923120826164</v>
      </c>
      <c r="L57" s="201">
        <f t="shared" si="8"/>
        <v>-7.5100329758015505E-4</v>
      </c>
    </row>
    <row r="58" spans="5:20" x14ac:dyDescent="0.2">
      <c r="E58" s="204">
        <v>29.810832028624663</v>
      </c>
      <c r="G58">
        <v>11</v>
      </c>
      <c r="H58" s="16">
        <v>11</v>
      </c>
      <c r="I58" s="204">
        <v>28.934517342177717</v>
      </c>
      <c r="J58" s="229">
        <f t="shared" si="8"/>
        <v>2.2604267765297834</v>
      </c>
      <c r="K58" s="201">
        <f t="shared" si="8"/>
        <v>-0.14092023450595548</v>
      </c>
      <c r="L58" s="201">
        <f t="shared" si="8"/>
        <v>-7.5100329769384189E-4</v>
      </c>
    </row>
    <row r="59" spans="5:20" x14ac:dyDescent="0.2">
      <c r="E59" s="204">
        <v>31.963778487234951</v>
      </c>
      <c r="G59">
        <v>12</v>
      </c>
      <c r="H59" s="16">
        <v>12</v>
      </c>
      <c r="I59" s="204">
        <v>31.05327288090395</v>
      </c>
      <c r="J59" s="229">
        <f t="shared" si="8"/>
        <v>2.1187555387262336</v>
      </c>
      <c r="K59" s="201">
        <f t="shared" si="8"/>
        <v>-0.14167123780354984</v>
      </c>
      <c r="L59" s="201">
        <f t="shared" si="8"/>
        <v>-7.510032975943659E-4</v>
      </c>
    </row>
    <row r="60" spans="5:20" x14ac:dyDescent="0.2">
      <c r="E60" s="204">
        <v>33.954025615708105</v>
      </c>
      <c r="G60">
        <v>13</v>
      </c>
      <c r="H60" s="16">
        <v>13</v>
      </c>
      <c r="I60" s="204">
        <v>33.029606178529015</v>
      </c>
      <c r="J60" s="229">
        <f t="shared" si="8"/>
        <v>1.9763332976250645</v>
      </c>
      <c r="K60" s="201">
        <f t="shared" si="8"/>
        <v>-0.14242224110116908</v>
      </c>
      <c r="L60" s="201">
        <f t="shared" si="8"/>
        <v>-7.510032976192349E-4</v>
      </c>
    </row>
    <row r="61" spans="5:20" x14ac:dyDescent="0.2">
      <c r="E61" s="204">
        <v>35.782324417341748</v>
      </c>
      <c r="G61">
        <v>14</v>
      </c>
      <c r="H61" s="16">
        <v>14</v>
      </c>
      <c r="I61" s="204">
        <v>34.862766231755209</v>
      </c>
      <c r="J61" s="229">
        <f t="shared" si="8"/>
        <v>1.8331600532261945</v>
      </c>
      <c r="K61" s="201">
        <f t="shared" si="8"/>
        <v>-0.14317324439887003</v>
      </c>
      <c r="L61" s="201">
        <f t="shared" si="8"/>
        <v>-7.5100329770094731E-4</v>
      </c>
    </row>
    <row r="62" spans="5:20" x14ac:dyDescent="0.2">
      <c r="E62" s="204">
        <v>37.449425895433514</v>
      </c>
      <c r="G62">
        <v>15</v>
      </c>
      <c r="H62" s="16">
        <v>15</v>
      </c>
      <c r="I62" s="204">
        <v>36.552002037285</v>
      </c>
      <c r="J62" s="229">
        <f t="shared" si="8"/>
        <v>1.6892358055297905</v>
      </c>
      <c r="K62" s="201">
        <f t="shared" si="8"/>
        <v>-0.143924247696404</v>
      </c>
      <c r="L62" s="201">
        <f t="shared" si="8"/>
        <v>-7.5100329753396977E-4</v>
      </c>
    </row>
    <row r="63" spans="5:20" x14ac:dyDescent="0.2">
      <c r="E63" s="204">
        <v>38.956081053281032</v>
      </c>
      <c r="G63">
        <v>16</v>
      </c>
      <c r="H63" s="16">
        <v>16</v>
      </c>
      <c r="I63" s="204">
        <v>38.096562591820721</v>
      </c>
      <c r="J63" s="229">
        <f t="shared" si="8"/>
        <v>1.5445605545357211</v>
      </c>
      <c r="K63" s="201">
        <f t="shared" si="8"/>
        <v>-0.14467525099406942</v>
      </c>
      <c r="L63" s="201">
        <f t="shared" si="8"/>
        <v>-7.5100329766542018E-4</v>
      </c>
      <c r="S63" s="16"/>
      <c r="T63" s="204"/>
    </row>
    <row r="64" spans="5:20" x14ac:dyDescent="0.2">
      <c r="E64" s="204">
        <v>40.303040894181912</v>
      </c>
      <c r="G64">
        <v>17</v>
      </c>
      <c r="H64" s="16">
        <v>17</v>
      </c>
      <c r="I64" s="204">
        <v>39.495696892064707</v>
      </c>
      <c r="J64" s="229">
        <f t="shared" si="8"/>
        <v>1.3991343002439862</v>
      </c>
      <c r="K64" s="201">
        <f t="shared" si="8"/>
        <v>-0.14542625429173484</v>
      </c>
      <c r="L64" s="201">
        <f t="shared" si="8"/>
        <v>-7.5100329766542018E-4</v>
      </c>
      <c r="S64" s="16"/>
      <c r="T64" s="204"/>
    </row>
    <row r="65" spans="5:20" x14ac:dyDescent="0.2">
      <c r="E65" s="204">
        <v>41.491056421433811</v>
      </c>
      <c r="G65">
        <v>18</v>
      </c>
      <c r="H65" s="16">
        <v>18</v>
      </c>
      <c r="I65" s="204">
        <v>40.748653934719393</v>
      </c>
      <c r="J65" s="229">
        <f t="shared" si="8"/>
        <v>1.2529570426546854</v>
      </c>
      <c r="K65" s="201">
        <f t="shared" si="8"/>
        <v>-0.14617725758930078</v>
      </c>
      <c r="L65" s="201">
        <f t="shared" si="8"/>
        <v>-7.5100329756594419E-4</v>
      </c>
      <c r="S65" s="16"/>
      <c r="T65" s="204"/>
    </row>
    <row r="66" spans="5:20" x14ac:dyDescent="0.2">
      <c r="E66" s="204">
        <v>42.520878638334338</v>
      </c>
      <c r="G66">
        <v>19</v>
      </c>
      <c r="H66" s="16">
        <v>19</v>
      </c>
      <c r="I66" s="204">
        <v>41.85468271648714</v>
      </c>
      <c r="J66" s="229">
        <f t="shared" si="8"/>
        <v>1.1060287817677477</v>
      </c>
      <c r="K66" s="201">
        <f t="shared" si="8"/>
        <v>-0.14692826088693778</v>
      </c>
      <c r="L66" s="201">
        <f t="shared" si="8"/>
        <v>-7.5100329763699847E-4</v>
      </c>
      <c r="S66" s="16"/>
      <c r="T66" s="204"/>
    </row>
    <row r="67" spans="5:20" x14ac:dyDescent="0.2">
      <c r="E67" s="204">
        <v>43.393258548181116</v>
      </c>
      <c r="G67">
        <v>20</v>
      </c>
      <c r="H67" s="16">
        <v>20</v>
      </c>
      <c r="I67" s="204">
        <v>42.813032234070313</v>
      </c>
      <c r="J67" s="229">
        <f t="shared" si="8"/>
        <v>0.95834951758317288</v>
      </c>
      <c r="K67" s="201">
        <f t="shared" si="8"/>
        <v>-0.14767926418457478</v>
      </c>
      <c r="L67" s="201">
        <f t="shared" si="8"/>
        <v>-7.5100329763699847E-4</v>
      </c>
      <c r="S67" s="16"/>
      <c r="T67" s="204"/>
    </row>
    <row r="68" spans="5:20" x14ac:dyDescent="0.2">
      <c r="E68" s="204">
        <v>44.108947154271767</v>
      </c>
      <c r="G68">
        <v>21</v>
      </c>
      <c r="H68" s="16">
        <v>21</v>
      </c>
      <c r="I68" s="204">
        <v>43.622951484171246</v>
      </c>
      <c r="J68" s="229">
        <f t="shared" si="8"/>
        <v>0.80991925010093269</v>
      </c>
      <c r="K68" s="201">
        <f t="shared" si="8"/>
        <v>-0.1484302674822402</v>
      </c>
      <c r="L68" s="201">
        <f t="shared" si="8"/>
        <v>-7.5100329766542018E-4</v>
      </c>
      <c r="S68" s="228"/>
      <c r="T68" s="204"/>
    </row>
    <row r="69" spans="5:20" x14ac:dyDescent="0.2">
      <c r="E69" s="204">
        <v>44.668695459903965</v>
      </c>
      <c r="G69">
        <v>22</v>
      </c>
      <c r="H69" s="16">
        <v>22</v>
      </c>
      <c r="I69" s="204">
        <v>44.283689463492358</v>
      </c>
      <c r="J69" s="229">
        <f t="shared" si="8"/>
        <v>0.66073797932111233</v>
      </c>
      <c r="K69" s="201">
        <f t="shared" si="8"/>
        <v>-0.14918127077982035</v>
      </c>
      <c r="L69" s="201">
        <f t="shared" si="8"/>
        <v>-7.5100329758015505E-4</v>
      </c>
      <c r="S69" s="16"/>
      <c r="T69" s="204"/>
    </row>
    <row r="70" spans="5:20" x14ac:dyDescent="0.2">
      <c r="E70" s="204">
        <v>45.073254468375289</v>
      </c>
      <c r="G70">
        <v>23</v>
      </c>
      <c r="H70" s="16">
        <v>23</v>
      </c>
      <c r="I70" s="204">
        <v>44.794495168735999</v>
      </c>
      <c r="J70" s="229">
        <f t="shared" si="8"/>
        <v>0.51080570524364077</v>
      </c>
      <c r="K70" s="201">
        <f t="shared" si="8"/>
        <v>-0.14993227407747156</v>
      </c>
      <c r="L70" s="201">
        <f t="shared" si="8"/>
        <v>-7.5100329765120932E-4</v>
      </c>
      <c r="S70" s="16"/>
      <c r="T70" s="204"/>
    </row>
    <row r="71" spans="5:20" x14ac:dyDescent="0.2">
      <c r="E71" s="204">
        <v>45.323375182983376</v>
      </c>
      <c r="G71">
        <v>24</v>
      </c>
      <c r="H71" s="16">
        <v>24</v>
      </c>
      <c r="I71" s="204">
        <v>45.15461759660456</v>
      </c>
      <c r="J71" s="229">
        <f t="shared" si="8"/>
        <v>0.36012242786856064</v>
      </c>
      <c r="K71" s="201">
        <f t="shared" si="8"/>
        <v>-0.15068327737508014</v>
      </c>
      <c r="L71" s="201">
        <f t="shared" si="8"/>
        <v>-7.5100329760857676E-4</v>
      </c>
      <c r="S71" s="16"/>
      <c r="T71" s="204"/>
    </row>
    <row r="72" spans="5:20" x14ac:dyDescent="0.2">
      <c r="E72" s="231">
        <v>45.419808607025864</v>
      </c>
      <c r="G72" s="230">
        <v>25</v>
      </c>
      <c r="H72" s="232">
        <v>25</v>
      </c>
      <c r="I72" s="233">
        <v>45.363305743800382</v>
      </c>
      <c r="J72" s="229">
        <f t="shared" si="8"/>
        <v>0.20868814719582218</v>
      </c>
      <c r="K72" s="201">
        <f t="shared" si="8"/>
        <v>-0.15143428067273845</v>
      </c>
      <c r="L72" s="201">
        <f>K72-K71</f>
        <v>-7.5100329765831475E-4</v>
      </c>
      <c r="S72" s="16"/>
      <c r="T72" s="204"/>
    </row>
    <row r="73" spans="5:20" x14ac:dyDescent="0.2">
      <c r="G73">
        <v>25</v>
      </c>
      <c r="H73" s="16">
        <v>26</v>
      </c>
      <c r="I73" s="204">
        <v>45.363305743800382</v>
      </c>
      <c r="J73" s="229">
        <f t="shared" ref="J73:L95" si="9">I73-I74</f>
        <v>0.20868814719582218</v>
      </c>
      <c r="K73" s="201">
        <f t="shared" si="9"/>
        <v>-0.15143428067273845</v>
      </c>
      <c r="L73" s="201">
        <f t="shared" si="9"/>
        <v>-7.5100329765831475E-4</v>
      </c>
      <c r="S73" s="16"/>
      <c r="T73" s="204"/>
    </row>
    <row r="74" spans="5:20" x14ac:dyDescent="0.2">
      <c r="G74">
        <v>24</v>
      </c>
      <c r="H74" s="16">
        <v>27</v>
      </c>
      <c r="I74" s="204">
        <v>45.15461759660456</v>
      </c>
      <c r="J74" s="229">
        <f t="shared" si="9"/>
        <v>0.36012242786856064</v>
      </c>
      <c r="K74" s="201">
        <f t="shared" si="9"/>
        <v>-0.15068327737508014</v>
      </c>
      <c r="L74" s="201">
        <f t="shared" si="9"/>
        <v>-7.5100329760857676E-4</v>
      </c>
      <c r="O74">
        <f>0.00075+0.00075</f>
        <v>1.5E-3</v>
      </c>
    </row>
    <row r="75" spans="5:20" x14ac:dyDescent="0.2">
      <c r="G75">
        <v>23</v>
      </c>
      <c r="H75" s="16">
        <v>28</v>
      </c>
      <c r="I75" s="204">
        <v>44.794495168735999</v>
      </c>
      <c r="J75" s="229">
        <f t="shared" si="9"/>
        <v>0.51080570524364077</v>
      </c>
      <c r="K75" s="201">
        <f t="shared" si="9"/>
        <v>-0.14993227407747156</v>
      </c>
      <c r="L75" s="201">
        <f t="shared" si="9"/>
        <v>-7.5100329765120932E-4</v>
      </c>
    </row>
    <row r="76" spans="5:20" x14ac:dyDescent="0.2">
      <c r="G76">
        <v>22</v>
      </c>
      <c r="H76" s="16">
        <v>29</v>
      </c>
      <c r="I76" s="204">
        <v>44.283689463492358</v>
      </c>
      <c r="J76" s="229">
        <f t="shared" si="9"/>
        <v>0.66073797932111233</v>
      </c>
      <c r="K76" s="201">
        <f t="shared" si="9"/>
        <v>-0.14918127077982035</v>
      </c>
      <c r="L76" s="201">
        <f t="shared" si="9"/>
        <v>-7.5100329758015505E-4</v>
      </c>
    </row>
    <row r="77" spans="5:20" x14ac:dyDescent="0.2">
      <c r="G77">
        <v>21</v>
      </c>
      <c r="H77" s="16">
        <v>30</v>
      </c>
      <c r="I77" s="204">
        <v>43.622951484171246</v>
      </c>
      <c r="J77" s="229">
        <f t="shared" si="9"/>
        <v>0.80991925010093269</v>
      </c>
      <c r="K77" s="201">
        <f t="shared" si="9"/>
        <v>-0.1484302674822402</v>
      </c>
      <c r="L77" s="201">
        <f t="shared" si="9"/>
        <v>-7.5100329766542018E-4</v>
      </c>
    </row>
    <row r="78" spans="5:20" x14ac:dyDescent="0.2">
      <c r="G78">
        <v>20</v>
      </c>
      <c r="H78" s="16">
        <v>31</v>
      </c>
      <c r="I78" s="204">
        <v>42.813032234070313</v>
      </c>
      <c r="J78" s="229">
        <f t="shared" si="9"/>
        <v>0.95834951758317288</v>
      </c>
      <c r="K78" s="201">
        <f t="shared" si="9"/>
        <v>-0.14767926418457478</v>
      </c>
      <c r="L78" s="201">
        <f t="shared" si="9"/>
        <v>-7.5100329763699847E-4</v>
      </c>
    </row>
    <row r="79" spans="5:20" x14ac:dyDescent="0.2">
      <c r="G79">
        <v>19</v>
      </c>
      <c r="H79" s="16">
        <v>32</v>
      </c>
      <c r="I79" s="204">
        <v>41.85468271648714</v>
      </c>
      <c r="J79" s="229">
        <f t="shared" si="9"/>
        <v>1.1060287817677477</v>
      </c>
      <c r="K79" s="201">
        <f t="shared" si="9"/>
        <v>-0.14692826088693778</v>
      </c>
      <c r="L79" s="201">
        <f t="shared" si="9"/>
        <v>-7.5100329763699847E-4</v>
      </c>
    </row>
    <row r="80" spans="5:20" x14ac:dyDescent="0.2">
      <c r="G80">
        <v>18</v>
      </c>
      <c r="H80" s="16">
        <v>33</v>
      </c>
      <c r="I80" s="204">
        <v>40.748653934719393</v>
      </c>
      <c r="J80" s="229">
        <f t="shared" si="9"/>
        <v>1.2529570426546854</v>
      </c>
      <c r="K80" s="201">
        <f t="shared" si="9"/>
        <v>-0.14617725758930078</v>
      </c>
      <c r="L80" s="201">
        <f t="shared" si="9"/>
        <v>-7.5100329756594419E-4</v>
      </c>
    </row>
    <row r="81" spans="7:12" x14ac:dyDescent="0.2">
      <c r="G81">
        <v>17</v>
      </c>
      <c r="H81" s="16">
        <v>34</v>
      </c>
      <c r="I81" s="204">
        <v>39.495696892064707</v>
      </c>
      <c r="J81" s="229">
        <f t="shared" si="9"/>
        <v>1.3991343002439862</v>
      </c>
      <c r="K81" s="201">
        <f t="shared" si="9"/>
        <v>-0.14542625429173484</v>
      </c>
      <c r="L81" s="201">
        <f t="shared" si="9"/>
        <v>-7.5100329766542018E-4</v>
      </c>
    </row>
    <row r="82" spans="7:12" x14ac:dyDescent="0.2">
      <c r="G82">
        <v>16</v>
      </c>
      <c r="H82" s="16">
        <v>35</v>
      </c>
      <c r="I82" s="204">
        <v>38.096562591820721</v>
      </c>
      <c r="J82" s="229">
        <f t="shared" si="9"/>
        <v>1.5445605545357211</v>
      </c>
      <c r="K82" s="201">
        <f t="shared" si="9"/>
        <v>-0.14467525099406942</v>
      </c>
      <c r="L82" s="201">
        <f t="shared" si="9"/>
        <v>-7.5100329766542018E-4</v>
      </c>
    </row>
    <row r="83" spans="7:12" x14ac:dyDescent="0.2">
      <c r="G83">
        <v>15</v>
      </c>
      <c r="H83" s="16">
        <v>36</v>
      </c>
      <c r="I83" s="204">
        <v>36.552002037285</v>
      </c>
      <c r="J83" s="229">
        <f t="shared" si="9"/>
        <v>1.6892358055297905</v>
      </c>
      <c r="K83" s="201">
        <f t="shared" si="9"/>
        <v>-0.143924247696404</v>
      </c>
      <c r="L83" s="201">
        <f t="shared" si="9"/>
        <v>-7.5100329753396977E-4</v>
      </c>
    </row>
    <row r="84" spans="7:12" x14ac:dyDescent="0.2">
      <c r="G84">
        <v>14</v>
      </c>
      <c r="H84" s="16">
        <v>37</v>
      </c>
      <c r="I84" s="204">
        <v>34.862766231755209</v>
      </c>
      <c r="J84" s="229">
        <f t="shared" si="9"/>
        <v>1.8331600532261945</v>
      </c>
      <c r="K84" s="201">
        <f t="shared" si="9"/>
        <v>-0.14317324439887003</v>
      </c>
      <c r="L84" s="201">
        <f t="shared" si="9"/>
        <v>-7.5100329770094731E-4</v>
      </c>
    </row>
    <row r="85" spans="7:12" x14ac:dyDescent="0.2">
      <c r="G85">
        <v>13</v>
      </c>
      <c r="H85" s="16">
        <v>38</v>
      </c>
      <c r="I85" s="204">
        <v>33.029606178529015</v>
      </c>
      <c r="J85" s="229">
        <f t="shared" si="9"/>
        <v>1.9763332976250645</v>
      </c>
      <c r="K85" s="201">
        <f t="shared" si="9"/>
        <v>-0.14242224110116908</v>
      </c>
      <c r="L85" s="201">
        <f t="shared" si="9"/>
        <v>-7.510032976192349E-4</v>
      </c>
    </row>
    <row r="86" spans="7:12" x14ac:dyDescent="0.2">
      <c r="G86">
        <v>12</v>
      </c>
      <c r="H86" s="16">
        <v>39</v>
      </c>
      <c r="I86" s="204">
        <v>31.05327288090395</v>
      </c>
      <c r="J86" s="229">
        <f t="shared" si="9"/>
        <v>2.1187555387262336</v>
      </c>
      <c r="K86" s="201">
        <f t="shared" si="9"/>
        <v>-0.14167123780354984</v>
      </c>
      <c r="L86" s="201">
        <f t="shared" si="9"/>
        <v>-7.510032975943659E-4</v>
      </c>
    </row>
    <row r="87" spans="7:12" x14ac:dyDescent="0.2">
      <c r="G87">
        <v>11</v>
      </c>
      <c r="H87" s="16">
        <v>40</v>
      </c>
      <c r="I87" s="204">
        <v>28.934517342177717</v>
      </c>
      <c r="J87" s="229">
        <f t="shared" si="9"/>
        <v>2.2604267765297834</v>
      </c>
      <c r="K87" s="201">
        <f t="shared" si="9"/>
        <v>-0.14092023450595548</v>
      </c>
      <c r="L87" s="201">
        <f t="shared" si="9"/>
        <v>-7.5100329769384189E-4</v>
      </c>
    </row>
    <row r="88" spans="7:12" x14ac:dyDescent="0.2">
      <c r="G88">
        <v>10</v>
      </c>
      <c r="H88" s="16">
        <v>41</v>
      </c>
      <c r="I88" s="204">
        <v>26.674090565647933</v>
      </c>
      <c r="J88" s="229">
        <f t="shared" si="9"/>
        <v>2.4013470110357389</v>
      </c>
      <c r="K88" s="201">
        <f t="shared" si="9"/>
        <v>-0.14016923120826164</v>
      </c>
      <c r="L88" s="201">
        <f t="shared" si="9"/>
        <v>-7.5100329758015505E-4</v>
      </c>
    </row>
    <row r="89" spans="7:12" x14ac:dyDescent="0.2">
      <c r="G89">
        <v>9</v>
      </c>
      <c r="H89" s="16">
        <v>42</v>
      </c>
      <c r="I89" s="204">
        <v>24.272743554612195</v>
      </c>
      <c r="J89" s="229">
        <f t="shared" si="9"/>
        <v>2.5415162422440005</v>
      </c>
      <c r="K89" s="201">
        <f t="shared" si="9"/>
        <v>-0.13941822791068148</v>
      </c>
      <c r="L89" s="201">
        <f t="shared" si="9"/>
        <v>-7.5100329758015505E-4</v>
      </c>
    </row>
    <row r="90" spans="7:12" x14ac:dyDescent="0.2">
      <c r="G90">
        <v>8</v>
      </c>
      <c r="H90" s="16">
        <v>43</v>
      </c>
      <c r="I90" s="204">
        <v>21.731227312368194</v>
      </c>
      <c r="J90" s="229">
        <f t="shared" si="9"/>
        <v>2.680934470154682</v>
      </c>
      <c r="K90" s="201">
        <f t="shared" si="9"/>
        <v>-0.13866722461310133</v>
      </c>
      <c r="L90" s="201">
        <f t="shared" si="9"/>
        <v>-7.5100329775068531E-4</v>
      </c>
    </row>
    <row r="91" spans="7:12" x14ac:dyDescent="0.2">
      <c r="G91">
        <v>7</v>
      </c>
      <c r="H91" s="16">
        <v>44</v>
      </c>
      <c r="I91" s="204">
        <v>19.050292842213512</v>
      </c>
      <c r="J91" s="229">
        <f t="shared" si="9"/>
        <v>2.8196016947677833</v>
      </c>
      <c r="K91" s="201">
        <f t="shared" si="9"/>
        <v>-0.13791622131535064</v>
      </c>
      <c r="L91" s="201">
        <f t="shared" si="9"/>
        <v>-7.5100329752331163E-4</v>
      </c>
    </row>
    <row r="92" spans="7:12" x14ac:dyDescent="0.2">
      <c r="G92">
        <v>6</v>
      </c>
      <c r="H92" s="16">
        <v>45</v>
      </c>
      <c r="I92" s="204">
        <v>16.230691147445729</v>
      </c>
      <c r="J92" s="229">
        <f t="shared" si="9"/>
        <v>2.957517916083134</v>
      </c>
      <c r="K92" s="201">
        <f t="shared" si="9"/>
        <v>-0.13716521801782733</v>
      </c>
      <c r="L92" s="201">
        <f t="shared" si="9"/>
        <v>-7.5100329763788665E-4</v>
      </c>
    </row>
    <row r="93" spans="7:12" x14ac:dyDescent="0.2">
      <c r="G93">
        <v>5</v>
      </c>
      <c r="H93" s="16">
        <v>46</v>
      </c>
      <c r="I93" s="204">
        <v>13.273173231362595</v>
      </c>
      <c r="J93" s="229">
        <f t="shared" si="9"/>
        <v>3.0946831341009613</v>
      </c>
      <c r="K93" s="201">
        <f t="shared" si="9"/>
        <v>-0.13641421472018944</v>
      </c>
      <c r="L93" s="201">
        <f t="shared" si="9"/>
        <v>-7.5100329766364382E-4</v>
      </c>
    </row>
    <row r="94" spans="7:12" x14ac:dyDescent="0.2">
      <c r="G94">
        <v>4</v>
      </c>
      <c r="H94" s="16">
        <v>47</v>
      </c>
      <c r="I94" s="204">
        <v>10.178490097261633</v>
      </c>
      <c r="J94" s="229">
        <f t="shared" si="9"/>
        <v>3.2310973488211507</v>
      </c>
      <c r="K94" s="201">
        <f t="shared" si="9"/>
        <v>-0.1356632114225258</v>
      </c>
      <c r="L94" s="201">
        <f>K94-K95</f>
        <v>-7.5100329763788665E-4</v>
      </c>
    </row>
    <row r="95" spans="7:12" x14ac:dyDescent="0.2">
      <c r="G95">
        <v>3</v>
      </c>
      <c r="H95" s="16">
        <v>48</v>
      </c>
      <c r="I95" s="204">
        <v>6.9473927484404827</v>
      </c>
      <c r="J95" s="229">
        <f t="shared" si="9"/>
        <v>3.3667605602436765</v>
      </c>
      <c r="K95" s="201">
        <f>J95-J96</f>
        <v>-0.13491220812488791</v>
      </c>
      <c r="L95" s="201"/>
    </row>
    <row r="96" spans="7:12" x14ac:dyDescent="0.2">
      <c r="G96">
        <v>2</v>
      </c>
      <c r="H96" s="16">
        <v>49</v>
      </c>
      <c r="I96" s="204">
        <v>3.5806321881968062</v>
      </c>
      <c r="J96" s="229">
        <f>I96-I97</f>
        <v>3.5016727683685644</v>
      </c>
      <c r="K96" s="201"/>
      <c r="L96" s="201"/>
    </row>
    <row r="97" spans="7:9" x14ac:dyDescent="0.2">
      <c r="G97">
        <v>1</v>
      </c>
      <c r="H97" s="16">
        <v>50</v>
      </c>
      <c r="I97" s="204">
        <v>7.8959419828241728E-2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9903-B652-4CEE-961B-A2FB520712BE}">
  <sheetPr transitionEvaluation="1" transitionEntry="1"/>
  <dimension ref="B1:Z97"/>
  <sheetViews>
    <sheetView showGridLines="0" zoomScale="90" zoomScaleNormal="90" workbookViewId="0">
      <selection activeCell="W30" sqref="W30"/>
    </sheetView>
  </sheetViews>
  <sheetFormatPr defaultRowHeight="12.75" x14ac:dyDescent="0.2"/>
  <sheetData>
    <row r="1" spans="14:18" x14ac:dyDescent="0.2">
      <c r="N1" s="227"/>
    </row>
    <row r="13" spans="14:18" x14ac:dyDescent="0.2">
      <c r="R13" t="s">
        <v>233</v>
      </c>
    </row>
    <row r="17" spans="2:26" ht="15" x14ac:dyDescent="0.25">
      <c r="F17" s="146" t="s">
        <v>65</v>
      </c>
      <c r="G17" s="146" t="s">
        <v>66</v>
      </c>
      <c r="H17" s="146"/>
      <c r="U17" s="146" t="s">
        <v>65</v>
      </c>
      <c r="V17" s="146" t="s">
        <v>66</v>
      </c>
      <c r="W17" s="146"/>
    </row>
    <row r="18" spans="2:26" ht="15" x14ac:dyDescent="0.25">
      <c r="F18" s="147">
        <v>1</v>
      </c>
      <c r="G18" s="154">
        <v>34.799999999999997</v>
      </c>
      <c r="H18" s="155"/>
      <c r="T18" s="154">
        <v>25.5</v>
      </c>
      <c r="U18" s="147">
        <v>1</v>
      </c>
      <c r="V18" s="154">
        <v>25.5</v>
      </c>
      <c r="W18" s="155"/>
    </row>
    <row r="19" spans="2:26" ht="15" x14ac:dyDescent="0.25">
      <c r="F19" s="147">
        <v>50</v>
      </c>
      <c r="G19" s="154">
        <v>1318.1</v>
      </c>
      <c r="H19" s="155"/>
      <c r="T19" s="154">
        <v>1319</v>
      </c>
      <c r="U19" s="147">
        <v>50</v>
      </c>
      <c r="V19" s="154">
        <v>1319</v>
      </c>
      <c r="W19" s="155"/>
    </row>
    <row r="20" spans="2:26" x14ac:dyDescent="0.2">
      <c r="F20" s="82"/>
      <c r="G20" s="196" cm="1">
        <f t="array" ref="G20">_xlfn.SINGLE(INDEX(LINEST(G18:G19,($F18:$F19)^{1}),1))</f>
        <v>26.189795918367345</v>
      </c>
      <c r="H20" s="82"/>
      <c r="U20" s="82"/>
      <c r="V20" s="196" cm="1">
        <f t="array" ref="V20">_xlfn.SINGLE(INDEX(LINEST(V18:V19,($U18:$U19)^{1}),1))</f>
        <v>26.397959183673464</v>
      </c>
      <c r="W20" s="82"/>
    </row>
    <row r="21" spans="2:26" x14ac:dyDescent="0.2">
      <c r="F21" s="82"/>
      <c r="G21" s="196" cm="1">
        <f t="array" ref="G21">INDEX(LINEST(G18:G19,($F18:$F19)^{1}),1,2)</f>
        <v>8.6102040816326735</v>
      </c>
      <c r="H21" s="82"/>
      <c r="S21" t="s">
        <v>196</v>
      </c>
      <c r="U21" s="82"/>
      <c r="V21" s="196" cm="1">
        <f t="array" ref="V21">INDEX(LINEST(V18:V19,($U18:$U19)^{1}),1,2)</f>
        <v>-0.8979591836733789</v>
      </c>
      <c r="W21" s="82"/>
    </row>
    <row r="22" spans="2:26" x14ac:dyDescent="0.2">
      <c r="B22" s="62"/>
      <c r="C22" s="68" t="s">
        <v>19</v>
      </c>
      <c r="D22" s="62"/>
      <c r="E22" s="62" t="s">
        <v>15</v>
      </c>
      <c r="S22" t="s">
        <v>197</v>
      </c>
    </row>
    <row r="23" spans="2:26" ht="15" x14ac:dyDescent="0.2">
      <c r="B23" s="63" t="s">
        <v>2</v>
      </c>
      <c r="C23" s="62" t="s">
        <v>12</v>
      </c>
      <c r="D23" s="64" t="s">
        <v>17</v>
      </c>
      <c r="E23" s="62" t="s">
        <v>16</v>
      </c>
      <c r="F23" s="18" t="s">
        <v>65</v>
      </c>
      <c r="G23" s="199" t="s">
        <v>66</v>
      </c>
      <c r="H23" s="207" t="s">
        <v>124</v>
      </c>
      <c r="R23" s="225" t="s">
        <v>65</v>
      </c>
      <c r="S23" s="225" t="s">
        <v>143</v>
      </c>
      <c r="T23" s="225" t="s">
        <v>12</v>
      </c>
      <c r="U23" s="18" t="s">
        <v>65</v>
      </c>
      <c r="V23" s="199" t="s">
        <v>66</v>
      </c>
      <c r="W23" s="207" t="s">
        <v>124</v>
      </c>
    </row>
    <row r="24" spans="2:26" ht="15" x14ac:dyDescent="0.25">
      <c r="B24" s="54">
        <v>1</v>
      </c>
      <c r="C24" s="65">
        <v>0.92510000000000003</v>
      </c>
      <c r="D24" s="59">
        <v>34.838084318002032</v>
      </c>
      <c r="E24" s="79">
        <v>34.838084318002032</v>
      </c>
      <c r="F24" s="16">
        <v>1</v>
      </c>
      <c r="G24" s="149">
        <f t="shared" ref="G24:G33" si="0">(G$20*F24)+G$21</f>
        <v>34.800000000000018</v>
      </c>
      <c r="H24" s="200">
        <f t="shared" ref="H24:H33" si="1">G24-E24</f>
        <v>-3.8084318002013617E-2</v>
      </c>
      <c r="R24" s="225">
        <v>1</v>
      </c>
      <c r="S24" s="183">
        <v>29.1</v>
      </c>
      <c r="T24" s="226">
        <v>0.7</v>
      </c>
      <c r="U24" s="16">
        <v>1</v>
      </c>
      <c r="V24" s="149">
        <f t="shared" ref="V24:V33" si="2">(V$20*U24)+V$21</f>
        <v>25.500000000000085</v>
      </c>
      <c r="W24" s="200">
        <f>V24-S24</f>
        <v>-3.5999999999999162</v>
      </c>
    </row>
    <row r="25" spans="2:26" ht="15" x14ac:dyDescent="0.25">
      <c r="B25" s="54">
        <v>2</v>
      </c>
      <c r="C25" s="66">
        <v>0.81499999999999995</v>
      </c>
      <c r="D25" s="56">
        <v>30.691858954893149</v>
      </c>
      <c r="E25" s="80">
        <v>59.2</v>
      </c>
      <c r="F25" s="16">
        <v>2</v>
      </c>
      <c r="G25" s="149">
        <f t="shared" si="0"/>
        <v>60.989795918367363</v>
      </c>
      <c r="H25" s="200">
        <f t="shared" si="1"/>
        <v>1.7897959183673606</v>
      </c>
      <c r="I25" s="142">
        <f>H25-H24</f>
        <v>1.8278802363693742</v>
      </c>
      <c r="R25" s="225">
        <v>2</v>
      </c>
      <c r="S25" s="184">
        <v>52.5</v>
      </c>
      <c r="T25" s="226">
        <v>0.63</v>
      </c>
      <c r="U25" s="16">
        <v>2</v>
      </c>
      <c r="V25" s="149">
        <f t="shared" si="2"/>
        <v>51.897959183673549</v>
      </c>
      <c r="W25" s="200">
        <f t="shared" ref="W25:W33" si="3">V25-S25</f>
        <v>-0.60204081632645057</v>
      </c>
      <c r="X25" s="142">
        <f>W25-W24</f>
        <v>2.9979591836734656</v>
      </c>
    </row>
    <row r="26" spans="2:26" ht="15" x14ac:dyDescent="0.25">
      <c r="B26" s="54">
        <v>3</v>
      </c>
      <c r="C26" s="67">
        <v>0.74</v>
      </c>
      <c r="D26" s="55">
        <v>27.867454756590096</v>
      </c>
      <c r="E26" s="53">
        <v>83.602364269770291</v>
      </c>
      <c r="F26" s="16">
        <v>3</v>
      </c>
      <c r="G26" s="149">
        <f t="shared" si="0"/>
        <v>87.179591836734716</v>
      </c>
      <c r="H26" s="200">
        <f t="shared" si="1"/>
        <v>3.5772275669644245</v>
      </c>
      <c r="I26" s="142">
        <f t="shared" ref="I26:I33" si="4">H26-H25</f>
        <v>1.7874316485970638</v>
      </c>
      <c r="K26" s="143">
        <f t="shared" ref="K26:K33" si="5">H26/H25</f>
        <v>1.9986790282925366</v>
      </c>
      <c r="R26" s="225">
        <v>3</v>
      </c>
      <c r="S26" s="183">
        <v>75.3</v>
      </c>
      <c r="T26" s="226">
        <v>0.61</v>
      </c>
      <c r="U26" s="16">
        <v>3</v>
      </c>
      <c r="V26" s="149">
        <f t="shared" si="2"/>
        <v>78.295918367347014</v>
      </c>
      <c r="W26" s="200">
        <f t="shared" si="3"/>
        <v>2.9959183673470164</v>
      </c>
      <c r="X26" s="142">
        <f t="shared" ref="X26:X33" si="6">W26-W25</f>
        <v>3.597959183673467</v>
      </c>
      <c r="Z26" s="143">
        <f t="shared" ref="Z26:Z33" si="7">W26/W25</f>
        <v>-4.9762711864414682</v>
      </c>
    </row>
    <row r="27" spans="2:26" ht="15" x14ac:dyDescent="0.25">
      <c r="B27" s="54">
        <v>4</v>
      </c>
      <c r="C27" s="67">
        <v>0.70499999999999996</v>
      </c>
      <c r="D27" s="55">
        <v>26.549399464048673</v>
      </c>
      <c r="E27" s="53">
        <v>106.19759785619469</v>
      </c>
      <c r="F27" s="16">
        <v>4</v>
      </c>
      <c r="G27" s="149">
        <f t="shared" si="0"/>
        <v>113.36938775510205</v>
      </c>
      <c r="H27" s="200">
        <f t="shared" si="1"/>
        <v>7.1717898989073632</v>
      </c>
      <c r="I27" s="142">
        <f t="shared" si="4"/>
        <v>3.5945623319429387</v>
      </c>
      <c r="K27" s="143">
        <f t="shared" si="5"/>
        <v>2.0048458658707093</v>
      </c>
      <c r="R27" s="225">
        <v>4</v>
      </c>
      <c r="S27" s="183">
        <v>94.2</v>
      </c>
      <c r="T27" s="226">
        <v>0.56999999999999995</v>
      </c>
      <c r="U27" s="16">
        <v>4</v>
      </c>
      <c r="V27" s="149">
        <f t="shared" si="2"/>
        <v>104.69387755102048</v>
      </c>
      <c r="W27" s="200">
        <f t="shared" si="3"/>
        <v>10.493877551020475</v>
      </c>
      <c r="X27" s="142">
        <f t="shared" si="6"/>
        <v>7.4979591836734585</v>
      </c>
      <c r="Z27" s="143">
        <f t="shared" si="7"/>
        <v>3.5027247956402583</v>
      </c>
    </row>
    <row r="28" spans="2:26" ht="15" x14ac:dyDescent="0.25">
      <c r="B28" s="54">
        <v>5</v>
      </c>
      <c r="C28" s="66">
        <v>0.67849999999999999</v>
      </c>
      <c r="D28" s="56">
        <v>25.551443313981597</v>
      </c>
      <c r="E28" s="80">
        <v>129</v>
      </c>
      <c r="F28" s="16">
        <v>5</v>
      </c>
      <c r="G28" s="149">
        <f t="shared" si="0"/>
        <v>139.55918367346939</v>
      </c>
      <c r="H28" s="200">
        <f t="shared" si="1"/>
        <v>10.559183673469391</v>
      </c>
      <c r="I28" s="142">
        <f t="shared" si="4"/>
        <v>3.3873937745620282</v>
      </c>
      <c r="K28" s="143">
        <f t="shared" si="5"/>
        <v>1.472321947841515</v>
      </c>
      <c r="R28" s="225">
        <v>5</v>
      </c>
      <c r="S28" s="184">
        <v>114.3</v>
      </c>
      <c r="T28" s="226">
        <v>0.55000000000000004</v>
      </c>
      <c r="U28" s="16">
        <v>5</v>
      </c>
      <c r="V28" s="149">
        <f t="shared" si="2"/>
        <v>131.09183673469394</v>
      </c>
      <c r="W28" s="200">
        <f t="shared" si="3"/>
        <v>16.791836734693945</v>
      </c>
      <c r="X28" s="142">
        <f t="shared" si="6"/>
        <v>6.2979591836734699</v>
      </c>
      <c r="Z28" s="143">
        <f t="shared" si="7"/>
        <v>1.6001555814857995</v>
      </c>
    </row>
    <row r="29" spans="2:26" ht="15" x14ac:dyDescent="0.25">
      <c r="B29" s="54">
        <v>10</v>
      </c>
      <c r="C29" s="76">
        <v>0.64</v>
      </c>
      <c r="D29" s="55">
        <v>24.101582492186029</v>
      </c>
      <c r="E29" s="53">
        <v>241.01582492186029</v>
      </c>
      <c r="F29" s="16">
        <v>10</v>
      </c>
      <c r="G29" s="149">
        <f t="shared" si="0"/>
        <v>270.50816326530611</v>
      </c>
      <c r="H29" s="200">
        <f t="shared" si="1"/>
        <v>29.492338343445823</v>
      </c>
      <c r="I29" s="142">
        <f t="shared" si="4"/>
        <v>18.933154669976432</v>
      </c>
      <c r="K29" s="143">
        <f t="shared" si="5"/>
        <v>2.7930509834341803</v>
      </c>
      <c r="R29" s="225">
        <v>10</v>
      </c>
      <c r="S29" s="183">
        <v>233.6</v>
      </c>
      <c r="T29" s="226">
        <v>0.56000000000000005</v>
      </c>
      <c r="U29" s="16">
        <v>10</v>
      </c>
      <c r="V29" s="149">
        <f t="shared" si="2"/>
        <v>263.08163265306126</v>
      </c>
      <c r="W29" s="200">
        <f>V29-S29</f>
        <v>29.481632653061268</v>
      </c>
      <c r="X29" s="142">
        <f t="shared" si="6"/>
        <v>12.689795918367324</v>
      </c>
      <c r="Z29" s="143">
        <f t="shared" si="7"/>
        <v>1.7557122022362619</v>
      </c>
    </row>
    <row r="30" spans="2:26" ht="15" x14ac:dyDescent="0.25">
      <c r="B30" s="54">
        <v>20</v>
      </c>
      <c r="C30" s="76">
        <v>0.65</v>
      </c>
      <c r="D30" s="55">
        <v>24.478169718626436</v>
      </c>
      <c r="E30" s="53">
        <v>489.56339437252871</v>
      </c>
      <c r="F30" s="16">
        <v>20</v>
      </c>
      <c r="G30" s="149">
        <f t="shared" si="0"/>
        <v>532.40612244897954</v>
      </c>
      <c r="H30" s="200">
        <f t="shared" si="1"/>
        <v>42.84272807645084</v>
      </c>
      <c r="I30" s="142">
        <f t="shared" si="4"/>
        <v>13.350389733005017</v>
      </c>
      <c r="K30" s="143">
        <f t="shared" si="5"/>
        <v>1.4526731511600171</v>
      </c>
      <c r="R30" s="225">
        <v>20</v>
      </c>
      <c r="S30" s="183">
        <v>480</v>
      </c>
      <c r="T30" s="226">
        <v>0.57999999999999996</v>
      </c>
      <c r="U30" s="16">
        <v>20</v>
      </c>
      <c r="V30" s="149">
        <f t="shared" si="2"/>
        <v>527.0612244897959</v>
      </c>
      <c r="W30" s="200">
        <f t="shared" si="3"/>
        <v>47.061224489795904</v>
      </c>
      <c r="X30" s="142">
        <f t="shared" si="6"/>
        <v>17.579591836734636</v>
      </c>
      <c r="Z30" s="143">
        <f t="shared" si="7"/>
        <v>1.5962896303474983</v>
      </c>
    </row>
    <row r="31" spans="2:26" ht="15" x14ac:dyDescent="0.25">
      <c r="B31" s="54">
        <v>30</v>
      </c>
      <c r="C31" s="76">
        <v>0.66500000000000004</v>
      </c>
      <c r="D31" s="55">
        <v>25.04305055828705</v>
      </c>
      <c r="E31" s="53">
        <v>751.29151674861146</v>
      </c>
      <c r="F31" s="16">
        <v>30</v>
      </c>
      <c r="G31" s="149">
        <f t="shared" si="0"/>
        <v>794.30408163265304</v>
      </c>
      <c r="H31" s="200">
        <f t="shared" si="1"/>
        <v>43.012564884041581</v>
      </c>
      <c r="I31" s="142">
        <f t="shared" si="4"/>
        <v>0.16983680759074105</v>
      </c>
      <c r="K31" s="143">
        <f t="shared" si="5"/>
        <v>1.0039641921795381</v>
      </c>
      <c r="R31" s="225">
        <v>30</v>
      </c>
      <c r="S31" s="183">
        <v>746.6</v>
      </c>
      <c r="T31" s="226">
        <v>0.6</v>
      </c>
      <c r="U31" s="16">
        <v>30</v>
      </c>
      <c r="V31" s="149">
        <f t="shared" si="2"/>
        <v>791.04081632653049</v>
      </c>
      <c r="W31" s="200">
        <f t="shared" si="3"/>
        <v>44.440816326530467</v>
      </c>
      <c r="X31" s="142">
        <f t="shared" si="6"/>
        <v>-2.6204081632654379</v>
      </c>
      <c r="Z31" s="143">
        <f t="shared" si="7"/>
        <v>0.94431916738941613</v>
      </c>
    </row>
    <row r="32" spans="2:26" ht="15" x14ac:dyDescent="0.25">
      <c r="B32" s="54">
        <v>40</v>
      </c>
      <c r="C32" s="77">
        <v>0.68</v>
      </c>
      <c r="D32" s="56">
        <v>25.607931397947663</v>
      </c>
      <c r="E32" s="80">
        <v>1024.3172559179066</v>
      </c>
      <c r="F32" s="16">
        <v>40</v>
      </c>
      <c r="G32" s="149">
        <f t="shared" si="0"/>
        <v>1056.2020408163264</v>
      </c>
      <c r="H32" s="200">
        <f t="shared" si="1"/>
        <v>31.884784898419866</v>
      </c>
      <c r="I32" s="142">
        <f t="shared" si="4"/>
        <v>-11.127779985621714</v>
      </c>
      <c r="K32" s="143">
        <f t="shared" si="5"/>
        <v>0.74129001570538011</v>
      </c>
      <c r="R32" s="225">
        <v>40</v>
      </c>
      <c r="S32" s="184">
        <v>1055</v>
      </c>
      <c r="T32" s="226">
        <v>0.64</v>
      </c>
      <c r="U32" s="16">
        <v>40</v>
      </c>
      <c r="V32" s="149">
        <f t="shared" si="2"/>
        <v>1055.0204081632651</v>
      </c>
      <c r="W32" s="200">
        <f t="shared" si="3"/>
        <v>2.0408163265074108E-2</v>
      </c>
      <c r="X32" s="142">
        <f t="shared" si="6"/>
        <v>-44.420408163265392</v>
      </c>
      <c r="Z32" s="143">
        <f t="shared" si="7"/>
        <v>4.5922116090587554E-4</v>
      </c>
    </row>
    <row r="33" spans="2:26" ht="15" x14ac:dyDescent="0.25">
      <c r="B33" s="54">
        <v>50</v>
      </c>
      <c r="C33" s="76">
        <v>0.7</v>
      </c>
      <c r="D33" s="55">
        <v>26.361105850828469</v>
      </c>
      <c r="E33" s="53">
        <v>1318.0552925414236</v>
      </c>
      <c r="F33" s="16">
        <v>50</v>
      </c>
      <c r="G33" s="149">
        <f t="shared" si="0"/>
        <v>1318.1</v>
      </c>
      <c r="H33" s="200">
        <f t="shared" si="1"/>
        <v>4.4707458576340287E-2</v>
      </c>
      <c r="I33" s="142">
        <f t="shared" si="4"/>
        <v>-31.840077439843526</v>
      </c>
      <c r="K33" s="143">
        <f t="shared" si="5"/>
        <v>1.4021565056427864E-3</v>
      </c>
      <c r="R33" s="225">
        <v>50</v>
      </c>
      <c r="S33" s="183">
        <v>1348.2</v>
      </c>
      <c r="T33" s="226">
        <v>0.65</v>
      </c>
      <c r="U33" s="16">
        <v>50</v>
      </c>
      <c r="V33" s="149">
        <f t="shared" si="2"/>
        <v>1319</v>
      </c>
      <c r="W33" s="200">
        <f t="shared" si="3"/>
        <v>-29.200000000000045</v>
      </c>
      <c r="X33" s="142">
        <f t="shared" si="6"/>
        <v>-29.22040816326512</v>
      </c>
      <c r="Z33" s="143">
        <f t="shared" si="7"/>
        <v>-1430.8000000162685</v>
      </c>
    </row>
    <row r="43" spans="2:26" x14ac:dyDescent="0.2">
      <c r="G43" s="18"/>
      <c r="I43" s="208"/>
    </row>
    <row r="44" spans="2:26" x14ac:dyDescent="0.2">
      <c r="M44">
        <v>1.1000000000000001</v>
      </c>
    </row>
    <row r="46" spans="2:26" x14ac:dyDescent="0.2">
      <c r="H46" s="2"/>
    </row>
    <row r="47" spans="2:26" x14ac:dyDescent="0.2">
      <c r="I47" s="205" t="s">
        <v>127</v>
      </c>
    </row>
    <row r="48" spans="2:26" x14ac:dyDescent="0.2">
      <c r="E48" s="204">
        <v>-0.83231644049875397</v>
      </c>
      <c r="G48">
        <v>1</v>
      </c>
      <c r="H48" s="16">
        <v>1</v>
      </c>
      <c r="I48" s="204">
        <v>7.8959419828241728E-2</v>
      </c>
    </row>
    <row r="49" spans="5:20" x14ac:dyDescent="0.2">
      <c r="E49" s="204">
        <v>2.9889285008524107</v>
      </c>
      <c r="G49">
        <v>2</v>
      </c>
      <c r="H49" s="16">
        <v>2</v>
      </c>
      <c r="I49" s="204">
        <v>3.5806321881968062</v>
      </c>
      <c r="J49" s="229">
        <f>I49-I48</f>
        <v>3.5016727683685644</v>
      </c>
    </row>
    <row r="50" spans="5:20" x14ac:dyDescent="0.2">
      <c r="E50" s="204">
        <v>6.6399640790901637</v>
      </c>
      <c r="G50">
        <v>3</v>
      </c>
      <c r="H50" s="16">
        <v>3</v>
      </c>
      <c r="I50" s="204">
        <v>6.9473927484404827</v>
      </c>
      <c r="J50" s="229">
        <f t="shared" ref="J50:L72" si="8">I50-I49</f>
        <v>3.3667605602436765</v>
      </c>
      <c r="K50" s="201">
        <f>J50-J49</f>
        <v>-0.13491220812488791</v>
      </c>
    </row>
    <row r="51" spans="5:20" x14ac:dyDescent="0.2">
      <c r="E51" s="204">
        <v>10.121541297512131</v>
      </c>
      <c r="G51">
        <v>4</v>
      </c>
      <c r="H51" s="16">
        <v>4</v>
      </c>
      <c r="I51" s="204">
        <v>10.178490097261633</v>
      </c>
      <c r="J51" s="229">
        <f t="shared" si="8"/>
        <v>3.2310973488211507</v>
      </c>
      <c r="K51" s="201">
        <f t="shared" si="8"/>
        <v>-0.1356632114225258</v>
      </c>
      <c r="L51" s="201">
        <f>K51-K50</f>
        <v>-7.5100329763788665E-4</v>
      </c>
    </row>
    <row r="52" spans="5:20" x14ac:dyDescent="0.2">
      <c r="E52" s="204">
        <v>13.434411159415941</v>
      </c>
      <c r="G52">
        <v>5</v>
      </c>
      <c r="H52" s="16">
        <v>5</v>
      </c>
      <c r="I52" s="204">
        <v>13.273173231362595</v>
      </c>
      <c r="J52" s="229">
        <f t="shared" si="8"/>
        <v>3.0946831341009613</v>
      </c>
      <c r="K52" s="201">
        <f t="shared" si="8"/>
        <v>-0.13641421472018944</v>
      </c>
      <c r="L52" s="201">
        <f t="shared" si="8"/>
        <v>-7.5100329766364382E-4</v>
      </c>
    </row>
    <row r="53" spans="5:20" x14ac:dyDescent="0.2">
      <c r="E53" s="204">
        <v>16.579324668099222</v>
      </c>
      <c r="G53">
        <v>6</v>
      </c>
      <c r="H53" s="16">
        <v>6</v>
      </c>
      <c r="I53" s="204">
        <v>16.230691147445729</v>
      </c>
      <c r="J53" s="229">
        <f t="shared" si="8"/>
        <v>2.957517916083134</v>
      </c>
      <c r="K53" s="201">
        <f t="shared" si="8"/>
        <v>-0.13716521801782733</v>
      </c>
      <c r="L53" s="201">
        <f t="shared" si="8"/>
        <v>-7.5100329763788665E-4</v>
      </c>
    </row>
    <row r="54" spans="5:20" x14ac:dyDescent="0.2">
      <c r="E54" s="204">
        <v>19.557032826859601</v>
      </c>
      <c r="G54">
        <v>7</v>
      </c>
      <c r="H54" s="16">
        <v>7</v>
      </c>
      <c r="I54" s="204">
        <v>19.050292842213512</v>
      </c>
      <c r="J54" s="229">
        <f t="shared" si="8"/>
        <v>2.8196016947677833</v>
      </c>
      <c r="K54" s="201">
        <f t="shared" si="8"/>
        <v>-0.13791622131535064</v>
      </c>
      <c r="L54" s="201">
        <f t="shared" si="8"/>
        <v>-7.5100329752331163E-4</v>
      </c>
    </row>
    <row r="55" spans="5:20" x14ac:dyDescent="0.2">
      <c r="E55" s="204">
        <v>22.368286638994707</v>
      </c>
      <c r="G55">
        <v>8</v>
      </c>
      <c r="H55" s="16">
        <v>8</v>
      </c>
      <c r="I55" s="204">
        <v>21.731227312368194</v>
      </c>
      <c r="J55" s="229">
        <f t="shared" si="8"/>
        <v>2.680934470154682</v>
      </c>
      <c r="K55" s="201">
        <f t="shared" si="8"/>
        <v>-0.13866722461310133</v>
      </c>
      <c r="L55" s="201">
        <f t="shared" si="8"/>
        <v>-7.5100329775068531E-4</v>
      </c>
    </row>
    <row r="56" spans="5:20" x14ac:dyDescent="0.2">
      <c r="E56" s="204">
        <v>25.013837107802168</v>
      </c>
      <c r="G56">
        <v>9</v>
      </c>
      <c r="H56" s="16">
        <v>9</v>
      </c>
      <c r="I56" s="204">
        <v>24.272743554612195</v>
      </c>
      <c r="J56" s="229">
        <f t="shared" si="8"/>
        <v>2.5415162422440005</v>
      </c>
      <c r="K56" s="201">
        <f t="shared" si="8"/>
        <v>-0.13941822791068148</v>
      </c>
      <c r="L56" s="201">
        <f t="shared" si="8"/>
        <v>-7.5100329758015505E-4</v>
      </c>
    </row>
    <row r="57" spans="5:20" x14ac:dyDescent="0.2">
      <c r="E57" s="204">
        <v>27.494435236579609</v>
      </c>
      <c r="G57">
        <v>10</v>
      </c>
      <c r="H57" s="16">
        <v>10</v>
      </c>
      <c r="I57" s="204">
        <v>26.674090565647933</v>
      </c>
      <c r="J57" s="229">
        <f t="shared" si="8"/>
        <v>2.4013470110357389</v>
      </c>
      <c r="K57" s="201">
        <f t="shared" si="8"/>
        <v>-0.14016923120826164</v>
      </c>
      <c r="L57" s="201">
        <f t="shared" si="8"/>
        <v>-7.5100329758015505E-4</v>
      </c>
    </row>
    <row r="58" spans="5:20" x14ac:dyDescent="0.2">
      <c r="E58" s="204">
        <v>29.810832028624663</v>
      </c>
      <c r="G58">
        <v>11</v>
      </c>
      <c r="H58" s="16">
        <v>11</v>
      </c>
      <c r="I58" s="204">
        <v>28.934517342177717</v>
      </c>
      <c r="J58" s="229">
        <f t="shared" si="8"/>
        <v>2.2604267765297834</v>
      </c>
      <c r="K58" s="201">
        <f t="shared" si="8"/>
        <v>-0.14092023450595548</v>
      </c>
      <c r="L58" s="201">
        <f t="shared" si="8"/>
        <v>-7.5100329769384189E-4</v>
      </c>
    </row>
    <row r="59" spans="5:20" x14ac:dyDescent="0.2">
      <c r="E59" s="204">
        <v>31.963778487234951</v>
      </c>
      <c r="G59">
        <v>12</v>
      </c>
      <c r="H59" s="16">
        <v>12</v>
      </c>
      <c r="I59" s="204">
        <v>31.05327288090395</v>
      </c>
      <c r="J59" s="229">
        <f t="shared" si="8"/>
        <v>2.1187555387262336</v>
      </c>
      <c r="K59" s="201">
        <f t="shared" si="8"/>
        <v>-0.14167123780354984</v>
      </c>
      <c r="L59" s="201">
        <f t="shared" si="8"/>
        <v>-7.510032975943659E-4</v>
      </c>
    </row>
    <row r="60" spans="5:20" x14ac:dyDescent="0.2">
      <c r="E60" s="204">
        <v>33.954025615708105</v>
      </c>
      <c r="G60">
        <v>13</v>
      </c>
      <c r="H60" s="16">
        <v>13</v>
      </c>
      <c r="I60" s="204">
        <v>33.029606178529015</v>
      </c>
      <c r="J60" s="229">
        <f t="shared" si="8"/>
        <v>1.9763332976250645</v>
      </c>
      <c r="K60" s="201">
        <f t="shared" si="8"/>
        <v>-0.14242224110116908</v>
      </c>
      <c r="L60" s="201">
        <f t="shared" si="8"/>
        <v>-7.510032976192349E-4</v>
      </c>
    </row>
    <row r="61" spans="5:20" x14ac:dyDescent="0.2">
      <c r="E61" s="204">
        <v>35.782324417341748</v>
      </c>
      <c r="G61">
        <v>14</v>
      </c>
      <c r="H61" s="16">
        <v>14</v>
      </c>
      <c r="I61" s="204">
        <v>34.862766231755209</v>
      </c>
      <c r="J61" s="229">
        <f t="shared" si="8"/>
        <v>1.8331600532261945</v>
      </c>
      <c r="K61" s="201">
        <f t="shared" si="8"/>
        <v>-0.14317324439887003</v>
      </c>
      <c r="L61" s="201">
        <f t="shared" si="8"/>
        <v>-7.5100329770094731E-4</v>
      </c>
    </row>
    <row r="62" spans="5:20" x14ac:dyDescent="0.2">
      <c r="E62" s="204">
        <v>37.449425895433514</v>
      </c>
      <c r="G62">
        <v>15</v>
      </c>
      <c r="H62" s="16">
        <v>15</v>
      </c>
      <c r="I62" s="204">
        <v>36.552002037285</v>
      </c>
      <c r="J62" s="229">
        <f t="shared" si="8"/>
        <v>1.6892358055297905</v>
      </c>
      <c r="K62" s="201">
        <f t="shared" si="8"/>
        <v>-0.143924247696404</v>
      </c>
      <c r="L62" s="201">
        <f t="shared" si="8"/>
        <v>-7.5100329753396977E-4</v>
      </c>
    </row>
    <row r="63" spans="5:20" x14ac:dyDescent="0.2">
      <c r="E63" s="204">
        <v>38.956081053281032</v>
      </c>
      <c r="G63">
        <v>16</v>
      </c>
      <c r="H63" s="16">
        <v>16</v>
      </c>
      <c r="I63" s="204">
        <v>38.096562591820721</v>
      </c>
      <c r="J63" s="229">
        <f t="shared" si="8"/>
        <v>1.5445605545357211</v>
      </c>
      <c r="K63" s="201">
        <f t="shared" si="8"/>
        <v>-0.14467525099406942</v>
      </c>
      <c r="L63" s="201">
        <f t="shared" si="8"/>
        <v>-7.5100329766542018E-4</v>
      </c>
      <c r="S63" s="16"/>
      <c r="T63" s="204"/>
    </row>
    <row r="64" spans="5:20" x14ac:dyDescent="0.2">
      <c r="E64" s="204">
        <v>40.303040894181912</v>
      </c>
      <c r="G64">
        <v>17</v>
      </c>
      <c r="H64" s="16">
        <v>17</v>
      </c>
      <c r="I64" s="204">
        <v>39.495696892064707</v>
      </c>
      <c r="J64" s="229">
        <f t="shared" si="8"/>
        <v>1.3991343002439862</v>
      </c>
      <c r="K64" s="201">
        <f t="shared" si="8"/>
        <v>-0.14542625429173484</v>
      </c>
      <c r="L64" s="201">
        <f t="shared" si="8"/>
        <v>-7.5100329766542018E-4</v>
      </c>
      <c r="S64" s="16"/>
      <c r="T64" s="204"/>
    </row>
    <row r="65" spans="5:20" x14ac:dyDescent="0.2">
      <c r="E65" s="204">
        <v>41.491056421433811</v>
      </c>
      <c r="G65">
        <v>18</v>
      </c>
      <c r="H65" s="16">
        <v>18</v>
      </c>
      <c r="I65" s="204">
        <v>40.748653934719393</v>
      </c>
      <c r="J65" s="229">
        <f t="shared" si="8"/>
        <v>1.2529570426546854</v>
      </c>
      <c r="K65" s="201">
        <f t="shared" si="8"/>
        <v>-0.14617725758930078</v>
      </c>
      <c r="L65" s="201">
        <f t="shared" si="8"/>
        <v>-7.5100329756594419E-4</v>
      </c>
      <c r="S65" s="16"/>
      <c r="T65" s="204"/>
    </row>
    <row r="66" spans="5:20" x14ac:dyDescent="0.2">
      <c r="E66" s="204">
        <v>42.520878638334338</v>
      </c>
      <c r="G66">
        <v>19</v>
      </c>
      <c r="H66" s="16">
        <v>19</v>
      </c>
      <c r="I66" s="204">
        <v>41.85468271648714</v>
      </c>
      <c r="J66" s="229">
        <f t="shared" si="8"/>
        <v>1.1060287817677477</v>
      </c>
      <c r="K66" s="201">
        <f t="shared" si="8"/>
        <v>-0.14692826088693778</v>
      </c>
      <c r="L66" s="201">
        <f t="shared" si="8"/>
        <v>-7.5100329763699847E-4</v>
      </c>
      <c r="S66" s="16"/>
      <c r="T66" s="204"/>
    </row>
    <row r="67" spans="5:20" x14ac:dyDescent="0.2">
      <c r="E67" s="204">
        <v>43.393258548181116</v>
      </c>
      <c r="G67">
        <v>20</v>
      </c>
      <c r="H67" s="16">
        <v>20</v>
      </c>
      <c r="I67" s="204">
        <v>42.813032234070313</v>
      </c>
      <c r="J67" s="229">
        <f t="shared" si="8"/>
        <v>0.95834951758317288</v>
      </c>
      <c r="K67" s="201">
        <f t="shared" si="8"/>
        <v>-0.14767926418457478</v>
      </c>
      <c r="L67" s="201">
        <f t="shared" si="8"/>
        <v>-7.5100329763699847E-4</v>
      </c>
      <c r="S67" s="16"/>
      <c r="T67" s="204"/>
    </row>
    <row r="68" spans="5:20" x14ac:dyDescent="0.2">
      <c r="E68" s="204">
        <v>44.108947154271767</v>
      </c>
      <c r="G68">
        <v>21</v>
      </c>
      <c r="H68" s="16">
        <v>21</v>
      </c>
      <c r="I68" s="204">
        <v>43.622951484171246</v>
      </c>
      <c r="J68" s="229">
        <f t="shared" si="8"/>
        <v>0.80991925010093269</v>
      </c>
      <c r="K68" s="201">
        <f t="shared" si="8"/>
        <v>-0.1484302674822402</v>
      </c>
      <c r="L68" s="201">
        <f t="shared" si="8"/>
        <v>-7.5100329766542018E-4</v>
      </c>
      <c r="S68" s="228"/>
      <c r="T68" s="204"/>
    </row>
    <row r="69" spans="5:20" x14ac:dyDescent="0.2">
      <c r="E69" s="204">
        <v>44.668695459903965</v>
      </c>
      <c r="G69">
        <v>22</v>
      </c>
      <c r="H69" s="16">
        <v>22</v>
      </c>
      <c r="I69" s="204">
        <v>44.283689463492358</v>
      </c>
      <c r="J69" s="229">
        <f t="shared" si="8"/>
        <v>0.66073797932111233</v>
      </c>
      <c r="K69" s="201">
        <f t="shared" si="8"/>
        <v>-0.14918127077982035</v>
      </c>
      <c r="L69" s="201">
        <f t="shared" si="8"/>
        <v>-7.5100329758015505E-4</v>
      </c>
      <c r="S69" s="16"/>
      <c r="T69" s="204"/>
    </row>
    <row r="70" spans="5:20" x14ac:dyDescent="0.2">
      <c r="E70" s="204">
        <v>45.073254468375289</v>
      </c>
      <c r="G70">
        <v>23</v>
      </c>
      <c r="H70" s="16">
        <v>23</v>
      </c>
      <c r="I70" s="204">
        <v>44.794495168735999</v>
      </c>
      <c r="J70" s="229">
        <f t="shared" si="8"/>
        <v>0.51080570524364077</v>
      </c>
      <c r="K70" s="201">
        <f t="shared" si="8"/>
        <v>-0.14993227407747156</v>
      </c>
      <c r="L70" s="201">
        <f t="shared" si="8"/>
        <v>-7.5100329765120932E-4</v>
      </c>
      <c r="S70" s="16"/>
      <c r="T70" s="204"/>
    </row>
    <row r="71" spans="5:20" x14ac:dyDescent="0.2">
      <c r="E71" s="204">
        <v>45.323375182983376</v>
      </c>
      <c r="G71">
        <v>24</v>
      </c>
      <c r="H71" s="16">
        <v>24</v>
      </c>
      <c r="I71" s="204">
        <v>45.15461759660456</v>
      </c>
      <c r="J71" s="229">
        <f t="shared" si="8"/>
        <v>0.36012242786856064</v>
      </c>
      <c r="K71" s="201">
        <f t="shared" si="8"/>
        <v>-0.15068327737508014</v>
      </c>
      <c r="L71" s="201">
        <f t="shared" si="8"/>
        <v>-7.5100329760857676E-4</v>
      </c>
      <c r="S71" s="16"/>
      <c r="T71" s="204"/>
    </row>
    <row r="72" spans="5:20" x14ac:dyDescent="0.2">
      <c r="E72" s="231">
        <v>45.419808607025864</v>
      </c>
      <c r="G72" s="230">
        <v>25</v>
      </c>
      <c r="H72" s="232">
        <v>25</v>
      </c>
      <c r="I72" s="233">
        <v>45.363305743800382</v>
      </c>
      <c r="J72" s="229">
        <f t="shared" si="8"/>
        <v>0.20868814719582218</v>
      </c>
      <c r="K72" s="201">
        <f t="shared" si="8"/>
        <v>-0.15143428067273845</v>
      </c>
      <c r="L72" s="201">
        <f>K72-K71</f>
        <v>-7.5100329765831475E-4</v>
      </c>
      <c r="S72" s="16"/>
      <c r="T72" s="204"/>
    </row>
    <row r="73" spans="5:20" x14ac:dyDescent="0.2">
      <c r="G73">
        <v>25</v>
      </c>
      <c r="H73" s="16">
        <v>26</v>
      </c>
      <c r="I73" s="204">
        <v>45.363305743800382</v>
      </c>
      <c r="J73" s="229">
        <f t="shared" ref="J73:L95" si="9">I73-I74</f>
        <v>0.20868814719582218</v>
      </c>
      <c r="K73" s="201">
        <f t="shared" si="9"/>
        <v>-0.15143428067273845</v>
      </c>
      <c r="L73" s="201">
        <f t="shared" si="9"/>
        <v>-7.5100329765831475E-4</v>
      </c>
      <c r="S73" s="16"/>
      <c r="T73" s="204"/>
    </row>
    <row r="74" spans="5:20" x14ac:dyDescent="0.2">
      <c r="G74">
        <v>24</v>
      </c>
      <c r="H74" s="16">
        <v>27</v>
      </c>
      <c r="I74" s="204">
        <v>45.15461759660456</v>
      </c>
      <c r="J74" s="229">
        <f t="shared" si="9"/>
        <v>0.36012242786856064</v>
      </c>
      <c r="K74" s="201">
        <f t="shared" si="9"/>
        <v>-0.15068327737508014</v>
      </c>
      <c r="L74" s="201">
        <f t="shared" si="9"/>
        <v>-7.5100329760857676E-4</v>
      </c>
      <c r="O74">
        <f>0.00075+0.00075</f>
        <v>1.5E-3</v>
      </c>
    </row>
    <row r="75" spans="5:20" x14ac:dyDescent="0.2">
      <c r="G75">
        <v>23</v>
      </c>
      <c r="H75" s="16">
        <v>28</v>
      </c>
      <c r="I75" s="204">
        <v>44.794495168735999</v>
      </c>
      <c r="J75" s="229">
        <f t="shared" si="9"/>
        <v>0.51080570524364077</v>
      </c>
      <c r="K75" s="201">
        <f t="shared" si="9"/>
        <v>-0.14993227407747156</v>
      </c>
      <c r="L75" s="201">
        <f t="shared" si="9"/>
        <v>-7.5100329765120932E-4</v>
      </c>
    </row>
    <row r="76" spans="5:20" x14ac:dyDescent="0.2">
      <c r="G76">
        <v>22</v>
      </c>
      <c r="H76" s="16">
        <v>29</v>
      </c>
      <c r="I76" s="204">
        <v>44.283689463492358</v>
      </c>
      <c r="J76" s="229">
        <f t="shared" si="9"/>
        <v>0.66073797932111233</v>
      </c>
      <c r="K76" s="201">
        <f t="shared" si="9"/>
        <v>-0.14918127077982035</v>
      </c>
      <c r="L76" s="201">
        <f t="shared" si="9"/>
        <v>-7.5100329758015505E-4</v>
      </c>
    </row>
    <row r="77" spans="5:20" x14ac:dyDescent="0.2">
      <c r="G77">
        <v>21</v>
      </c>
      <c r="H77" s="16">
        <v>30</v>
      </c>
      <c r="I77" s="204">
        <v>43.622951484171246</v>
      </c>
      <c r="J77" s="229">
        <f t="shared" si="9"/>
        <v>0.80991925010093269</v>
      </c>
      <c r="K77" s="201">
        <f t="shared" si="9"/>
        <v>-0.1484302674822402</v>
      </c>
      <c r="L77" s="201">
        <f t="shared" si="9"/>
        <v>-7.5100329766542018E-4</v>
      </c>
    </row>
    <row r="78" spans="5:20" x14ac:dyDescent="0.2">
      <c r="G78">
        <v>20</v>
      </c>
      <c r="H78" s="16">
        <v>31</v>
      </c>
      <c r="I78" s="204">
        <v>42.813032234070313</v>
      </c>
      <c r="J78" s="229">
        <f t="shared" si="9"/>
        <v>0.95834951758317288</v>
      </c>
      <c r="K78" s="201">
        <f t="shared" si="9"/>
        <v>-0.14767926418457478</v>
      </c>
      <c r="L78" s="201">
        <f t="shared" si="9"/>
        <v>-7.5100329763699847E-4</v>
      </c>
    </row>
    <row r="79" spans="5:20" x14ac:dyDescent="0.2">
      <c r="G79">
        <v>19</v>
      </c>
      <c r="H79" s="16">
        <v>32</v>
      </c>
      <c r="I79" s="204">
        <v>41.85468271648714</v>
      </c>
      <c r="J79" s="229">
        <f t="shared" si="9"/>
        <v>1.1060287817677477</v>
      </c>
      <c r="K79" s="201">
        <f t="shared" si="9"/>
        <v>-0.14692826088693778</v>
      </c>
      <c r="L79" s="201">
        <f t="shared" si="9"/>
        <v>-7.5100329763699847E-4</v>
      </c>
    </row>
    <row r="80" spans="5:20" x14ac:dyDescent="0.2">
      <c r="G80">
        <v>18</v>
      </c>
      <c r="H80" s="16">
        <v>33</v>
      </c>
      <c r="I80" s="204">
        <v>40.748653934719393</v>
      </c>
      <c r="J80" s="229">
        <f t="shared" si="9"/>
        <v>1.2529570426546854</v>
      </c>
      <c r="K80" s="201">
        <f t="shared" si="9"/>
        <v>-0.14617725758930078</v>
      </c>
      <c r="L80" s="201">
        <f t="shared" si="9"/>
        <v>-7.5100329756594419E-4</v>
      </c>
    </row>
    <row r="81" spans="7:12" x14ac:dyDescent="0.2">
      <c r="G81">
        <v>17</v>
      </c>
      <c r="H81" s="16">
        <v>34</v>
      </c>
      <c r="I81" s="204">
        <v>39.495696892064707</v>
      </c>
      <c r="J81" s="229">
        <f t="shared" si="9"/>
        <v>1.3991343002439862</v>
      </c>
      <c r="K81" s="201">
        <f t="shared" si="9"/>
        <v>-0.14542625429173484</v>
      </c>
      <c r="L81" s="201">
        <f t="shared" si="9"/>
        <v>-7.5100329766542018E-4</v>
      </c>
    </row>
    <row r="82" spans="7:12" x14ac:dyDescent="0.2">
      <c r="G82">
        <v>16</v>
      </c>
      <c r="H82" s="16">
        <v>35</v>
      </c>
      <c r="I82" s="204">
        <v>38.096562591820721</v>
      </c>
      <c r="J82" s="229">
        <f t="shared" si="9"/>
        <v>1.5445605545357211</v>
      </c>
      <c r="K82" s="201">
        <f t="shared" si="9"/>
        <v>-0.14467525099406942</v>
      </c>
      <c r="L82" s="201">
        <f t="shared" si="9"/>
        <v>-7.5100329766542018E-4</v>
      </c>
    </row>
    <row r="83" spans="7:12" x14ac:dyDescent="0.2">
      <c r="G83">
        <v>15</v>
      </c>
      <c r="H83" s="16">
        <v>36</v>
      </c>
      <c r="I83" s="204">
        <v>36.552002037285</v>
      </c>
      <c r="J83" s="229">
        <f t="shared" si="9"/>
        <v>1.6892358055297905</v>
      </c>
      <c r="K83" s="201">
        <f t="shared" si="9"/>
        <v>-0.143924247696404</v>
      </c>
      <c r="L83" s="201">
        <f t="shared" si="9"/>
        <v>-7.5100329753396977E-4</v>
      </c>
    </row>
    <row r="84" spans="7:12" x14ac:dyDescent="0.2">
      <c r="G84">
        <v>14</v>
      </c>
      <c r="H84" s="16">
        <v>37</v>
      </c>
      <c r="I84" s="204">
        <v>34.862766231755209</v>
      </c>
      <c r="J84" s="229">
        <f t="shared" si="9"/>
        <v>1.8331600532261945</v>
      </c>
      <c r="K84" s="201">
        <f t="shared" si="9"/>
        <v>-0.14317324439887003</v>
      </c>
      <c r="L84" s="201">
        <f t="shared" si="9"/>
        <v>-7.5100329770094731E-4</v>
      </c>
    </row>
    <row r="85" spans="7:12" x14ac:dyDescent="0.2">
      <c r="G85">
        <v>13</v>
      </c>
      <c r="H85" s="16">
        <v>38</v>
      </c>
      <c r="I85" s="204">
        <v>33.029606178529015</v>
      </c>
      <c r="J85" s="229">
        <f t="shared" si="9"/>
        <v>1.9763332976250645</v>
      </c>
      <c r="K85" s="201">
        <f t="shared" si="9"/>
        <v>-0.14242224110116908</v>
      </c>
      <c r="L85" s="201">
        <f t="shared" si="9"/>
        <v>-7.510032976192349E-4</v>
      </c>
    </row>
    <row r="86" spans="7:12" x14ac:dyDescent="0.2">
      <c r="G86">
        <v>12</v>
      </c>
      <c r="H86" s="16">
        <v>39</v>
      </c>
      <c r="I86" s="204">
        <v>31.05327288090395</v>
      </c>
      <c r="J86" s="229">
        <f t="shared" si="9"/>
        <v>2.1187555387262336</v>
      </c>
      <c r="K86" s="201">
        <f t="shared" si="9"/>
        <v>-0.14167123780354984</v>
      </c>
      <c r="L86" s="201">
        <f t="shared" si="9"/>
        <v>-7.510032975943659E-4</v>
      </c>
    </row>
    <row r="87" spans="7:12" x14ac:dyDescent="0.2">
      <c r="G87">
        <v>11</v>
      </c>
      <c r="H87" s="16">
        <v>40</v>
      </c>
      <c r="I87" s="204">
        <v>28.934517342177717</v>
      </c>
      <c r="J87" s="229">
        <f t="shared" si="9"/>
        <v>2.2604267765297834</v>
      </c>
      <c r="K87" s="201">
        <f t="shared" si="9"/>
        <v>-0.14092023450595548</v>
      </c>
      <c r="L87" s="201">
        <f t="shared" si="9"/>
        <v>-7.5100329769384189E-4</v>
      </c>
    </row>
    <row r="88" spans="7:12" x14ac:dyDescent="0.2">
      <c r="G88">
        <v>10</v>
      </c>
      <c r="H88" s="16">
        <v>41</v>
      </c>
      <c r="I88" s="204">
        <v>26.674090565647933</v>
      </c>
      <c r="J88" s="229">
        <f t="shared" si="9"/>
        <v>2.4013470110357389</v>
      </c>
      <c r="K88" s="201">
        <f t="shared" si="9"/>
        <v>-0.14016923120826164</v>
      </c>
      <c r="L88" s="201">
        <f t="shared" si="9"/>
        <v>-7.5100329758015505E-4</v>
      </c>
    </row>
    <row r="89" spans="7:12" x14ac:dyDescent="0.2">
      <c r="G89">
        <v>9</v>
      </c>
      <c r="H89" s="16">
        <v>42</v>
      </c>
      <c r="I89" s="204">
        <v>24.272743554612195</v>
      </c>
      <c r="J89" s="229">
        <f t="shared" si="9"/>
        <v>2.5415162422440005</v>
      </c>
      <c r="K89" s="201">
        <f t="shared" si="9"/>
        <v>-0.13941822791068148</v>
      </c>
      <c r="L89" s="201">
        <f t="shared" si="9"/>
        <v>-7.5100329758015505E-4</v>
      </c>
    </row>
    <row r="90" spans="7:12" x14ac:dyDescent="0.2">
      <c r="G90">
        <v>8</v>
      </c>
      <c r="H90" s="16">
        <v>43</v>
      </c>
      <c r="I90" s="204">
        <v>21.731227312368194</v>
      </c>
      <c r="J90" s="229">
        <f t="shared" si="9"/>
        <v>2.680934470154682</v>
      </c>
      <c r="K90" s="201">
        <f t="shared" si="9"/>
        <v>-0.13866722461310133</v>
      </c>
      <c r="L90" s="201">
        <f t="shared" si="9"/>
        <v>-7.5100329775068531E-4</v>
      </c>
    </row>
    <row r="91" spans="7:12" x14ac:dyDescent="0.2">
      <c r="G91">
        <v>7</v>
      </c>
      <c r="H91" s="16">
        <v>44</v>
      </c>
      <c r="I91" s="204">
        <v>19.050292842213512</v>
      </c>
      <c r="J91" s="229">
        <f t="shared" si="9"/>
        <v>2.8196016947677833</v>
      </c>
      <c r="K91" s="201">
        <f t="shared" si="9"/>
        <v>-0.13791622131535064</v>
      </c>
      <c r="L91" s="201">
        <f t="shared" si="9"/>
        <v>-7.5100329752331163E-4</v>
      </c>
    </row>
    <row r="92" spans="7:12" x14ac:dyDescent="0.2">
      <c r="G92">
        <v>6</v>
      </c>
      <c r="H92" s="16">
        <v>45</v>
      </c>
      <c r="I92" s="204">
        <v>16.230691147445729</v>
      </c>
      <c r="J92" s="229">
        <f t="shared" si="9"/>
        <v>2.957517916083134</v>
      </c>
      <c r="K92" s="201">
        <f t="shared" si="9"/>
        <v>-0.13716521801782733</v>
      </c>
      <c r="L92" s="201">
        <f t="shared" si="9"/>
        <v>-7.5100329763788665E-4</v>
      </c>
    </row>
    <row r="93" spans="7:12" x14ac:dyDescent="0.2">
      <c r="G93">
        <v>5</v>
      </c>
      <c r="H93" s="16">
        <v>46</v>
      </c>
      <c r="I93" s="204">
        <v>13.273173231362595</v>
      </c>
      <c r="J93" s="229">
        <f t="shared" si="9"/>
        <v>3.0946831341009613</v>
      </c>
      <c r="K93" s="201">
        <f t="shared" si="9"/>
        <v>-0.13641421472018944</v>
      </c>
      <c r="L93" s="201">
        <f t="shared" si="9"/>
        <v>-7.5100329766364382E-4</v>
      </c>
    </row>
    <row r="94" spans="7:12" x14ac:dyDescent="0.2">
      <c r="G94">
        <v>4</v>
      </c>
      <c r="H94" s="16">
        <v>47</v>
      </c>
      <c r="I94" s="204">
        <v>10.178490097261633</v>
      </c>
      <c r="J94" s="229">
        <f t="shared" si="9"/>
        <v>3.2310973488211507</v>
      </c>
      <c r="K94" s="201">
        <f t="shared" si="9"/>
        <v>-0.1356632114225258</v>
      </c>
      <c r="L94" s="201">
        <f>K94-K95</f>
        <v>-7.5100329763788665E-4</v>
      </c>
    </row>
    <row r="95" spans="7:12" x14ac:dyDescent="0.2">
      <c r="G95">
        <v>3</v>
      </c>
      <c r="H95" s="16">
        <v>48</v>
      </c>
      <c r="I95" s="204">
        <v>6.9473927484404827</v>
      </c>
      <c r="J95" s="229">
        <f t="shared" si="9"/>
        <v>3.3667605602436765</v>
      </c>
      <c r="K95" s="201">
        <f>J95-J96</f>
        <v>-0.13491220812488791</v>
      </c>
      <c r="L95" s="201"/>
    </row>
    <row r="96" spans="7:12" x14ac:dyDescent="0.2">
      <c r="G96">
        <v>2</v>
      </c>
      <c r="H96" s="16">
        <v>49</v>
      </c>
      <c r="I96" s="204">
        <v>3.5806321881968062</v>
      </c>
      <c r="J96" s="229">
        <f>I96-I97</f>
        <v>3.5016727683685644</v>
      </c>
      <c r="K96" s="201"/>
      <c r="L96" s="201"/>
    </row>
    <row r="97" spans="7:9" x14ac:dyDescent="0.2">
      <c r="G97">
        <v>1</v>
      </c>
      <c r="H97" s="16">
        <v>50</v>
      </c>
      <c r="I97" s="204">
        <v>7.8959419828241728E-2</v>
      </c>
    </row>
  </sheetData>
  <sortState xmlns:xlrd2="http://schemas.microsoft.com/office/spreadsheetml/2017/richdata2" ref="I48:I72">
    <sortCondition ref="I48:I72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17A6-D2C4-48C9-8063-EC6C7F3EE30E}">
  <sheetPr transitionEvaluation="1" transitionEntry="1" codeName="Sheet2">
    <pageSetUpPr fitToPage="1"/>
  </sheetPr>
  <dimension ref="A1:AN269"/>
  <sheetViews>
    <sheetView showGridLines="0" zoomScale="90" zoomScaleNormal="90" workbookViewId="0">
      <selection activeCell="AH46" sqref="AH46"/>
    </sheetView>
  </sheetViews>
  <sheetFormatPr defaultRowHeight="12.75" x14ac:dyDescent="0.2"/>
  <cols>
    <col min="1" max="26" width="9.7109375" customWidth="1"/>
    <col min="27" max="27" width="8.28515625" customWidth="1"/>
    <col min="28" max="28" width="4.28515625" customWidth="1"/>
    <col min="29" max="34" width="8.28515625" customWidth="1"/>
  </cols>
  <sheetData>
    <row r="1" spans="2:40" x14ac:dyDescent="0.2">
      <c r="B1" t="s">
        <v>20</v>
      </c>
      <c r="R1" s="31" t="s">
        <v>27</v>
      </c>
    </row>
    <row r="2" spans="2:40" x14ac:dyDescent="0.2">
      <c r="B2" s="1" t="s">
        <v>21</v>
      </c>
      <c r="AN2" t="s">
        <v>7</v>
      </c>
    </row>
    <row r="3" spans="2:40" x14ac:dyDescent="0.2">
      <c r="B3" s="1"/>
    </row>
    <row r="4" spans="2:40" x14ac:dyDescent="0.2">
      <c r="B4" s="17">
        <v>2.52</v>
      </c>
      <c r="C4" s="156" t="s">
        <v>10</v>
      </c>
      <c r="F4" s="9"/>
      <c r="G4" s="9"/>
      <c r="H4" s="9"/>
      <c r="J4" s="170" t="s">
        <v>63</v>
      </c>
    </row>
    <row r="5" spans="2:40" x14ac:dyDescent="0.2">
      <c r="B5" s="17">
        <v>4.55</v>
      </c>
      <c r="C5" s="157" t="s">
        <v>0</v>
      </c>
      <c r="D5" s="9"/>
      <c r="E5" s="9"/>
      <c r="F5" s="9"/>
      <c r="G5" s="9"/>
      <c r="H5" s="9"/>
      <c r="J5" s="171" t="s">
        <v>72</v>
      </c>
    </row>
    <row r="6" spans="2:40" x14ac:dyDescent="0.2">
      <c r="B6" s="17">
        <v>85</v>
      </c>
      <c r="C6" s="156" t="s">
        <v>1</v>
      </c>
      <c r="D6" s="6"/>
      <c r="E6" s="9"/>
      <c r="F6" s="9"/>
      <c r="G6" s="20" t="s">
        <v>6</v>
      </c>
      <c r="H6" s="9"/>
      <c r="J6" s="170" t="s">
        <v>89</v>
      </c>
    </row>
    <row r="7" spans="2:40" x14ac:dyDescent="0.2">
      <c r="B7" s="2" t="s">
        <v>3</v>
      </c>
      <c r="C7" s="18" t="s">
        <v>2</v>
      </c>
      <c r="D7" s="18" t="s">
        <v>3</v>
      </c>
      <c r="E7" s="21" t="s">
        <v>5</v>
      </c>
      <c r="F7" s="18" t="s">
        <v>4</v>
      </c>
      <c r="G7" s="22" t="s">
        <v>4</v>
      </c>
      <c r="H7" s="18" t="s">
        <v>4</v>
      </c>
    </row>
    <row r="8" spans="2:40" ht="15" x14ac:dyDescent="0.2">
      <c r="B8" s="42"/>
      <c r="C8" s="16">
        <v>1</v>
      </c>
      <c r="D8" s="140">
        <v>33.561842105263182</v>
      </c>
      <c r="E8" s="27">
        <f>D8/C8</f>
        <v>33.561842105263182</v>
      </c>
      <c r="F8" s="44">
        <f t="shared" ref="F8:F17" si="0">SQRT(12*32.2*E8^2/(4*$B$6*($B$5*56)*$B$4^2))</f>
        <v>0.88945634518259098</v>
      </c>
      <c r="G8" s="46">
        <v>0.69992745230334086</v>
      </c>
      <c r="H8" s="163">
        <f>(F8)</f>
        <v>0.88945634518259098</v>
      </c>
      <c r="J8" s="34">
        <v>1</v>
      </c>
    </row>
    <row r="9" spans="2:40" ht="15" x14ac:dyDescent="0.2">
      <c r="B9" s="43"/>
      <c r="C9" s="26">
        <v>2</v>
      </c>
      <c r="D9" s="141">
        <v>55.500000000000021</v>
      </c>
      <c r="E9" s="28">
        <f t="shared" ref="E9:E17" si="1">D9/C9</f>
        <v>27.750000000000011</v>
      </c>
      <c r="F9" s="45">
        <f t="shared" si="0"/>
        <v>0.73543083545304577</v>
      </c>
      <c r="G9" s="47">
        <v>0.69992745230334086</v>
      </c>
      <c r="H9" s="164">
        <f>(F9)</f>
        <v>0.73543083545304577</v>
      </c>
      <c r="K9" s="142">
        <f>K10*$J8</f>
        <v>48.000000000000057</v>
      </c>
      <c r="N9" s="142">
        <f>N10*$J8</f>
        <v>50.5</v>
      </c>
      <c r="Q9" s="142">
        <f>Q10*$J8</f>
        <v>52.99999999999995</v>
      </c>
      <c r="T9" s="142">
        <f>T10*$J8</f>
        <v>55.500000000000107</v>
      </c>
      <c r="W9" s="142">
        <f>W10*$J8</f>
        <v>57.999999999999851</v>
      </c>
      <c r="Z9" s="142">
        <f>Z10*$J8</f>
        <v>60.499999999999943</v>
      </c>
      <c r="AC9" s="142">
        <f>AC10*$J8</f>
        <v>62.999999999999957</v>
      </c>
    </row>
    <row r="10" spans="2:40" ht="15" x14ac:dyDescent="0.2">
      <c r="B10" s="42"/>
      <c r="C10" s="16">
        <v>3</v>
      </c>
      <c r="D10" s="140">
        <v>77.438157894736861</v>
      </c>
      <c r="E10" s="27">
        <f t="shared" si="1"/>
        <v>25.812719298245622</v>
      </c>
      <c r="F10" s="44">
        <f t="shared" si="0"/>
        <v>0.68408899887653074</v>
      </c>
      <c r="G10" s="46">
        <v>0.70001912583998827</v>
      </c>
      <c r="H10" s="163">
        <f t="shared" ref="H10:H17" si="2">(F10)</f>
        <v>0.68408899887653074</v>
      </c>
      <c r="K10" s="142">
        <v>48.000000000000057</v>
      </c>
      <c r="N10" s="142">
        <v>50.5</v>
      </c>
      <c r="Q10" s="142">
        <v>52.99999999999995</v>
      </c>
      <c r="T10" s="142">
        <v>55.500000000000107</v>
      </c>
      <c r="W10" s="142">
        <v>57.999999999999851</v>
      </c>
      <c r="Z10" s="142">
        <v>60.499999999999943</v>
      </c>
      <c r="AC10" s="142">
        <v>62.999999999999957</v>
      </c>
    </row>
    <row r="11" spans="2:40" ht="15" x14ac:dyDescent="0.2">
      <c r="B11" s="42"/>
      <c r="C11" s="16">
        <v>4</v>
      </c>
      <c r="D11" s="140">
        <v>99.376315789473708</v>
      </c>
      <c r="E11" s="27">
        <f t="shared" si="1"/>
        <v>24.844078947368427</v>
      </c>
      <c r="F11" s="44">
        <f t="shared" si="0"/>
        <v>0.65841808058827322</v>
      </c>
      <c r="G11" s="46">
        <v>0.69999620745582647</v>
      </c>
      <c r="H11" s="163">
        <f t="shared" si="2"/>
        <v>0.65841808058827322</v>
      </c>
    </row>
    <row r="12" spans="2:40" ht="15" x14ac:dyDescent="0.2">
      <c r="B12" s="43"/>
      <c r="C12" s="26">
        <v>5</v>
      </c>
      <c r="D12" s="141">
        <v>121.31447368421055</v>
      </c>
      <c r="E12" s="28">
        <f t="shared" si="1"/>
        <v>24.26289473684211</v>
      </c>
      <c r="F12" s="45">
        <f t="shared" si="0"/>
        <v>0.6430155296153186</v>
      </c>
      <c r="G12" s="47">
        <v>0.70003746054731775</v>
      </c>
      <c r="H12" s="164">
        <f t="shared" si="2"/>
        <v>0.6430155296153186</v>
      </c>
      <c r="J12" s="34">
        <v>1.06</v>
      </c>
      <c r="K12" s="142">
        <f>K13*$J12</f>
        <v>874.5</v>
      </c>
      <c r="N12" s="142">
        <f>N13*$J12</f>
        <v>916.01666666666654</v>
      </c>
      <c r="Q12" s="142">
        <f>Q13*$J12</f>
        <v>957.5333333333333</v>
      </c>
      <c r="T12" s="142">
        <f>T13*$J12</f>
        <v>999.04999999999984</v>
      </c>
      <c r="W12" s="142">
        <f>W13*$J12</f>
        <v>1040.5666666666668</v>
      </c>
      <c r="Z12" s="142">
        <f>Z13*$J12</f>
        <v>1082.083333333333</v>
      </c>
      <c r="AC12" s="142">
        <f>AC13*$J12</f>
        <v>1123.6000000000001</v>
      </c>
    </row>
    <row r="13" spans="2:40" ht="15" x14ac:dyDescent="0.2">
      <c r="B13" s="42"/>
      <c r="C13" s="16">
        <v>10</v>
      </c>
      <c r="D13" s="140">
        <v>231.00526315789477</v>
      </c>
      <c r="E13" s="27">
        <f t="shared" si="1"/>
        <v>23.100526315789477</v>
      </c>
      <c r="F13" s="44">
        <f t="shared" si="0"/>
        <v>0.6122104276694097</v>
      </c>
      <c r="G13" s="46">
        <v>0.70000995848632352</v>
      </c>
      <c r="H13" s="163">
        <f t="shared" si="2"/>
        <v>0.6122104276694097</v>
      </c>
      <c r="K13" s="142">
        <v>825</v>
      </c>
      <c r="N13" s="142">
        <v>864.16666666666652</v>
      </c>
      <c r="Q13" s="142">
        <v>903.33333333333326</v>
      </c>
      <c r="T13" s="142">
        <v>942.49999999999977</v>
      </c>
      <c r="W13" s="142">
        <v>981.66666666666674</v>
      </c>
      <c r="Z13" s="142">
        <v>1020.833333333333</v>
      </c>
      <c r="AC13" s="142">
        <v>1060</v>
      </c>
    </row>
    <row r="14" spans="2:40" ht="15" x14ac:dyDescent="0.2">
      <c r="B14" s="42"/>
      <c r="C14" s="16">
        <v>20</v>
      </c>
      <c r="D14" s="140">
        <v>450.38684210526321</v>
      </c>
      <c r="E14" s="27">
        <f t="shared" si="1"/>
        <v>22.51934210526316</v>
      </c>
      <c r="F14" s="44">
        <f t="shared" si="0"/>
        <v>0.59680787669645508</v>
      </c>
      <c r="G14" s="46">
        <v>0.69999620745582647</v>
      </c>
      <c r="H14" s="163">
        <f t="shared" si="2"/>
        <v>0.59680787669645508</v>
      </c>
      <c r="K14" s="142">
        <f>K12-K13</f>
        <v>49.5</v>
      </c>
      <c r="N14" s="142">
        <f>N12-N13</f>
        <v>51.850000000000023</v>
      </c>
      <c r="Q14" s="142">
        <f>Q12-Q13</f>
        <v>54.200000000000045</v>
      </c>
      <c r="T14" s="142">
        <f>T12-T13</f>
        <v>56.550000000000068</v>
      </c>
      <c r="W14" s="142">
        <f>W12-W13</f>
        <v>58.900000000000091</v>
      </c>
      <c r="Z14" s="142">
        <f>Z12-Z13</f>
        <v>61.25</v>
      </c>
      <c r="AC14" s="142">
        <f>AC12-AC13</f>
        <v>63.600000000000136</v>
      </c>
    </row>
    <row r="15" spans="2:40" ht="15" x14ac:dyDescent="0.2">
      <c r="B15" s="42"/>
      <c r="C15" s="16">
        <v>30</v>
      </c>
      <c r="D15" s="140">
        <v>669.76842105263165</v>
      </c>
      <c r="E15" s="27">
        <f t="shared" si="1"/>
        <v>22.325614035087721</v>
      </c>
      <c r="F15" s="44">
        <f t="shared" si="0"/>
        <v>0.59167369303880357</v>
      </c>
      <c r="G15" s="46">
        <v>0.70001912583998827</v>
      </c>
      <c r="H15" s="163">
        <f t="shared" si="2"/>
        <v>0.59167369303880357</v>
      </c>
    </row>
    <row r="16" spans="2:40" ht="15" x14ac:dyDescent="0.2">
      <c r="B16" s="43"/>
      <c r="C16" s="26">
        <v>40</v>
      </c>
      <c r="D16" s="141">
        <v>889.15000000000009</v>
      </c>
      <c r="E16" s="28">
        <f t="shared" si="1"/>
        <v>22.228750000000002</v>
      </c>
      <c r="F16" s="45">
        <f t="shared" si="0"/>
        <v>0.58910660120997782</v>
      </c>
      <c r="G16" s="47">
        <v>0.69999620745582647</v>
      </c>
      <c r="H16" s="164">
        <f t="shared" si="2"/>
        <v>0.58910660120997782</v>
      </c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 t="s">
        <v>63</v>
      </c>
      <c r="AD16" s="12"/>
    </row>
    <row r="17" spans="1:31" ht="15" x14ac:dyDescent="0.2">
      <c r="A17" s="1"/>
      <c r="B17" s="42"/>
      <c r="C17" s="16">
        <v>50</v>
      </c>
      <c r="D17" s="140">
        <v>1108.5315789473684</v>
      </c>
      <c r="E17" s="27">
        <f t="shared" si="1"/>
        <v>22.170631578947368</v>
      </c>
      <c r="F17" s="44">
        <f t="shared" si="0"/>
        <v>0.58756634611268244</v>
      </c>
      <c r="G17" s="46">
        <v>0.69998795683752812</v>
      </c>
      <c r="H17" s="163">
        <f t="shared" si="2"/>
        <v>0.58756634611268244</v>
      </c>
      <c r="J17" s="13" t="s">
        <v>90</v>
      </c>
      <c r="K17" s="14" t="s">
        <v>103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31" t="s">
        <v>27</v>
      </c>
      <c r="AA17" s="9"/>
      <c r="AB17" s="9"/>
      <c r="AC17" s="9"/>
      <c r="AD17" s="15"/>
    </row>
    <row r="18" spans="1:31" x14ac:dyDescent="0.2">
      <c r="A18" s="1"/>
      <c r="D18" s="9"/>
      <c r="J18" s="13" t="s">
        <v>100</v>
      </c>
      <c r="K18" s="9" t="s">
        <v>101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5"/>
    </row>
    <row r="19" spans="1:31" x14ac:dyDescent="0.2">
      <c r="J19" s="13"/>
      <c r="K19" s="14" t="s">
        <v>104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5"/>
    </row>
    <row r="20" spans="1:31" x14ac:dyDescent="0.2">
      <c r="J20" s="13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5"/>
    </row>
    <row r="21" spans="1:31" x14ac:dyDescent="0.2">
      <c r="J21" s="13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5"/>
    </row>
    <row r="22" spans="1:31" x14ac:dyDescent="0.2">
      <c r="J22" s="13"/>
      <c r="K22" s="9"/>
      <c r="L22" s="9"/>
      <c r="M22" s="9"/>
      <c r="N22" s="9"/>
      <c r="O22" s="9"/>
      <c r="P22" s="9"/>
      <c r="Q22" s="9"/>
      <c r="R22" s="9"/>
      <c r="S22" s="9"/>
      <c r="T22" s="9"/>
      <c r="U22" s="180" t="s">
        <v>102</v>
      </c>
      <c r="V22" s="9"/>
      <c r="W22" s="9"/>
      <c r="X22" s="9"/>
      <c r="Y22" s="9"/>
      <c r="Z22" s="9"/>
      <c r="AA22" s="9"/>
      <c r="AB22" s="9"/>
      <c r="AC22" s="9"/>
      <c r="AD22" s="15"/>
    </row>
    <row r="23" spans="1:31" ht="15" x14ac:dyDescent="0.25">
      <c r="A23" s="158"/>
      <c r="B23" s="151">
        <v>48</v>
      </c>
      <c r="C23" s="152">
        <f>B23+$C24</f>
        <v>50.5</v>
      </c>
      <c r="D23" s="152">
        <f>C23+$C24</f>
        <v>53</v>
      </c>
      <c r="E23" s="152">
        <f>D23+$C24</f>
        <v>55.5</v>
      </c>
      <c r="F23" s="152">
        <f>E23+$C24</f>
        <v>58</v>
      </c>
      <c r="G23" s="152">
        <f>F23+$C24</f>
        <v>60.5</v>
      </c>
      <c r="H23" s="151">
        <v>63</v>
      </c>
      <c r="J23" s="146" t="s">
        <v>65</v>
      </c>
      <c r="K23" s="146" t="s">
        <v>66</v>
      </c>
      <c r="L23" s="146"/>
      <c r="M23" s="9"/>
      <c r="N23" s="146" t="s">
        <v>66</v>
      </c>
      <c r="O23" s="146"/>
      <c r="P23" s="9"/>
      <c r="Q23" s="146" t="s">
        <v>66</v>
      </c>
      <c r="R23" s="146"/>
      <c r="T23" s="176" t="s">
        <v>66</v>
      </c>
      <c r="U23" s="178"/>
      <c r="W23" s="146" t="s">
        <v>66</v>
      </c>
      <c r="X23" s="146"/>
      <c r="Z23" s="146" t="s">
        <v>66</v>
      </c>
      <c r="AA23" s="146"/>
      <c r="AC23" s="146" t="s">
        <v>66</v>
      </c>
      <c r="AD23" s="146"/>
    </row>
    <row r="24" spans="1:31" ht="15" x14ac:dyDescent="0.25">
      <c r="A24" s="1"/>
      <c r="B24" s="34"/>
      <c r="C24" s="153">
        <f>(H23-B23)/6</f>
        <v>2.5</v>
      </c>
      <c r="D24" s="9"/>
      <c r="E24" s="9"/>
      <c r="G24" s="9"/>
      <c r="H24" s="9"/>
      <c r="J24" s="147">
        <v>2</v>
      </c>
      <c r="K24" s="154">
        <f>B23</f>
        <v>48</v>
      </c>
      <c r="L24" s="155">
        <f>L31</f>
        <v>0.63604829012155339</v>
      </c>
      <c r="M24" s="145"/>
      <c r="N24" s="154">
        <f>C23</f>
        <v>50.5</v>
      </c>
      <c r="O24" s="155">
        <f>O31</f>
        <v>0.66917580523205045</v>
      </c>
      <c r="P24" s="145"/>
      <c r="Q24" s="154">
        <f>D23</f>
        <v>53</v>
      </c>
      <c r="R24" s="155">
        <f>R31</f>
        <v>0.70230332034254872</v>
      </c>
      <c r="S24" s="145"/>
      <c r="T24" s="154">
        <f>E23</f>
        <v>55.5</v>
      </c>
      <c r="U24" s="179">
        <f>U31</f>
        <v>0.73543083545304577</v>
      </c>
      <c r="V24" s="145"/>
      <c r="W24" s="154">
        <f>F23</f>
        <v>58</v>
      </c>
      <c r="X24" s="155">
        <f>X31</f>
        <v>0.76855835056354271</v>
      </c>
      <c r="Y24" s="145"/>
      <c r="Z24" s="154">
        <f>G23</f>
        <v>60.5</v>
      </c>
      <c r="AA24" s="155">
        <f>AA31</f>
        <v>0.80168586567404043</v>
      </c>
      <c r="AB24" s="145"/>
      <c r="AC24" s="154">
        <f>H23</f>
        <v>63</v>
      </c>
      <c r="AD24" s="155">
        <f>AD31</f>
        <v>0.83481338078453726</v>
      </c>
    </row>
    <row r="25" spans="1:31" ht="15" x14ac:dyDescent="0.25">
      <c r="A25" s="1"/>
      <c r="B25" s="151">
        <v>778.3</v>
      </c>
      <c r="C25" s="152">
        <f>B25+$C26</f>
        <v>815.25</v>
      </c>
      <c r="D25" s="152">
        <f>C25+$C26</f>
        <v>852.2</v>
      </c>
      <c r="E25" s="152">
        <f>D25+$C26</f>
        <v>889.15000000000009</v>
      </c>
      <c r="F25" s="152">
        <f>E25+$C26</f>
        <v>926.10000000000014</v>
      </c>
      <c r="G25" s="152">
        <f>F25+$C26</f>
        <v>963.05000000000018</v>
      </c>
      <c r="H25" s="151">
        <v>1000</v>
      </c>
      <c r="J25" s="147">
        <v>40</v>
      </c>
      <c r="K25" s="154">
        <f>B25</f>
        <v>778.3</v>
      </c>
      <c r="L25" s="155">
        <f>L34</f>
        <v>0.56001541228268059</v>
      </c>
      <c r="M25" s="145"/>
      <c r="N25" s="154">
        <f>C25</f>
        <v>815.25</v>
      </c>
      <c r="O25" s="155">
        <f>O34</f>
        <v>0.58768211806022652</v>
      </c>
      <c r="P25" s="145"/>
      <c r="Q25" s="154">
        <f>D25</f>
        <v>852.2</v>
      </c>
      <c r="R25" s="155">
        <f>R34</f>
        <v>0.61534882383777278</v>
      </c>
      <c r="S25" s="145"/>
      <c r="T25" s="154">
        <f>E25</f>
        <v>889.15000000000009</v>
      </c>
      <c r="U25" s="166">
        <f>U34</f>
        <v>0.6430155296153186</v>
      </c>
      <c r="V25" s="145"/>
      <c r="W25" s="154">
        <f>F25</f>
        <v>926.10000000000014</v>
      </c>
      <c r="X25" s="155">
        <f>X34</f>
        <v>0.67068223539286453</v>
      </c>
      <c r="Y25" s="145"/>
      <c r="Z25" s="154">
        <f>G25</f>
        <v>963.05000000000018</v>
      </c>
      <c r="AA25" s="155">
        <f>AA34</f>
        <v>0.69834894117041069</v>
      </c>
      <c r="AB25" s="145"/>
      <c r="AC25" s="154">
        <f>H25</f>
        <v>1000</v>
      </c>
      <c r="AD25" s="102">
        <f>AD34</f>
        <v>0.72601564694795628</v>
      </c>
    </row>
    <row r="26" spans="1:31" x14ac:dyDescent="0.2">
      <c r="A26" s="1"/>
      <c r="B26" s="150"/>
      <c r="C26" s="153">
        <f>(H25-B25)/6</f>
        <v>36.95000000000001</v>
      </c>
      <c r="D26" s="9"/>
      <c r="F26" s="9"/>
      <c r="G26" s="9"/>
      <c r="J26" s="82"/>
      <c r="K26" s="82"/>
      <c r="L26" s="102">
        <f>L38</f>
        <v>0.51566290021000472</v>
      </c>
      <c r="N26" s="82"/>
      <c r="O26" s="102">
        <f>O38</f>
        <v>0.54014413387666249</v>
      </c>
      <c r="Q26" s="82"/>
      <c r="R26" s="102">
        <f>R38</f>
        <v>0.56462536754332016</v>
      </c>
      <c r="T26" s="82"/>
      <c r="U26" s="166">
        <f>U38</f>
        <v>0.58910660120997782</v>
      </c>
      <c r="W26" s="82"/>
      <c r="X26" s="102">
        <f>X38</f>
        <v>0.6135878348766356</v>
      </c>
      <c r="Z26" s="82"/>
      <c r="AA26" s="102">
        <f>AA38</f>
        <v>0.63806906854329337</v>
      </c>
      <c r="AC26" s="82"/>
      <c r="AD26" s="102">
        <f>AD38</f>
        <v>0.66255030220995093</v>
      </c>
    </row>
    <row r="27" spans="1:31" x14ac:dyDescent="0.2">
      <c r="A27" s="1" t="s">
        <v>22</v>
      </c>
      <c r="J27" s="82"/>
      <c r="K27" s="148" cm="1">
        <f t="array" ref="K27">_xlfn.SINGLE(INDEX(LINEST(K24:K25,($J24:$J25)^{1}),1))</f>
        <v>19.218421052631577</v>
      </c>
      <c r="L27" s="82"/>
      <c r="N27" s="148" cm="1">
        <f t="array" ref="N27">_xlfn.SINGLE(INDEX(LINEST(N24:N25,($J24:$J25)^{1}),1))</f>
        <v>20.125</v>
      </c>
      <c r="O27" s="82"/>
      <c r="Q27" s="148" cm="1">
        <f t="array" ref="Q27">_xlfn.SINGLE(INDEX(LINEST(Q24:Q25,($J24:$J25)^{1}),1))</f>
        <v>21.03157894736842</v>
      </c>
      <c r="R27" s="82"/>
      <c r="T27" s="148" cm="1">
        <f t="array" ref="T27">_xlfn.SINGLE(INDEX(LINEST(T24:T25,($J24:$J25)^{1}),1))</f>
        <v>21.938157894736843</v>
      </c>
      <c r="U27" s="82"/>
      <c r="W27" s="148" cm="1">
        <f t="array" ref="W27">_xlfn.SINGLE(INDEX(LINEST(W24:W25,($J24:$J25)^{1}),1))</f>
        <v>22.844736842105267</v>
      </c>
      <c r="X27" s="82"/>
      <c r="Z27" s="148" cm="1">
        <f t="array" ref="Z27">_xlfn.SINGLE(INDEX(LINEST(Z24:Z25,($J24:$J25)^{1}),1))</f>
        <v>23.75131578947369</v>
      </c>
      <c r="AA27" s="82"/>
      <c r="AC27" s="148" cm="1">
        <f t="array" ref="AC27">_xlfn.SINGLE(INDEX(LINEST(AC24:AC25,($J24:$J25)^{1}),1))</f>
        <v>24.657894736842106</v>
      </c>
      <c r="AD27" s="82"/>
    </row>
    <row r="28" spans="1:31" x14ac:dyDescent="0.2">
      <c r="A28" s="33"/>
      <c r="B28" s="161" t="s">
        <v>69</v>
      </c>
      <c r="C28" s="162" t="s">
        <v>71</v>
      </c>
      <c r="J28" s="82"/>
      <c r="K28" s="148" cm="1">
        <f t="array" ref="K28">INDEX(LINEST(K24:K25,($J24:$J25)^{1}),1,2)</f>
        <v>9.5631578947368894</v>
      </c>
      <c r="L28" s="82"/>
      <c r="N28" s="148" cm="1">
        <f t="array" ref="N28">INDEX(LINEST(N24:N25,($J24:$J25)^{1}),1,2)</f>
        <v>10.25</v>
      </c>
      <c r="O28" s="82"/>
      <c r="Q28" s="148" cm="1">
        <f t="array" ref="Q28">INDEX(LINEST(Q24:Q25,($J24:$J25)^{1}),1,2)</f>
        <v>10.936842105263224</v>
      </c>
      <c r="R28" s="82"/>
      <c r="T28" s="148" cm="1">
        <f t="array" ref="T28">INDEX(LINEST(T24:T25,($J24:$J25)^{1}),1,2)</f>
        <v>11.623684210526335</v>
      </c>
      <c r="U28" s="82"/>
      <c r="W28" s="148" cm="1">
        <f t="array" ref="W28">INDEX(LINEST(W24:W25,($J24:$J25)^{1}),1,2)</f>
        <v>12.310526315789446</v>
      </c>
      <c r="X28" s="82"/>
      <c r="Z28" s="148" cm="1">
        <f t="array" ref="Z28">INDEX(LINEST(Z24:Z25,($J24:$J25)^{1}),1,2)</f>
        <v>12.997368421052613</v>
      </c>
      <c r="AA28" s="82"/>
      <c r="AC28" s="148" cm="1">
        <f t="array" ref="AC28">INDEX(LINEST(AC24:AC25,($J24:$J25)^{1}),1,2)</f>
        <v>13.684210526315724</v>
      </c>
      <c r="AD28" s="82"/>
    </row>
    <row r="29" spans="1:31" x14ac:dyDescent="0.2">
      <c r="A29" s="33"/>
      <c r="J29" s="82"/>
      <c r="K29" s="82"/>
      <c r="L29" s="18" t="s">
        <v>4</v>
      </c>
      <c r="N29" s="82"/>
      <c r="O29" s="18" t="s">
        <v>4</v>
      </c>
      <c r="Q29" s="82"/>
      <c r="R29" s="18" t="s">
        <v>4</v>
      </c>
      <c r="T29" s="82"/>
      <c r="U29" s="18" t="s">
        <v>4</v>
      </c>
      <c r="W29" s="82"/>
      <c r="X29" s="18" t="s">
        <v>4</v>
      </c>
      <c r="Z29" s="82"/>
      <c r="AA29" s="18" t="s">
        <v>4</v>
      </c>
      <c r="AC29" s="82"/>
      <c r="AD29" s="18" t="s">
        <v>4</v>
      </c>
    </row>
    <row r="30" spans="1:31" x14ac:dyDescent="0.2">
      <c r="J30" s="16">
        <v>1</v>
      </c>
      <c r="K30" s="149">
        <f>(K27*$J30)+K28</f>
        <v>28.781578947368466</v>
      </c>
      <c r="L30" s="163">
        <v>0.76276975318634155</v>
      </c>
      <c r="N30" s="149">
        <f>(N27*$J30)+N28</f>
        <v>30.375</v>
      </c>
      <c r="O30" s="163">
        <v>0.80499861718509036</v>
      </c>
      <c r="Q30" s="149">
        <f>(Q27*$J30)+Q28</f>
        <v>31.968421052631644</v>
      </c>
      <c r="R30" s="163">
        <v>0.84722748118384206</v>
      </c>
      <c r="T30" s="149">
        <f>(T27*$J30)+T28</f>
        <v>33.561842105263182</v>
      </c>
      <c r="U30" s="181">
        <v>0.88945634518259098</v>
      </c>
      <c r="V30" s="182">
        <v>0.81299999999999994</v>
      </c>
      <c r="W30" s="149">
        <f>(W27*$J30)+W28</f>
        <v>35.155263157894709</v>
      </c>
      <c r="X30" s="163">
        <v>0.93168520918133968</v>
      </c>
      <c r="Z30" s="149">
        <f>(Z27*$J30)+Z28</f>
        <v>36.748684210526307</v>
      </c>
      <c r="AA30" s="163">
        <v>0.97391407318009016</v>
      </c>
      <c r="AC30" s="149">
        <f>(AC27*$J30)+AC28</f>
        <v>38.342105263157833</v>
      </c>
      <c r="AD30" s="163">
        <v>1.0161429371788389</v>
      </c>
      <c r="AE30" s="160">
        <f>AC30/K30</f>
        <v>1.3321751851513171</v>
      </c>
    </row>
    <row r="31" spans="1:31" x14ac:dyDescent="0.2">
      <c r="A31" s="19"/>
      <c r="G31" s="9"/>
      <c r="H31" s="14"/>
      <c r="J31" s="26">
        <v>2</v>
      </c>
      <c r="K31" s="165">
        <f>(K27*$J31)+K28</f>
        <v>48.000000000000043</v>
      </c>
      <c r="L31" s="164">
        <v>0.63604829012155339</v>
      </c>
      <c r="N31" s="165">
        <f>(N27*$J31)+N28</f>
        <v>50.5</v>
      </c>
      <c r="O31" s="164">
        <v>0.66917580523205045</v>
      </c>
      <c r="Q31" s="165">
        <f>(Q27*$J31)+Q28</f>
        <v>53.000000000000064</v>
      </c>
      <c r="R31" s="164">
        <v>0.70230332034254872</v>
      </c>
      <c r="T31" s="165">
        <f>(T27*$J31)+T28</f>
        <v>55.500000000000021</v>
      </c>
      <c r="U31" s="164">
        <v>0.73543083545304577</v>
      </c>
      <c r="W31" s="165">
        <f>(W27*$J31)+W28</f>
        <v>57.999999999999979</v>
      </c>
      <c r="X31" s="164">
        <v>0.76855835056354271</v>
      </c>
      <c r="Z31" s="165">
        <f>(Z27*$J31)+Z28</f>
        <v>60.499999999999993</v>
      </c>
      <c r="AA31" s="164">
        <v>0.80168586567404043</v>
      </c>
      <c r="AC31" s="165">
        <f>(AC27*$J31)+AC28</f>
        <v>62.999999999999936</v>
      </c>
      <c r="AD31" s="164">
        <v>0.83481338078453726</v>
      </c>
      <c r="AE31" s="160">
        <f t="shared" ref="AE31:AE39" si="3">AC31/K31</f>
        <v>1.3124999999999976</v>
      </c>
    </row>
    <row r="32" spans="1:31" x14ac:dyDescent="0.2">
      <c r="J32" s="16">
        <v>3</v>
      </c>
      <c r="K32" s="149">
        <f>(K27*$J32)+K28</f>
        <v>67.218421052631612</v>
      </c>
      <c r="L32" s="163">
        <v>0.59380780243329068</v>
      </c>
      <c r="N32" s="149">
        <f>(N27*$J32)+N28</f>
        <v>70.625</v>
      </c>
      <c r="O32" s="163">
        <v>0.62390153458103703</v>
      </c>
      <c r="Q32" s="149">
        <f>(Q27*$J32)+Q28</f>
        <v>74.031578947368487</v>
      </c>
      <c r="R32" s="163">
        <v>0.65399526672878439</v>
      </c>
      <c r="T32" s="149">
        <f>(T27*$J32)+T28</f>
        <v>77.438157894736861</v>
      </c>
      <c r="U32" s="163">
        <v>0.68408899887653074</v>
      </c>
      <c r="W32" s="149">
        <f>(W27*$J32)+W28</f>
        <v>80.844736842105249</v>
      </c>
      <c r="X32" s="163">
        <v>0.71418273102427721</v>
      </c>
      <c r="Z32" s="149">
        <f>(Z27*$J32)+Z28</f>
        <v>84.251315789473679</v>
      </c>
      <c r="AA32" s="163">
        <v>0.74427646317202389</v>
      </c>
      <c r="AC32" s="149">
        <f>(AC27*$J32)+AC28</f>
        <v>87.657894736842039</v>
      </c>
      <c r="AD32" s="163">
        <v>0.77437019531977003</v>
      </c>
      <c r="AE32" s="160">
        <f t="shared" si="3"/>
        <v>1.3040754805621877</v>
      </c>
    </row>
    <row r="33" spans="1:31" x14ac:dyDescent="0.2">
      <c r="B33" s="29"/>
      <c r="C33" s="9"/>
      <c r="E33" s="9"/>
      <c r="F33" s="9"/>
      <c r="G33" s="17"/>
      <c r="H33" s="9"/>
      <c r="I33" s="9"/>
      <c r="J33" s="16">
        <v>4</v>
      </c>
      <c r="K33" s="149">
        <f>(K27*$J33)+K28</f>
        <v>86.436842105263196</v>
      </c>
      <c r="L33" s="163">
        <v>0.57268755858915932</v>
      </c>
      <c r="N33" s="149">
        <f>(N27*$J33)+N28</f>
        <v>90.75</v>
      </c>
      <c r="O33" s="163">
        <v>0.60126439925553044</v>
      </c>
      <c r="Q33" s="149">
        <f>(Q27*$J33)+Q28</f>
        <v>95.063157894736904</v>
      </c>
      <c r="R33" s="163">
        <v>0.62984123992190211</v>
      </c>
      <c r="T33" s="149">
        <f>(T27*$J33)+T28</f>
        <v>99.376315789473708</v>
      </c>
      <c r="U33" s="163">
        <v>0.65841808058827322</v>
      </c>
      <c r="W33" s="149">
        <f>(W27*$J33)+W28</f>
        <v>103.68947368421051</v>
      </c>
      <c r="X33" s="163">
        <v>0.68699492125464423</v>
      </c>
      <c r="Z33" s="149">
        <f>(Z27*$J33)+Z28</f>
        <v>108.00263157894737</v>
      </c>
      <c r="AA33" s="163">
        <v>0.71557176192101568</v>
      </c>
      <c r="AC33" s="149">
        <f>(AC27*$J33)+AC28</f>
        <v>112.31578947368415</v>
      </c>
      <c r="AD33" s="163">
        <v>0.74414860258738647</v>
      </c>
      <c r="AE33" s="160">
        <f t="shared" si="3"/>
        <v>1.2993971868720684</v>
      </c>
    </row>
    <row r="34" spans="1:31" x14ac:dyDescent="0.2">
      <c r="E34" s="34"/>
      <c r="F34" s="9"/>
      <c r="G34" s="14"/>
      <c r="H34" s="9"/>
      <c r="I34" s="9"/>
      <c r="J34" s="26">
        <v>5</v>
      </c>
      <c r="K34" s="165">
        <f>(K27*$J34)+K28</f>
        <v>105.65526315789478</v>
      </c>
      <c r="L34" s="164">
        <v>0.56001541228268059</v>
      </c>
      <c r="N34" s="165">
        <f>(N27*$J34)+N28</f>
        <v>110.875</v>
      </c>
      <c r="O34" s="164">
        <v>0.58768211806022652</v>
      </c>
      <c r="Q34" s="165">
        <f>(Q27*$J34)+Q28</f>
        <v>116.09473684210532</v>
      </c>
      <c r="R34" s="164">
        <v>0.61534882383777278</v>
      </c>
      <c r="T34" s="165">
        <f>(T27*$J34)+T28</f>
        <v>121.31447368421055</v>
      </c>
      <c r="U34" s="164">
        <v>0.6430155296153186</v>
      </c>
      <c r="W34" s="165">
        <f>(W27*$J34)+W28</f>
        <v>126.53421052631577</v>
      </c>
      <c r="X34" s="164">
        <v>0.67068223539286453</v>
      </c>
      <c r="Z34" s="165">
        <f>(Z27*$J34)+Z28</f>
        <v>131.75394736842105</v>
      </c>
      <c r="AA34" s="164">
        <v>0.69834894117041069</v>
      </c>
      <c r="AC34" s="165">
        <f>(AC27*$J34)+AC28</f>
        <v>136.97368421052624</v>
      </c>
      <c r="AD34" s="164">
        <v>0.72601564694795628</v>
      </c>
      <c r="AE34" s="160">
        <f t="shared" si="3"/>
        <v>1.2964208323993114</v>
      </c>
    </row>
    <row r="35" spans="1:31" x14ac:dyDescent="0.2">
      <c r="F35" s="9"/>
      <c r="G35" s="9"/>
      <c r="H35" s="48"/>
      <c r="I35" s="9"/>
      <c r="J35" s="16">
        <v>10</v>
      </c>
      <c r="K35" s="149">
        <f>(K27*$J35)+K28</f>
        <v>201.74736842105267</v>
      </c>
      <c r="L35" s="163">
        <v>0.53467111966972303</v>
      </c>
      <c r="N35" s="149">
        <f>(N27*$J35)+N28</f>
        <v>211.5</v>
      </c>
      <c r="O35" s="163">
        <v>0.56051755566961836</v>
      </c>
      <c r="Q35" s="149">
        <f>(Q27*$J35)+Q28</f>
        <v>221.25263157894742</v>
      </c>
      <c r="R35" s="163">
        <v>0.58636399166951414</v>
      </c>
      <c r="T35" s="149">
        <f>(T27*$J35)+T28</f>
        <v>231.00526315789477</v>
      </c>
      <c r="U35" s="163">
        <v>0.6122104276694097</v>
      </c>
      <c r="W35" s="149">
        <f>(W27*$J35)+W28</f>
        <v>240.7578947368421</v>
      </c>
      <c r="X35" s="163">
        <v>0.63805686366930514</v>
      </c>
      <c r="Z35" s="149">
        <f>(Z27*$J35)+Z28</f>
        <v>250.51052631578952</v>
      </c>
      <c r="AA35" s="163">
        <v>0.66390329966920081</v>
      </c>
      <c r="AC35" s="149">
        <f>(AC27*$J35)+AC28</f>
        <v>260.26315789473676</v>
      </c>
      <c r="AD35" s="163">
        <v>0.68974973566909603</v>
      </c>
      <c r="AE35" s="160">
        <f t="shared" si="3"/>
        <v>1.2900448711259516</v>
      </c>
    </row>
    <row r="36" spans="1:31" x14ac:dyDescent="0.2">
      <c r="I36" s="9"/>
      <c r="J36" s="16">
        <v>20</v>
      </c>
      <c r="K36" s="149">
        <f>(K27*$J36)+K28</f>
        <v>393.93157894736845</v>
      </c>
      <c r="L36" s="163">
        <v>0.52199897336324419</v>
      </c>
      <c r="N36" s="149">
        <f>(N27*$J36)+N28</f>
        <v>412.75</v>
      </c>
      <c r="O36" s="163">
        <v>0.54693527447431445</v>
      </c>
      <c r="Q36" s="149">
        <f>(Q27*$J36)+Q28</f>
        <v>431.56842105263161</v>
      </c>
      <c r="R36" s="163">
        <v>0.57187157558538471</v>
      </c>
      <c r="T36" s="149">
        <f>(T27*$J36)+T28</f>
        <v>450.38684210526321</v>
      </c>
      <c r="U36" s="163">
        <v>0.59680787669645508</v>
      </c>
      <c r="W36" s="149">
        <f>(W27*$J36)+W28</f>
        <v>469.20526315789476</v>
      </c>
      <c r="X36" s="163">
        <v>0.62174417780752533</v>
      </c>
      <c r="Z36" s="149">
        <f>(Z27*$J36)+Z28</f>
        <v>488.02368421052643</v>
      </c>
      <c r="AA36" s="163">
        <v>0.64668047891859581</v>
      </c>
      <c r="AC36" s="149">
        <f>(AC27*$J36)+AC28</f>
        <v>506.84210526315786</v>
      </c>
      <c r="AD36" s="163">
        <v>0.67161678002966596</v>
      </c>
      <c r="AE36" s="160">
        <f t="shared" si="3"/>
        <v>1.2866247144174114</v>
      </c>
    </row>
    <row r="37" spans="1:31" x14ac:dyDescent="0.2">
      <c r="I37" s="9"/>
      <c r="J37" s="16">
        <v>30</v>
      </c>
      <c r="K37" s="149">
        <f>(K27*$J37)+K28</f>
        <v>586.11578947368412</v>
      </c>
      <c r="L37" s="163">
        <v>0.51777492459441787</v>
      </c>
      <c r="N37" s="149">
        <f>(N27*$J37)+N28</f>
        <v>614</v>
      </c>
      <c r="O37" s="163">
        <v>0.54240784740921311</v>
      </c>
      <c r="Q37" s="149">
        <f>(Q27*$J37)+Q28</f>
        <v>641.88421052631588</v>
      </c>
      <c r="R37" s="163">
        <v>0.56704077022400845</v>
      </c>
      <c r="T37" s="149">
        <f>(T27*$J37)+T28</f>
        <v>669.76842105263165</v>
      </c>
      <c r="U37" s="163">
        <v>0.59167369303880357</v>
      </c>
      <c r="W37" s="149">
        <f>(W27*$J37)+W28</f>
        <v>697.65263157894742</v>
      </c>
      <c r="X37" s="163">
        <v>0.61630661585359892</v>
      </c>
      <c r="Z37" s="149">
        <f>(Z27*$J37)+Z28</f>
        <v>725.5368421052633</v>
      </c>
      <c r="AA37" s="163">
        <v>0.64093953866839415</v>
      </c>
      <c r="AC37" s="149">
        <f>(AC27*$J37)+AC28</f>
        <v>753.42105263157896</v>
      </c>
      <c r="AD37" s="163">
        <v>0.66557246148318927</v>
      </c>
      <c r="AE37" s="160">
        <f t="shared" si="3"/>
        <v>1.2854474596361418</v>
      </c>
    </row>
    <row r="38" spans="1:31" x14ac:dyDescent="0.2">
      <c r="I38" s="9"/>
      <c r="J38" s="26">
        <v>40</v>
      </c>
      <c r="K38" s="165">
        <f>(K27*$J38)+K28</f>
        <v>778.3</v>
      </c>
      <c r="L38" s="164">
        <v>0.51566290021000472</v>
      </c>
      <c r="N38" s="165">
        <f>(N27*$J38)+N28</f>
        <v>815.25</v>
      </c>
      <c r="O38" s="164">
        <v>0.54014413387666249</v>
      </c>
      <c r="Q38" s="165">
        <f>(Q27*$J38)+Q28</f>
        <v>852.2</v>
      </c>
      <c r="R38" s="164">
        <v>0.56462536754332016</v>
      </c>
      <c r="T38" s="165">
        <f>(T27*$J38)+T28</f>
        <v>889.15000000000009</v>
      </c>
      <c r="U38" s="164">
        <v>0.58910660120997782</v>
      </c>
      <c r="W38" s="165">
        <f>(W27*$J38)+W28</f>
        <v>926.10000000000014</v>
      </c>
      <c r="X38" s="164">
        <v>0.6135878348766356</v>
      </c>
      <c r="Z38" s="165">
        <f>(Z27*$J38)+Z28</f>
        <v>963.05000000000018</v>
      </c>
      <c r="AA38" s="164">
        <v>0.63806906854329337</v>
      </c>
      <c r="AC38" s="165">
        <f>(AC27*$J38)+AC28</f>
        <v>1000</v>
      </c>
      <c r="AD38" s="164">
        <v>0.66255030220995093</v>
      </c>
      <c r="AE38" s="160">
        <f t="shared" si="3"/>
        <v>1.2848515996402416</v>
      </c>
    </row>
    <row r="39" spans="1:31" x14ac:dyDescent="0.2">
      <c r="I39" s="16"/>
      <c r="J39" s="16">
        <v>50</v>
      </c>
      <c r="K39" s="149">
        <f>(K27*$J39)+K28</f>
        <v>970.48421052631579</v>
      </c>
      <c r="L39" s="163">
        <v>0.51439568557935689</v>
      </c>
      <c r="N39" s="149">
        <f>(N27*$J39)+N28</f>
        <v>1016.5</v>
      </c>
      <c r="O39" s="163">
        <v>0.53878590575713203</v>
      </c>
      <c r="Q39" s="149">
        <f>(Q27*$J39)+Q28</f>
        <v>1062.5157894736842</v>
      </c>
      <c r="R39" s="163">
        <v>0.56317612593490729</v>
      </c>
      <c r="T39" s="149">
        <f>(T27*$J39)+T28</f>
        <v>1108.5315789473684</v>
      </c>
      <c r="U39" s="163">
        <v>0.58756634611268244</v>
      </c>
      <c r="W39" s="149">
        <f>(W27*$J39)+W28</f>
        <v>1154.5473684210529</v>
      </c>
      <c r="X39" s="163">
        <v>0.61195656629045758</v>
      </c>
      <c r="Z39" s="149">
        <f>(Z27*$J39)+Z28</f>
        <v>1200.5631578947371</v>
      </c>
      <c r="AA39" s="163">
        <v>0.63634678646823284</v>
      </c>
      <c r="AC39" s="149">
        <f>(AC27*$J39)+AC28</f>
        <v>1246.5789473684208</v>
      </c>
      <c r="AD39" s="163">
        <v>0.66073700664600776</v>
      </c>
      <c r="AE39" s="160">
        <f t="shared" si="3"/>
        <v>1.284491734999349</v>
      </c>
    </row>
    <row r="40" spans="1:31" x14ac:dyDescent="0.2">
      <c r="I40" s="9"/>
      <c r="N40" s="172">
        <f>N38/K38</f>
        <v>1.0474752666067071</v>
      </c>
      <c r="O40" s="173"/>
      <c r="P40" s="173"/>
      <c r="Q40" s="172">
        <f>Q38/N38</f>
        <v>1.0453235203925177</v>
      </c>
      <c r="R40" s="173"/>
      <c r="S40" s="173"/>
      <c r="T40" s="172">
        <f>T38/Q38</f>
        <v>1.043358366580615</v>
      </c>
      <c r="U40" s="173"/>
      <c r="V40" s="173"/>
      <c r="W40" s="172">
        <f>W38/T38</f>
        <v>1.0415565427655626</v>
      </c>
      <c r="X40" s="173"/>
      <c r="Y40" s="173"/>
      <c r="Z40" s="172">
        <f>Z38/W38</f>
        <v>1.0398984990821727</v>
      </c>
      <c r="AA40" s="173"/>
      <c r="AB40" s="173"/>
      <c r="AC40" s="172">
        <f>AC38/Z38</f>
        <v>1.0383676859976116</v>
      </c>
    </row>
    <row r="41" spans="1:31" x14ac:dyDescent="0.2">
      <c r="I41" s="9"/>
      <c r="K41" s="174"/>
      <c r="L41" s="174"/>
      <c r="M41" s="174"/>
      <c r="N41" s="175"/>
      <c r="O41" s="174"/>
      <c r="P41" s="174"/>
      <c r="Q41" s="175"/>
      <c r="R41" s="174"/>
      <c r="S41" s="174"/>
      <c r="T41" s="175"/>
      <c r="U41" s="174"/>
      <c r="V41" s="174"/>
      <c r="W41" s="175"/>
      <c r="X41" s="174"/>
      <c r="Y41" s="174"/>
      <c r="AA41" s="174"/>
      <c r="AB41" s="174"/>
      <c r="AC41" s="175"/>
      <c r="AD41" s="174"/>
    </row>
    <row r="42" spans="1:31" x14ac:dyDescent="0.2">
      <c r="I42" s="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</row>
    <row r="43" spans="1:31" x14ac:dyDescent="0.2">
      <c r="I43" s="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80" t="s">
        <v>102</v>
      </c>
      <c r="V43" s="174"/>
      <c r="W43" s="174"/>
      <c r="X43" s="174"/>
      <c r="Y43" s="174"/>
      <c r="Z43" s="174"/>
      <c r="AA43" s="174"/>
      <c r="AB43" s="174"/>
      <c r="AC43" s="174"/>
      <c r="AD43" s="174"/>
    </row>
    <row r="44" spans="1:31" ht="15" x14ac:dyDescent="0.25">
      <c r="A44" s="159"/>
      <c r="B44" s="151">
        <v>48</v>
      </c>
      <c r="C44" s="152">
        <f>B44+$C45</f>
        <v>50.5</v>
      </c>
      <c r="D44" s="152">
        <f>C44+$C45</f>
        <v>53</v>
      </c>
      <c r="E44" s="152">
        <f>D44+$C45</f>
        <v>55.5</v>
      </c>
      <c r="F44" s="152">
        <f>E44+$C45</f>
        <v>58</v>
      </c>
      <c r="G44" s="152">
        <f>F44+$C45</f>
        <v>60.5</v>
      </c>
      <c r="H44" s="151">
        <v>63</v>
      </c>
      <c r="J44" s="146" t="s">
        <v>65</v>
      </c>
      <c r="K44" s="146" t="s">
        <v>66</v>
      </c>
      <c r="L44" s="146"/>
      <c r="M44" s="9"/>
      <c r="N44" s="146" t="s">
        <v>66</v>
      </c>
      <c r="O44" s="146"/>
      <c r="P44" s="9"/>
      <c r="Q44" s="146" t="s">
        <v>66</v>
      </c>
      <c r="R44" s="146"/>
      <c r="T44" s="176" t="s">
        <v>66</v>
      </c>
      <c r="U44" s="178"/>
      <c r="W44" s="146" t="s">
        <v>66</v>
      </c>
      <c r="X44" s="146"/>
      <c r="Z44" s="146" t="s">
        <v>66</v>
      </c>
      <c r="AA44" s="146"/>
      <c r="AC44" s="146" t="s">
        <v>66</v>
      </c>
      <c r="AD44" s="146"/>
    </row>
    <row r="45" spans="1:31" ht="15" x14ac:dyDescent="0.25">
      <c r="B45" s="34"/>
      <c r="C45" s="153">
        <f>(H44-B44)/6</f>
        <v>2.5</v>
      </c>
      <c r="D45" s="9"/>
      <c r="E45" s="9"/>
      <c r="G45" s="9"/>
      <c r="H45" s="9"/>
      <c r="J45" s="147">
        <v>2</v>
      </c>
      <c r="K45" s="154">
        <f>B44</f>
        <v>48</v>
      </c>
      <c r="L45" s="155">
        <f>L52</f>
        <v>0.63604829012155362</v>
      </c>
      <c r="M45" s="145"/>
      <c r="N45" s="154">
        <f>C44</f>
        <v>50.5</v>
      </c>
      <c r="O45" s="155">
        <f>O52</f>
        <v>0.66917580523205045</v>
      </c>
      <c r="P45" s="145"/>
      <c r="Q45" s="154">
        <f>D44</f>
        <v>53</v>
      </c>
      <c r="R45" s="155">
        <f>R52</f>
        <v>0.70230332034254728</v>
      </c>
      <c r="S45" s="145"/>
      <c r="T45" s="154">
        <f>E44</f>
        <v>55.5</v>
      </c>
      <c r="U45" s="179">
        <f>U52</f>
        <v>0.73543083545304688</v>
      </c>
      <c r="V45" s="145"/>
      <c r="W45" s="154">
        <f>F44</f>
        <v>58</v>
      </c>
      <c r="X45" s="155">
        <f>X52</f>
        <v>0.76855835056354105</v>
      </c>
      <c r="Y45" s="145"/>
      <c r="Z45" s="154">
        <f>G44</f>
        <v>60.5</v>
      </c>
      <c r="AA45" s="155">
        <f>AA52</f>
        <v>0.80168586567403988</v>
      </c>
      <c r="AB45" s="145"/>
      <c r="AC45" s="154">
        <f>H44</f>
        <v>63</v>
      </c>
      <c r="AD45" s="155">
        <f>AD52</f>
        <v>0.83481338078453748</v>
      </c>
    </row>
    <row r="46" spans="1:31" ht="15" x14ac:dyDescent="0.25">
      <c r="B46" s="151">
        <v>825</v>
      </c>
      <c r="C46" s="152">
        <f>B46+$C47</f>
        <v>864.16666666666663</v>
      </c>
      <c r="D46" s="152">
        <f>C46+$C47</f>
        <v>903.33333333333326</v>
      </c>
      <c r="E46" s="152">
        <f>D46+$C47</f>
        <v>942.49999999999989</v>
      </c>
      <c r="F46" s="152">
        <f>E46+$C47</f>
        <v>981.66666666666652</v>
      </c>
      <c r="G46" s="152">
        <f>F46+$C47</f>
        <v>1020.8333333333331</v>
      </c>
      <c r="H46" s="151">
        <v>1060</v>
      </c>
      <c r="J46" s="147">
        <v>40</v>
      </c>
      <c r="K46" s="154">
        <f>B46</f>
        <v>825</v>
      </c>
      <c r="L46" s="155">
        <f>L55</f>
        <v>0.57955715909102046</v>
      </c>
      <c r="M46" s="145"/>
      <c r="N46" s="154">
        <f>C46</f>
        <v>864.16666666666663</v>
      </c>
      <c r="O46" s="155">
        <f>O55</f>
        <v>0.60815143529166016</v>
      </c>
      <c r="P46" s="145"/>
      <c r="Q46" s="154">
        <f>D46</f>
        <v>903.33333333333326</v>
      </c>
      <c r="R46" s="155">
        <f>R55</f>
        <v>0.63674571149229997</v>
      </c>
      <c r="S46" s="145"/>
      <c r="T46" s="154">
        <f>E46</f>
        <v>942.49999999999989</v>
      </c>
      <c r="U46" s="166">
        <f>U55</f>
        <v>0.665339987692941</v>
      </c>
      <c r="V46" s="145"/>
      <c r="W46" s="154">
        <f>F46</f>
        <v>981.66666666666652</v>
      </c>
      <c r="X46" s="155">
        <f>X55</f>
        <v>0.69393426389357937</v>
      </c>
      <c r="Y46" s="145"/>
      <c r="Z46" s="154">
        <f>G46</f>
        <v>1020.8333333333331</v>
      </c>
      <c r="AA46" s="155">
        <f>AA55</f>
        <v>0.72252854009421974</v>
      </c>
      <c r="AB46" s="145"/>
      <c r="AC46" s="154">
        <f>H46</f>
        <v>1060</v>
      </c>
      <c r="AD46" s="102">
        <f>AD55</f>
        <v>0.75112281629485977</v>
      </c>
    </row>
    <row r="47" spans="1:31" x14ac:dyDescent="0.2">
      <c r="B47" s="150"/>
      <c r="C47" s="153">
        <f>(H46-B46)/6</f>
        <v>39.166666666666664</v>
      </c>
      <c r="D47" s="9"/>
      <c r="F47" s="9"/>
      <c r="G47" s="9"/>
      <c r="J47" s="82"/>
      <c r="K47" s="82"/>
      <c r="L47" s="102">
        <f>L59</f>
        <v>0.54660399932320947</v>
      </c>
      <c r="N47" s="82"/>
      <c r="O47" s="102">
        <f>O59</f>
        <v>0.57255388615976588</v>
      </c>
      <c r="Q47" s="82"/>
      <c r="R47" s="102">
        <f>R59</f>
        <v>0.59850377299632229</v>
      </c>
      <c r="T47" s="82"/>
      <c r="U47" s="166">
        <f>U59</f>
        <v>0.62445365983287848</v>
      </c>
      <c r="W47" s="82"/>
      <c r="X47" s="102">
        <f>X59</f>
        <v>0.65040354666943512</v>
      </c>
      <c r="Z47" s="82"/>
      <c r="AA47" s="102">
        <f>AA59</f>
        <v>0.67635343350599131</v>
      </c>
      <c r="AC47" s="82"/>
      <c r="AD47" s="102">
        <f>AD59</f>
        <v>0.70230332034254794</v>
      </c>
    </row>
    <row r="48" spans="1:31" x14ac:dyDescent="0.2">
      <c r="B48" s="161" t="s">
        <v>68</v>
      </c>
      <c r="J48" s="82"/>
      <c r="K48" s="148" cm="1">
        <f t="array" ref="K48">_xlfn.SINGLE(INDEX(LINEST(K45:K46,($J45:$J46)^{1}),1))</f>
        <v>20.44736842105263</v>
      </c>
      <c r="L48" s="82"/>
      <c r="N48" s="148" cm="1">
        <f t="array" ref="N48">_xlfn.SINGLE(INDEX(LINEST(N45:N46,($J45:$J46)^{1}),1))</f>
        <v>21.412280701754383</v>
      </c>
      <c r="O48" s="82"/>
      <c r="Q48" s="148" cm="1">
        <f t="array" ref="Q48">_xlfn.SINGLE(INDEX(LINEST(Q45:Q46,($J45:$J46)^{1}),1))</f>
        <v>22.37719298245614</v>
      </c>
      <c r="R48" s="82"/>
      <c r="T48" s="148" cm="1">
        <f t="array" ref="T48">_xlfn.SINGLE(INDEX(LINEST(T45:T46,($J45:$J46)^{1}),1))</f>
        <v>23.342105263157887</v>
      </c>
      <c r="U48" s="82"/>
      <c r="W48" s="148" cm="1">
        <f t="array" ref="W48">_xlfn.SINGLE(INDEX(LINEST(W45:W46,($J45:$J46)^{1}),1))</f>
        <v>24.307017543859654</v>
      </c>
      <c r="X48" s="82"/>
      <c r="Z48" s="148" cm="1">
        <f t="array" ref="Z48">_xlfn.SINGLE(INDEX(LINEST(Z45:Z46,($J45:$J46)^{1}),1))</f>
        <v>25.271929824561397</v>
      </c>
      <c r="AA48" s="82"/>
      <c r="AC48" s="148" cm="1">
        <f t="array" ref="AC48">_xlfn.SINGLE(INDEX(LINEST(AC45:AC46,($J45:$J46)^{1}),1))</f>
        <v>26.236842105263158</v>
      </c>
      <c r="AD48" s="82"/>
    </row>
    <row r="49" spans="6:31" x14ac:dyDescent="0.2">
      <c r="J49" s="82"/>
      <c r="K49" s="148" cm="1">
        <f t="array" ref="K49">INDEX(LINEST(K45:K46,($J45:$J46)^{1}),1,2)</f>
        <v>7.1052631578947967</v>
      </c>
      <c r="L49" s="82"/>
      <c r="N49" s="148" cm="1">
        <f t="array" ref="N49">INDEX(LINEST(N45:N46,($J45:$J46)^{1}),1,2)</f>
        <v>7.6754385964912331</v>
      </c>
      <c r="O49" s="82"/>
      <c r="Q49" s="148" cm="1">
        <f t="array" ref="Q49">INDEX(LINEST(Q45:Q46,($J45:$J46)^{1}),1,2)</f>
        <v>8.2456140350876694</v>
      </c>
      <c r="R49" s="82"/>
      <c r="T49" s="148" cm="1">
        <f t="array" ref="T49">INDEX(LINEST(T45:T46,($J45:$J46)^{1}),1,2)</f>
        <v>8.8157894736843332</v>
      </c>
      <c r="U49" s="82"/>
      <c r="W49" s="148" cm="1">
        <f t="array" ref="W49">INDEX(LINEST(W45:W46,($J45:$J46)^{1}),1,2)</f>
        <v>9.3859649122805422</v>
      </c>
      <c r="X49" s="82"/>
      <c r="Z49" s="148" cm="1">
        <f t="array" ref="Z49">INDEX(LINEST(Z45:Z46,($J45:$J46)^{1}),1,2)</f>
        <v>9.9561403508771491</v>
      </c>
      <c r="AA49" s="82"/>
      <c r="AC49" s="148" cm="1">
        <f t="array" ref="AC49">INDEX(LINEST(AC45:AC46,($J45:$J46)^{1}),1,2)</f>
        <v>10.526315789473642</v>
      </c>
      <c r="AD49" s="82"/>
    </row>
    <row r="50" spans="6:31" x14ac:dyDescent="0.2">
      <c r="I50" s="8"/>
      <c r="J50" s="82"/>
      <c r="K50" s="82"/>
      <c r="L50" s="18" t="s">
        <v>4</v>
      </c>
      <c r="N50" s="82"/>
      <c r="O50" s="18" t="s">
        <v>4</v>
      </c>
      <c r="Q50" s="82"/>
      <c r="R50" s="18" t="s">
        <v>4</v>
      </c>
      <c r="T50" s="82"/>
      <c r="U50" s="18" t="s">
        <v>4</v>
      </c>
      <c r="W50" s="82"/>
      <c r="X50" s="18" t="s">
        <v>4</v>
      </c>
      <c r="Z50" s="82"/>
      <c r="AA50" s="18" t="s">
        <v>4</v>
      </c>
      <c r="AC50" s="82"/>
      <c r="AD50" s="18" t="s">
        <v>4</v>
      </c>
    </row>
    <row r="51" spans="6:31" x14ac:dyDescent="0.2">
      <c r="I51" s="8"/>
      <c r="J51" s="16">
        <v>1</v>
      </c>
      <c r="K51" s="149">
        <f>(K48*$J51)+K49</f>
        <v>27.552631578947427</v>
      </c>
      <c r="L51" s="163">
        <v>0.73020017517244218</v>
      </c>
      <c r="N51" s="149">
        <f>(N48*$J51)+N49</f>
        <v>29.087719298245617</v>
      </c>
      <c r="O51" s="163">
        <v>0.77088308846603415</v>
      </c>
      <c r="Q51" s="149">
        <f>(Q48*$J51)+Q49</f>
        <v>30.62280701754381</v>
      </c>
      <c r="R51" s="163">
        <v>0.81156600175962623</v>
      </c>
      <c r="T51" s="149">
        <f>(T48*$J51)+T49</f>
        <v>32.157894736842223</v>
      </c>
      <c r="U51" s="181">
        <v>0.8522489150532242</v>
      </c>
      <c r="V51" s="182">
        <v>0.81299999999999994</v>
      </c>
      <c r="W51" s="149">
        <f>(W48*$J51)+W49</f>
        <v>33.6929824561402</v>
      </c>
      <c r="X51" s="163">
        <v>0.89293182834681051</v>
      </c>
      <c r="Z51" s="149">
        <f>(Z48*$J51)+Z49</f>
        <v>35.228070175438546</v>
      </c>
      <c r="AA51" s="163">
        <v>0.93361474164040659</v>
      </c>
      <c r="AC51" s="149">
        <f>(AC48*$J51)+AC49</f>
        <v>36.7631578947368</v>
      </c>
      <c r="AD51" s="163">
        <v>0.97429765493400033</v>
      </c>
      <c r="AE51" s="160">
        <f>AC51/K51</f>
        <v>1.3342884431709603</v>
      </c>
    </row>
    <row r="52" spans="6:31" x14ac:dyDescent="0.2">
      <c r="G52" s="9"/>
      <c r="H52" s="30"/>
      <c r="I52" s="8"/>
      <c r="J52" s="26">
        <v>2</v>
      </c>
      <c r="K52" s="165">
        <f>(K48*$J52)+K49</f>
        <v>48.000000000000057</v>
      </c>
      <c r="L52" s="164">
        <v>0.63604829012155362</v>
      </c>
      <c r="N52" s="165">
        <f>(N48*$J52)+N49</f>
        <v>50.5</v>
      </c>
      <c r="O52" s="164">
        <v>0.66917580523205045</v>
      </c>
      <c r="Q52" s="165">
        <f>(Q48*$J52)+Q49</f>
        <v>52.99999999999995</v>
      </c>
      <c r="R52" s="164">
        <v>0.70230332034254728</v>
      </c>
      <c r="T52" s="165">
        <f>(T48*$J52)+T49</f>
        <v>55.500000000000107</v>
      </c>
      <c r="U52" s="164">
        <v>0.73543083545304688</v>
      </c>
      <c r="W52" s="165">
        <f>(W48*$J52)+W49</f>
        <v>57.999999999999851</v>
      </c>
      <c r="X52" s="164">
        <v>0.76855835056354105</v>
      </c>
      <c r="Z52" s="165">
        <f>(Z48*$J52)+Z49</f>
        <v>60.499999999999943</v>
      </c>
      <c r="AA52" s="164">
        <v>0.80168586567403988</v>
      </c>
      <c r="AC52" s="165">
        <f>(AC48*$J52)+AC49</f>
        <v>62.999999999999957</v>
      </c>
      <c r="AD52" s="164">
        <v>0.83481338078453748</v>
      </c>
      <c r="AE52" s="160">
        <f t="shared" ref="AE52:AE60" si="4">AC52/K52</f>
        <v>1.3124999999999976</v>
      </c>
    </row>
    <row r="53" spans="6:31" x14ac:dyDescent="0.2">
      <c r="H53" s="30"/>
      <c r="I53" s="8"/>
      <c r="J53" s="16">
        <v>3</v>
      </c>
      <c r="K53" s="149">
        <f>(K48*$J53)+K49</f>
        <v>68.447368421052687</v>
      </c>
      <c r="L53" s="163">
        <v>0.60466432843792417</v>
      </c>
      <c r="N53" s="149">
        <f>(N48*$J53)+N49</f>
        <v>71.912280701754383</v>
      </c>
      <c r="O53" s="163">
        <v>0.63527337748738921</v>
      </c>
      <c r="Q53" s="149">
        <f>(Q48*$J53)+Q49</f>
        <v>75.377192982456094</v>
      </c>
      <c r="R53" s="163">
        <v>0.66588242653685425</v>
      </c>
      <c r="T53" s="149">
        <f>(T48*$J53)+T49</f>
        <v>78.84210526315799</v>
      </c>
      <c r="U53" s="163">
        <v>0.69649147558632118</v>
      </c>
      <c r="W53" s="149">
        <f>(W48*$J53)+W49</f>
        <v>82.307017543859502</v>
      </c>
      <c r="X53" s="163">
        <v>0.72710052463578467</v>
      </c>
      <c r="Z53" s="149">
        <f>(Z48*$J53)+Z49</f>
        <v>85.77192982456134</v>
      </c>
      <c r="AA53" s="163">
        <v>0.75770957368525083</v>
      </c>
      <c r="AC53" s="149">
        <f>(AC48*$J53)+AC49</f>
        <v>89.236842105263122</v>
      </c>
      <c r="AD53" s="163">
        <v>0.78831862273471665</v>
      </c>
      <c r="AE53" s="160">
        <f t="shared" si="4"/>
        <v>1.3037293348712018</v>
      </c>
    </row>
    <row r="54" spans="6:31" x14ac:dyDescent="0.2">
      <c r="H54" s="30"/>
      <c r="I54" s="8"/>
      <c r="J54" s="16">
        <v>4</v>
      </c>
      <c r="K54" s="149">
        <f>(K48*$J54)+K49</f>
        <v>88.894736842105317</v>
      </c>
      <c r="L54" s="163">
        <v>0.58897234759610939</v>
      </c>
      <c r="N54" s="149">
        <f>(N48*$J54)+N49</f>
        <v>93.324561403508767</v>
      </c>
      <c r="O54" s="163">
        <v>0.61832216361505843</v>
      </c>
      <c r="Q54" s="149">
        <f>(Q48*$J54)+Q49</f>
        <v>97.754385964912231</v>
      </c>
      <c r="R54" s="163">
        <v>0.6476719796340078</v>
      </c>
      <c r="T54" s="149">
        <f>(T48*$J54)+T49</f>
        <v>102.18421052631588</v>
      </c>
      <c r="U54" s="163">
        <v>0.67702179565295828</v>
      </c>
      <c r="W54" s="149">
        <f>(W48*$J54)+W49</f>
        <v>106.61403508771916</v>
      </c>
      <c r="X54" s="163">
        <v>0.70637161167190643</v>
      </c>
      <c r="Z54" s="149">
        <f>(Z48*$J54)+Z49</f>
        <v>111.04385964912274</v>
      </c>
      <c r="AA54" s="163">
        <v>0.73572142769085647</v>
      </c>
      <c r="AC54" s="149">
        <f>(AC48*$J54)+AC49</f>
        <v>115.47368421052627</v>
      </c>
      <c r="AD54" s="163">
        <v>0.76507124370980606</v>
      </c>
      <c r="AE54" s="160">
        <f t="shared" si="4"/>
        <v>1.2989934872705731</v>
      </c>
    </row>
    <row r="55" spans="6:31" x14ac:dyDescent="0.2">
      <c r="H55" s="30"/>
      <c r="J55" s="26">
        <v>5</v>
      </c>
      <c r="K55" s="165">
        <f>(K48*$J55)+K49</f>
        <v>109.34210526315795</v>
      </c>
      <c r="L55" s="164">
        <v>0.57955715909102046</v>
      </c>
      <c r="N55" s="165">
        <f>(N48*$J55)+N49</f>
        <v>114.73684210526315</v>
      </c>
      <c r="O55" s="164">
        <v>0.60815143529166016</v>
      </c>
      <c r="Q55" s="165">
        <f>(Q48*$J55)+Q49</f>
        <v>120.13157894736837</v>
      </c>
      <c r="R55" s="164">
        <v>0.63674571149229997</v>
      </c>
      <c r="T55" s="165">
        <f>(T48*$J55)+T49</f>
        <v>125.52631578947377</v>
      </c>
      <c r="U55" s="164">
        <v>0.665339987692941</v>
      </c>
      <c r="W55" s="165">
        <f>(W48*$J55)+W49</f>
        <v>130.92105263157882</v>
      </c>
      <c r="X55" s="164">
        <v>0.69393426389357937</v>
      </c>
      <c r="Z55" s="165">
        <f>(Z48*$J55)+Z49</f>
        <v>136.31578947368413</v>
      </c>
      <c r="AA55" s="164">
        <v>0.72252854009421974</v>
      </c>
      <c r="AC55" s="165">
        <f>(AC48*$J55)+AC49</f>
        <v>141.71052631578942</v>
      </c>
      <c r="AD55" s="164">
        <v>0.75112281629485977</v>
      </c>
      <c r="AE55" s="160">
        <f t="shared" si="4"/>
        <v>1.2960288808664249</v>
      </c>
    </row>
    <row r="56" spans="6:31" x14ac:dyDescent="0.2">
      <c r="F56" s="9"/>
      <c r="H56" s="30"/>
      <c r="J56" s="16">
        <v>10</v>
      </c>
      <c r="K56" s="149">
        <f>(K48*$J56)+K49</f>
        <v>211.5789473684211</v>
      </c>
      <c r="L56" s="163">
        <v>0.5607267820808427</v>
      </c>
      <c r="N56" s="149">
        <f>(N48*$J56)+N49</f>
        <v>221.79824561403507</v>
      </c>
      <c r="O56" s="163">
        <v>0.5878099786448634</v>
      </c>
      <c r="Q56" s="149">
        <f>(Q48*$J56)+Q49</f>
        <v>232.01754385964907</v>
      </c>
      <c r="R56" s="163">
        <v>0.61489317520888409</v>
      </c>
      <c r="T56" s="149">
        <f>(T48*$J56)+T49</f>
        <v>242.23684210526321</v>
      </c>
      <c r="U56" s="163">
        <v>0.64197637177290523</v>
      </c>
      <c r="W56" s="149">
        <f>(W48*$J56)+W49</f>
        <v>252.45614035087709</v>
      </c>
      <c r="X56" s="163">
        <v>0.66905956833692559</v>
      </c>
      <c r="Z56" s="149">
        <f>(Z48*$J56)+Z49</f>
        <v>262.67543859649112</v>
      </c>
      <c r="AA56" s="163">
        <v>0.6961427649009464</v>
      </c>
      <c r="AC56" s="149">
        <f>(AC48*$J56)+AC49</f>
        <v>272.8947368421052</v>
      </c>
      <c r="AD56" s="163">
        <v>0.7232259614649672</v>
      </c>
      <c r="AE56" s="160">
        <f t="shared" si="4"/>
        <v>1.289800995024875</v>
      </c>
    </row>
    <row r="57" spans="6:31" x14ac:dyDescent="0.2">
      <c r="F57" s="9"/>
      <c r="H57" s="30"/>
      <c r="J57" s="16">
        <v>20</v>
      </c>
      <c r="K57" s="149">
        <f>(K48*$J57)+K49</f>
        <v>416.0526315789474</v>
      </c>
      <c r="L57" s="163">
        <v>0.55131159357575388</v>
      </c>
      <c r="N57" s="149">
        <f>(N48*$J57)+N49</f>
        <v>435.9210526315789</v>
      </c>
      <c r="O57" s="163">
        <v>0.57763925032146501</v>
      </c>
      <c r="Q57" s="149">
        <f>(Q48*$J57)+Q49</f>
        <v>455.78947368421046</v>
      </c>
      <c r="R57" s="163">
        <v>0.60396690706717615</v>
      </c>
      <c r="T57" s="149">
        <f>(T48*$J57)+T49</f>
        <v>475.65789473684208</v>
      </c>
      <c r="U57" s="163">
        <v>0.6302945638128874</v>
      </c>
      <c r="W57" s="149">
        <f>(W48*$J57)+W49</f>
        <v>495.52631578947364</v>
      </c>
      <c r="X57" s="163">
        <v>0.65662222055859865</v>
      </c>
      <c r="Z57" s="149">
        <f>(Z48*$J57)+Z49</f>
        <v>515.39473684210509</v>
      </c>
      <c r="AA57" s="163">
        <v>0.68294987730430956</v>
      </c>
      <c r="AC57" s="149">
        <f>(AC48*$J57)+AC49</f>
        <v>535.26315789473676</v>
      </c>
      <c r="AD57" s="163">
        <v>0.70927753405002103</v>
      </c>
      <c r="AE57" s="160">
        <f t="shared" si="4"/>
        <v>1.2865275142314987</v>
      </c>
    </row>
    <row r="58" spans="6:31" x14ac:dyDescent="0.2">
      <c r="F58" s="9"/>
      <c r="H58" s="30"/>
      <c r="J58" s="16">
        <v>30</v>
      </c>
      <c r="K58" s="149">
        <f>(K48*$J58)+K49</f>
        <v>620.52631578947376</v>
      </c>
      <c r="L58" s="163">
        <v>0.54817319740739101</v>
      </c>
      <c r="N58" s="149">
        <f>(N48*$J58)+N49</f>
        <v>650.04385964912262</v>
      </c>
      <c r="O58" s="163">
        <v>0.57424900754699881</v>
      </c>
      <c r="Q58" s="149">
        <f>(Q48*$J58)+Q49</f>
        <v>679.56140350877183</v>
      </c>
      <c r="R58" s="163">
        <v>0.60032481768660684</v>
      </c>
      <c r="T58" s="149">
        <f>(T48*$J58)+T49</f>
        <v>709.07894736842104</v>
      </c>
      <c r="U58" s="163">
        <v>0.62640062782621497</v>
      </c>
      <c r="W58" s="149">
        <f>(W48*$J58)+W49</f>
        <v>738.59649122807014</v>
      </c>
      <c r="X58" s="163">
        <v>0.652476437965823</v>
      </c>
      <c r="Z58" s="149">
        <f>(Z48*$J58)+Z49</f>
        <v>768.114035087719</v>
      </c>
      <c r="AA58" s="163">
        <v>0.67855224810543069</v>
      </c>
      <c r="AC58" s="149">
        <f>(AC48*$J58)+AC49</f>
        <v>797.63157894736833</v>
      </c>
      <c r="AD58" s="163">
        <v>0.70462805824503882</v>
      </c>
      <c r="AE58" s="160">
        <f t="shared" si="4"/>
        <v>1.2854113655640371</v>
      </c>
    </row>
    <row r="59" spans="6:31" x14ac:dyDescent="0.2">
      <c r="F59" s="9"/>
      <c r="H59" s="30"/>
      <c r="J59" s="26">
        <v>40</v>
      </c>
      <c r="K59" s="165">
        <f>(K48*$J59)+K49</f>
        <v>825</v>
      </c>
      <c r="L59" s="164">
        <v>0.54660399932320947</v>
      </c>
      <c r="N59" s="165">
        <f>(N48*$J59)+N49</f>
        <v>864.16666666666652</v>
      </c>
      <c r="O59" s="164">
        <v>0.57255388615976588</v>
      </c>
      <c r="Q59" s="165">
        <f>(Q48*$J59)+Q49</f>
        <v>903.33333333333326</v>
      </c>
      <c r="R59" s="164">
        <v>0.59850377299632229</v>
      </c>
      <c r="T59" s="165">
        <f>(T48*$J59)+T49</f>
        <v>942.49999999999977</v>
      </c>
      <c r="U59" s="164">
        <v>0.62445365983287848</v>
      </c>
      <c r="W59" s="165">
        <f>(W48*$J59)+W49</f>
        <v>981.66666666666674</v>
      </c>
      <c r="X59" s="164">
        <v>0.65040354666943512</v>
      </c>
      <c r="Z59" s="165">
        <f>(Z48*$J59)+Z49</f>
        <v>1020.833333333333</v>
      </c>
      <c r="AA59" s="164">
        <v>0.67635343350599131</v>
      </c>
      <c r="AC59" s="165">
        <f>(AC48*$J59)+AC49</f>
        <v>1060</v>
      </c>
      <c r="AD59" s="164">
        <v>0.70230332034254794</v>
      </c>
      <c r="AE59" s="160">
        <f t="shared" si="4"/>
        <v>1.2848484848484849</v>
      </c>
    </row>
    <row r="60" spans="6:31" x14ac:dyDescent="0.2">
      <c r="F60" s="9"/>
      <c r="H60" s="30"/>
      <c r="J60" s="16">
        <v>50</v>
      </c>
      <c r="K60" s="149">
        <f>(K48*$J60)+K49</f>
        <v>1029.4736842105262</v>
      </c>
      <c r="L60" s="163">
        <v>0.5456624804727005</v>
      </c>
      <c r="N60" s="149">
        <f>(N48*$J60)+N49</f>
        <v>1078.2894736842104</v>
      </c>
      <c r="O60" s="163">
        <v>0.57153681332742601</v>
      </c>
      <c r="Q60" s="149">
        <f>(Q48*$J60)+Q49</f>
        <v>1127.1052631578946</v>
      </c>
      <c r="R60" s="163">
        <v>0.59741114618215141</v>
      </c>
      <c r="T60" s="149">
        <f>(T48*$J60)+T49</f>
        <v>1175.9210526315787</v>
      </c>
      <c r="U60" s="163">
        <v>0.62328547903687681</v>
      </c>
      <c r="W60" s="149">
        <f>(W48*$J60)+W49</f>
        <v>1224.7368421052633</v>
      </c>
      <c r="X60" s="163">
        <v>0.64915981189160255</v>
      </c>
      <c r="Z60" s="149">
        <f>(Z48*$J60)+Z49</f>
        <v>1273.5526315789471</v>
      </c>
      <c r="AA60" s="163">
        <v>0.67503414474632772</v>
      </c>
      <c r="AC60" s="149">
        <f>(AC48*$J60)+AC49</f>
        <v>1322.3684210526317</v>
      </c>
      <c r="AD60" s="163">
        <v>0.70090847760105335</v>
      </c>
      <c r="AE60" s="160">
        <f t="shared" si="4"/>
        <v>1.2845092024539879</v>
      </c>
    </row>
    <row r="61" spans="6:31" x14ac:dyDescent="0.2">
      <c r="F61" s="9"/>
      <c r="H61" s="30"/>
      <c r="N61" s="172">
        <f>N59/K59</f>
        <v>1.0474747474747472</v>
      </c>
      <c r="O61" s="173"/>
      <c r="P61" s="173"/>
      <c r="Q61" s="172">
        <f>Q59/N59</f>
        <v>1.0453230472516877</v>
      </c>
      <c r="R61" s="173"/>
      <c r="S61" s="173"/>
      <c r="T61" s="172">
        <f>T59/Q59</f>
        <v>1.0433579335793357</v>
      </c>
      <c r="U61" s="173"/>
      <c r="V61" s="173"/>
      <c r="W61" s="172">
        <f>W59/T59</f>
        <v>1.0415561450044213</v>
      </c>
      <c r="X61" s="173"/>
      <c r="Y61" s="173"/>
      <c r="Z61" s="172">
        <f>Z59/W59</f>
        <v>1.0398981324278433</v>
      </c>
      <c r="AA61" s="173"/>
      <c r="AB61" s="173"/>
      <c r="AC61" s="172">
        <f>AC59/Z59</f>
        <v>1.0383673469387757</v>
      </c>
      <c r="AD61" s="41"/>
    </row>
    <row r="62" spans="6:31" x14ac:dyDescent="0.2">
      <c r="F62" s="9"/>
      <c r="H62" s="30"/>
      <c r="J62" s="174"/>
      <c r="K62" s="174"/>
      <c r="L62" s="174"/>
      <c r="M62" s="174"/>
      <c r="N62" s="175"/>
      <c r="O62" s="174"/>
      <c r="P62" s="174"/>
      <c r="Q62" s="175"/>
      <c r="R62" s="174"/>
      <c r="S62" s="174"/>
      <c r="T62" s="175"/>
      <c r="U62" s="174"/>
      <c r="V62" s="174"/>
      <c r="W62" s="175"/>
      <c r="X62" s="174"/>
      <c r="Y62" s="174"/>
      <c r="Z62" s="175"/>
      <c r="AA62" s="174"/>
      <c r="AB62" s="174"/>
      <c r="AC62" s="175"/>
      <c r="AD62" s="174"/>
      <c r="AE62" s="174"/>
    </row>
    <row r="63" spans="6:31" x14ac:dyDescent="0.2">
      <c r="F63" s="9"/>
      <c r="H63" s="30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</row>
    <row r="64" spans="6:31" x14ac:dyDescent="0.2">
      <c r="F64" s="9"/>
      <c r="H64" s="30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80" t="s">
        <v>102</v>
      </c>
      <c r="V64" s="174"/>
      <c r="W64" s="174"/>
      <c r="X64" s="174"/>
      <c r="Y64" s="174"/>
      <c r="Z64" s="174"/>
      <c r="AA64" s="174"/>
      <c r="AB64" s="174"/>
      <c r="AC64" s="174"/>
      <c r="AD64" s="174"/>
    </row>
    <row r="65" spans="1:31" ht="15" x14ac:dyDescent="0.25">
      <c r="A65" s="158"/>
      <c r="B65" s="151">
        <v>48</v>
      </c>
      <c r="C65" s="152">
        <f>B65+$C66</f>
        <v>50.5</v>
      </c>
      <c r="D65" s="152">
        <f>C65+$C66</f>
        <v>53</v>
      </c>
      <c r="E65" s="152">
        <f>D65+$C66</f>
        <v>55.5</v>
      </c>
      <c r="F65" s="152">
        <f>E65+$C66</f>
        <v>58</v>
      </c>
      <c r="G65" s="152">
        <f>F65+$C66</f>
        <v>60.5</v>
      </c>
      <c r="H65" s="151">
        <v>63</v>
      </c>
      <c r="J65" s="146" t="s">
        <v>65</v>
      </c>
      <c r="K65" s="146" t="s">
        <v>66</v>
      </c>
      <c r="L65" s="146"/>
      <c r="M65" s="9"/>
      <c r="N65" s="146" t="s">
        <v>66</v>
      </c>
      <c r="O65" s="146"/>
      <c r="P65" s="9"/>
      <c r="Q65" s="146" t="s">
        <v>66</v>
      </c>
      <c r="R65" s="146"/>
      <c r="T65" s="176" t="s">
        <v>66</v>
      </c>
      <c r="U65" s="178"/>
      <c r="W65" s="146" t="s">
        <v>66</v>
      </c>
      <c r="X65" s="146"/>
      <c r="Z65" s="146" t="s">
        <v>66</v>
      </c>
      <c r="AA65" s="146"/>
      <c r="AC65" s="146" t="s">
        <v>66</v>
      </c>
      <c r="AD65" s="146"/>
    </row>
    <row r="66" spans="1:31" ht="15" x14ac:dyDescent="0.25">
      <c r="A66" s="1"/>
      <c r="B66" s="34"/>
      <c r="C66" s="153">
        <f>(H65-B65)/6</f>
        <v>2.5</v>
      </c>
      <c r="D66" s="9"/>
      <c r="E66" s="9"/>
      <c r="G66" s="9"/>
      <c r="H66" s="9"/>
      <c r="J66" s="147">
        <v>2</v>
      </c>
      <c r="K66" s="154">
        <f>B65</f>
        <v>48</v>
      </c>
      <c r="L66" s="155">
        <f>L73</f>
        <v>0.63604829012155284</v>
      </c>
      <c r="M66" s="145"/>
      <c r="N66" s="154">
        <f>C65</f>
        <v>50.5</v>
      </c>
      <c r="O66" s="155">
        <f>O73</f>
        <v>0.66917580523205089</v>
      </c>
      <c r="P66" s="145"/>
      <c r="Q66" s="154">
        <v>50</v>
      </c>
      <c r="R66" s="155">
        <f>R73</f>
        <v>0.70230332034254817</v>
      </c>
      <c r="S66" s="145"/>
      <c r="T66" s="154">
        <f>E65</f>
        <v>55.5</v>
      </c>
      <c r="U66" s="179">
        <f>U73</f>
        <v>0.73543083545304622</v>
      </c>
      <c r="V66" s="145"/>
      <c r="W66" s="154">
        <f>F65</f>
        <v>58</v>
      </c>
      <c r="X66" s="155">
        <f>X73</f>
        <v>0.76855835056354349</v>
      </c>
      <c r="Y66" s="145"/>
      <c r="Z66" s="154">
        <f>G65</f>
        <v>60.5</v>
      </c>
      <c r="AA66" s="155">
        <f>AA73</f>
        <v>0.8016858656740421</v>
      </c>
      <c r="AB66" s="145"/>
      <c r="AC66" s="154">
        <f>H65</f>
        <v>63</v>
      </c>
      <c r="AD66" s="155">
        <f>AD73</f>
        <v>0.83481338078453682</v>
      </c>
    </row>
    <row r="67" spans="1:31" ht="15" x14ac:dyDescent="0.25">
      <c r="A67" s="1"/>
      <c r="B67" s="151">
        <v>874.5</v>
      </c>
      <c r="C67" s="152">
        <f>B67+$C68</f>
        <v>916.01666666666665</v>
      </c>
      <c r="D67" s="152">
        <f>C67+$C68</f>
        <v>957.5333333333333</v>
      </c>
      <c r="E67" s="152">
        <f>D67+$C68</f>
        <v>999.05</v>
      </c>
      <c r="F67" s="152">
        <f>E67+$C68</f>
        <v>1040.5666666666666</v>
      </c>
      <c r="G67" s="152">
        <f>F67+$C68</f>
        <v>1082.0833333333333</v>
      </c>
      <c r="H67" s="151">
        <v>1123.5999999999999</v>
      </c>
      <c r="J67" s="147">
        <v>40</v>
      </c>
      <c r="K67" s="154">
        <f>B67</f>
        <v>874.5</v>
      </c>
      <c r="L67" s="155">
        <f>L76</f>
        <v>0.60027057380221549</v>
      </c>
      <c r="M67" s="145"/>
      <c r="N67" s="154">
        <f>C67</f>
        <v>916.01666666666665</v>
      </c>
      <c r="O67" s="155">
        <f>O76</f>
        <v>0.62984821413560932</v>
      </c>
      <c r="P67" s="145"/>
      <c r="Q67" s="154">
        <f>D67</f>
        <v>957.5333333333333</v>
      </c>
      <c r="R67" s="155">
        <f>R76</f>
        <v>0.65942585446900304</v>
      </c>
      <c r="S67" s="145"/>
      <c r="T67" s="154">
        <f>E67</f>
        <v>999.05</v>
      </c>
      <c r="U67" s="166">
        <f>U76</f>
        <v>0.68900349480239687</v>
      </c>
      <c r="V67" s="145"/>
      <c r="W67" s="154">
        <f>F67</f>
        <v>1040.5666666666666</v>
      </c>
      <c r="X67" s="155">
        <f>X76</f>
        <v>0.71858113513579036</v>
      </c>
      <c r="Y67" s="145"/>
      <c r="Z67" s="154">
        <f>G67</f>
        <v>1082.0833333333333</v>
      </c>
      <c r="AA67" s="155">
        <f>AA76</f>
        <v>0.74815877546918452</v>
      </c>
      <c r="AB67" s="145"/>
      <c r="AC67" s="154">
        <f>H67</f>
        <v>1123.5999999999999</v>
      </c>
      <c r="AD67" s="102">
        <f>AD76</f>
        <v>0.77773641580257713</v>
      </c>
    </row>
    <row r="68" spans="1:31" x14ac:dyDescent="0.2">
      <c r="A68" s="1"/>
      <c r="B68" s="150"/>
      <c r="C68" s="153">
        <f>(H67-B67)/6</f>
        <v>41.516666666666652</v>
      </c>
      <c r="D68" s="9"/>
      <c r="F68" s="9"/>
      <c r="G68" s="9"/>
      <c r="J68" s="82"/>
      <c r="K68" s="82"/>
      <c r="L68" s="102">
        <f>L80</f>
        <v>0.57940023928260209</v>
      </c>
      <c r="N68" s="82"/>
      <c r="O68" s="102">
        <f>O80</f>
        <v>0.60690711932935182</v>
      </c>
      <c r="Q68" s="82"/>
      <c r="R68" s="102">
        <f>R80</f>
        <v>0.63441399937610155</v>
      </c>
      <c r="T68" s="82"/>
      <c r="U68" s="166">
        <f>U80</f>
        <v>0.66192087942285138</v>
      </c>
      <c r="W68" s="82"/>
      <c r="X68" s="102">
        <f>X80</f>
        <v>0.68942775946960111</v>
      </c>
      <c r="Z68" s="82"/>
      <c r="AA68" s="102">
        <f>AA80</f>
        <v>0.71693463951635084</v>
      </c>
      <c r="AC68" s="82"/>
      <c r="AD68" s="102">
        <f>AD80</f>
        <v>0.74444151956310067</v>
      </c>
    </row>
    <row r="69" spans="1:31" x14ac:dyDescent="0.2">
      <c r="A69" s="1" t="s">
        <v>22</v>
      </c>
      <c r="J69" s="82"/>
      <c r="K69" s="148" cm="1">
        <f t="array" ref="K69">_xlfn.SINGLE(INDEX(LINEST(K66:K67,($J66:$J67)^{1}),1))</f>
        <v>21.75</v>
      </c>
      <c r="L69" s="82"/>
      <c r="N69" s="148" cm="1">
        <f t="array" ref="N69">_xlfn.SINGLE(INDEX(LINEST(N66:N67,($J66:$J67)^{1}),1))</f>
        <v>22.77675438596491</v>
      </c>
      <c r="O69" s="82"/>
      <c r="Q69" s="148" cm="1">
        <f t="array" ref="Q69">_xlfn.SINGLE(INDEX(LINEST(Q66:Q67,($J66:$J67)^{1}),1))</f>
        <v>23.882456140350875</v>
      </c>
      <c r="R69" s="82"/>
      <c r="T69" s="148" cm="1">
        <f t="array" ref="T69">_xlfn.SINGLE(INDEX(LINEST(T66:T67,($J66:$J67)^{1}),1))</f>
        <v>24.830263157894734</v>
      </c>
      <c r="U69" s="82"/>
      <c r="W69" s="148" cm="1">
        <f t="array" ref="W69">_xlfn.SINGLE(INDEX(LINEST(W66:W67,($J66:$J67)^{1}),1))</f>
        <v>25.857017543859644</v>
      </c>
      <c r="X69" s="82"/>
      <c r="Z69" s="148" cm="1">
        <f t="array" ref="Z69">_xlfn.SINGLE(INDEX(LINEST(Z66:Z67,($J66:$J67)^{1}),1))</f>
        <v>26.883771929824551</v>
      </c>
      <c r="AA69" s="82"/>
      <c r="AC69" s="148" cm="1">
        <f t="array" ref="AC69">_xlfn.SINGLE(INDEX(LINEST(AC66:AC67,($J66:$J67)^{1}),1))</f>
        <v>27.910526315789475</v>
      </c>
      <c r="AD69" s="82"/>
    </row>
    <row r="70" spans="1:31" x14ac:dyDescent="0.2">
      <c r="A70" s="33"/>
      <c r="B70" s="161" t="s">
        <v>67</v>
      </c>
      <c r="C70" s="162" t="s">
        <v>70</v>
      </c>
      <c r="J70" s="82"/>
      <c r="K70" s="148" cm="1">
        <f t="array" ref="K70">INDEX(LINEST(K66:K67,($J66:$J67)^{1}),1,2)</f>
        <v>4.5</v>
      </c>
      <c r="L70" s="82"/>
      <c r="N70" s="148" cm="1">
        <f t="array" ref="N70">INDEX(LINEST(N66:N67,($J66:$J67)^{1}),1,2)</f>
        <v>4.9464912280702151</v>
      </c>
      <c r="O70" s="82"/>
      <c r="Q70" s="148" cm="1">
        <f t="array" ref="Q70">INDEX(LINEST(Q66:Q67,($J66:$J67)^{1}),1,2)</f>
        <v>2.2350877192982921</v>
      </c>
      <c r="R70" s="82"/>
      <c r="T70" s="148" cm="1">
        <f t="array" ref="T70">INDEX(LINEST(T66:T67,($J66:$J67)^{1}),1,2)</f>
        <v>5.8394736842105885</v>
      </c>
      <c r="U70" s="82"/>
      <c r="W70" s="148" cm="1">
        <f t="array" ref="W70">INDEX(LINEST(W66:W67,($J66:$J67)^{1}),1,2)</f>
        <v>6.2859649122807468</v>
      </c>
      <c r="X70" s="82"/>
      <c r="Z70" s="148" cm="1">
        <f t="array" ref="Z70">INDEX(LINEST(Z66:Z67,($J66:$J67)^{1}),1,2)</f>
        <v>6.7324561403510188</v>
      </c>
      <c r="AA70" s="82"/>
      <c r="AC70" s="148" cm="1">
        <f t="array" ref="AC70">INDEX(LINEST(AC66:AC67,($J66:$J67)^{1}),1,2)</f>
        <v>7.1789473684209497</v>
      </c>
      <c r="AD70" s="82"/>
    </row>
    <row r="71" spans="1:31" x14ac:dyDescent="0.2">
      <c r="A71" s="33"/>
      <c r="J71" s="82"/>
      <c r="K71" s="82"/>
      <c r="L71" s="18" t="s">
        <v>4</v>
      </c>
      <c r="N71" s="82"/>
      <c r="O71" s="18" t="s">
        <v>4</v>
      </c>
      <c r="Q71" s="82"/>
      <c r="R71" s="18" t="s">
        <v>4</v>
      </c>
      <c r="T71" s="82"/>
      <c r="U71" s="18" t="s">
        <v>4</v>
      </c>
      <c r="W71" s="82"/>
      <c r="X71" s="18" t="s">
        <v>4</v>
      </c>
      <c r="Z71" s="82"/>
      <c r="AA71" s="18" t="s">
        <v>4</v>
      </c>
      <c r="AC71" s="82"/>
      <c r="AD71" s="18" t="s">
        <v>4</v>
      </c>
    </row>
    <row r="72" spans="1:31" x14ac:dyDescent="0.2">
      <c r="J72" s="16">
        <v>1</v>
      </c>
      <c r="K72" s="149">
        <f>(K69*$J72)+K70</f>
        <v>26.25</v>
      </c>
      <c r="L72" s="163">
        <v>0.69567781732044842</v>
      </c>
      <c r="N72" s="149">
        <f>(N69*$J72)+N70</f>
        <v>27.723245614035125</v>
      </c>
      <c r="O72" s="163">
        <v>0.73472179039278662</v>
      </c>
      <c r="Q72" s="149">
        <f>(Q69*$J72)+Q70</f>
        <v>26.117543859649167</v>
      </c>
      <c r="R72" s="163">
        <v>0.77376576346512349</v>
      </c>
      <c r="T72" s="149">
        <f>(T69*$J72)+T70</f>
        <v>30.669736842105323</v>
      </c>
      <c r="U72" s="163">
        <v>0.81280973653746191</v>
      </c>
      <c r="W72" s="149">
        <f>(W69*$J72)+W70</f>
        <v>32.142982456140388</v>
      </c>
      <c r="X72" s="163">
        <v>0.85185370960979856</v>
      </c>
      <c r="Z72" s="149">
        <f>(Z69*$J72)+Z70</f>
        <v>33.616228070175566</v>
      </c>
      <c r="AA72" s="163">
        <v>0.8908976826821382</v>
      </c>
      <c r="AC72" s="149">
        <f>(AC69*$J72)+AC70</f>
        <v>35.089473684210425</v>
      </c>
      <c r="AD72" s="163">
        <v>0.92994165575446941</v>
      </c>
      <c r="AE72" s="160">
        <f>AC72/K72</f>
        <v>1.3367418546365877</v>
      </c>
    </row>
    <row r="73" spans="1:31" x14ac:dyDescent="0.2">
      <c r="A73" s="19"/>
      <c r="G73" s="9"/>
      <c r="H73" s="14"/>
      <c r="J73" s="26">
        <v>2</v>
      </c>
      <c r="K73" s="165">
        <f>(K69*$J73)+K70</f>
        <v>48</v>
      </c>
      <c r="L73" s="164">
        <v>0.63604829012155284</v>
      </c>
      <c r="N73" s="165">
        <f>(N69*$J73)+N70</f>
        <v>50.500000000000036</v>
      </c>
      <c r="O73" s="164">
        <v>0.66917580523205089</v>
      </c>
      <c r="Q73" s="165">
        <f>(Q69*$J73)+Q70</f>
        <v>50.000000000000043</v>
      </c>
      <c r="R73" s="164">
        <v>0.70230332034254817</v>
      </c>
      <c r="T73" s="165">
        <f>(T69*$J73)+T70</f>
        <v>55.500000000000057</v>
      </c>
      <c r="U73" s="164">
        <v>0.73543083545304622</v>
      </c>
      <c r="W73" s="165">
        <f>(W69*$J73)+W70</f>
        <v>58.000000000000036</v>
      </c>
      <c r="X73" s="164">
        <v>0.76855835056354349</v>
      </c>
      <c r="Z73" s="165">
        <f>(Z69*$J73)+Z70</f>
        <v>60.500000000000121</v>
      </c>
      <c r="AA73" s="164">
        <v>0.8016858656740421</v>
      </c>
      <c r="AC73" s="165">
        <f>(AC69*$J73)+AC70</f>
        <v>62.999999999999901</v>
      </c>
      <c r="AD73" s="164">
        <v>0.83481338078453682</v>
      </c>
      <c r="AE73" s="160">
        <f t="shared" ref="AE73:AE81" si="5">AC73/K73</f>
        <v>1.312499999999998</v>
      </c>
    </row>
    <row r="74" spans="1:31" x14ac:dyDescent="0.2">
      <c r="J74" s="16">
        <v>3</v>
      </c>
      <c r="K74" s="149">
        <f>(K69*$J74)+K70</f>
        <v>69.75</v>
      </c>
      <c r="L74" s="163">
        <v>0.61617178105525428</v>
      </c>
      <c r="N74" s="149">
        <f>(N69*$J74)+N70</f>
        <v>73.276754385964949</v>
      </c>
      <c r="O74" s="163">
        <v>0.64732714351180565</v>
      </c>
      <c r="Q74" s="149">
        <f>(Q69*$J74)+Q70</f>
        <v>73.882456140350911</v>
      </c>
      <c r="R74" s="163">
        <v>0.67848250596835646</v>
      </c>
      <c r="T74" s="149">
        <f>(T69*$J74)+T70</f>
        <v>80.330263157894791</v>
      </c>
      <c r="U74" s="163">
        <v>0.70963786842490773</v>
      </c>
      <c r="W74" s="149">
        <f>(W69*$J74)+W70</f>
        <v>83.857017543859683</v>
      </c>
      <c r="X74" s="163">
        <v>0.74079323088145843</v>
      </c>
      <c r="Z74" s="149">
        <f>(Z69*$J74)+Z70</f>
        <v>87.383771929824675</v>
      </c>
      <c r="AA74" s="163">
        <v>0.77194859333801025</v>
      </c>
      <c r="AC74" s="149">
        <f>(AC69*$J74)+AC70</f>
        <v>90.910526315789383</v>
      </c>
      <c r="AD74" s="163">
        <v>0.8031039557945594</v>
      </c>
      <c r="AE74" s="160">
        <f t="shared" si="5"/>
        <v>1.3033767213733245</v>
      </c>
    </row>
    <row r="75" spans="1:31" x14ac:dyDescent="0.2">
      <c r="B75" s="29"/>
      <c r="C75" s="9"/>
      <c r="E75" s="9"/>
      <c r="F75" s="9"/>
      <c r="G75" s="17"/>
      <c r="H75" s="9"/>
      <c r="I75" s="9"/>
      <c r="J75" s="16">
        <v>4</v>
      </c>
      <c r="K75" s="149">
        <f>(K69*$J75)+K70</f>
        <v>91.5</v>
      </c>
      <c r="L75" s="163">
        <v>0.60623352652210505</v>
      </c>
      <c r="N75" s="149">
        <f>(N69*$J75)+N70</f>
        <v>96.053508771929856</v>
      </c>
      <c r="O75" s="163">
        <v>0.63640281265168297</v>
      </c>
      <c r="Q75" s="149">
        <f>(Q69*$J75)+Q70</f>
        <v>97.764912280701793</v>
      </c>
      <c r="R75" s="163">
        <v>0.66657209878126056</v>
      </c>
      <c r="T75" s="149">
        <f>(T69*$J75)+T70</f>
        <v>105.16052631578953</v>
      </c>
      <c r="U75" s="163">
        <v>0.69674138491083837</v>
      </c>
      <c r="W75" s="149">
        <f>(W69*$J75)+W70</f>
        <v>109.71403508771932</v>
      </c>
      <c r="X75" s="163">
        <v>0.72691067104041596</v>
      </c>
      <c r="Z75" s="149">
        <f>(Z69*$J75)+Z70</f>
        <v>114.26754385964922</v>
      </c>
      <c r="AA75" s="163">
        <v>0.7570799571699941</v>
      </c>
      <c r="AC75" s="149">
        <f>(AC69*$J75)+AC70</f>
        <v>118.82105263157885</v>
      </c>
      <c r="AD75" s="163">
        <v>0.78724924329957047</v>
      </c>
      <c r="AE75" s="160">
        <f t="shared" si="5"/>
        <v>1.2985907391429383</v>
      </c>
    </row>
    <row r="76" spans="1:31" x14ac:dyDescent="0.2">
      <c r="E76" s="34"/>
      <c r="F76" s="9"/>
      <c r="G76" s="14"/>
      <c r="H76" s="9"/>
      <c r="I76" s="9"/>
      <c r="J76" s="26">
        <v>5</v>
      </c>
      <c r="K76" s="165">
        <f>(K69*$J76)+K70</f>
        <v>113.25</v>
      </c>
      <c r="L76" s="164">
        <v>0.60027057380221549</v>
      </c>
      <c r="N76" s="165">
        <f>(N69*$J76)+N70</f>
        <v>118.83026315789476</v>
      </c>
      <c r="O76" s="164">
        <v>0.62984821413560932</v>
      </c>
      <c r="Q76" s="165">
        <f>(Q69*$J76)+Q70</f>
        <v>121.64736842105268</v>
      </c>
      <c r="R76" s="164">
        <v>0.65942585446900304</v>
      </c>
      <c r="T76" s="165">
        <f>(T69*$J76)+T70</f>
        <v>129.99078947368426</v>
      </c>
      <c r="U76" s="164">
        <v>0.68900349480239687</v>
      </c>
      <c r="W76" s="165">
        <f>(W69*$J76)+W70</f>
        <v>135.57105263157897</v>
      </c>
      <c r="X76" s="164">
        <v>0.71858113513579036</v>
      </c>
      <c r="Z76" s="165">
        <f>(Z69*$J76)+Z70</f>
        <v>141.15131578947378</v>
      </c>
      <c r="AA76" s="164">
        <v>0.74815877546918452</v>
      </c>
      <c r="AC76" s="165">
        <f>(AC69*$J76)+AC70</f>
        <v>146.73157894736832</v>
      </c>
      <c r="AD76" s="164">
        <v>0.77773641580257713</v>
      </c>
      <c r="AE76" s="160">
        <f t="shared" si="5"/>
        <v>1.2956430812129653</v>
      </c>
    </row>
    <row r="77" spans="1:31" x14ac:dyDescent="0.2">
      <c r="F77" s="9"/>
      <c r="G77" s="9"/>
      <c r="H77" s="48"/>
      <c r="I77" s="9"/>
      <c r="J77" s="16">
        <v>10</v>
      </c>
      <c r="K77" s="149">
        <f>(K69*$J77)+K70</f>
        <v>222</v>
      </c>
      <c r="L77" s="163">
        <v>0.58834466836243637</v>
      </c>
      <c r="N77" s="149">
        <f>(N69*$J77)+N70</f>
        <v>232.71403508771931</v>
      </c>
      <c r="O77" s="163">
        <v>0.61673901710346224</v>
      </c>
      <c r="Q77" s="149">
        <f>(Q69*$J77)+Q70</f>
        <v>241.05964912280706</v>
      </c>
      <c r="R77" s="163">
        <v>0.64513336584448799</v>
      </c>
      <c r="T77" s="149">
        <f>(T69*$J77)+T70</f>
        <v>254.14210526315793</v>
      </c>
      <c r="U77" s="163">
        <v>0.67352771458551364</v>
      </c>
      <c r="W77" s="149">
        <f>(W69*$J77)+W70</f>
        <v>264.85614035087718</v>
      </c>
      <c r="X77" s="163">
        <v>0.70192206332653939</v>
      </c>
      <c r="Z77" s="149">
        <f>(Z69*$J77)+Z70</f>
        <v>275.57017543859655</v>
      </c>
      <c r="AA77" s="163">
        <v>0.73031641206756526</v>
      </c>
      <c r="AC77" s="149">
        <f>(AC69*$J77)+AC70</f>
        <v>286.28421052631569</v>
      </c>
      <c r="AD77" s="163">
        <v>0.75871076080859068</v>
      </c>
      <c r="AE77" s="160">
        <f t="shared" si="5"/>
        <v>1.2895685158843049</v>
      </c>
    </row>
    <row r="78" spans="1:31" x14ac:dyDescent="0.2">
      <c r="I78" s="9"/>
      <c r="J78" s="16">
        <v>20</v>
      </c>
      <c r="K78" s="149">
        <f>(K69*$J78)+K70</f>
        <v>439.5</v>
      </c>
      <c r="L78" s="163">
        <v>0.58238171564254682</v>
      </c>
      <c r="N78" s="149">
        <f>(N69*$J78)+N70</f>
        <v>460.4815789473684</v>
      </c>
      <c r="O78" s="163">
        <v>0.61018441858738859</v>
      </c>
      <c r="Q78" s="149">
        <f>(Q69*$J78)+Q70</f>
        <v>479.88421052631583</v>
      </c>
      <c r="R78" s="163">
        <v>0.63798712153223036</v>
      </c>
      <c r="T78" s="149">
        <f>(T69*$J78)+T70</f>
        <v>502.44473684210527</v>
      </c>
      <c r="U78" s="163">
        <v>0.66578982447707225</v>
      </c>
      <c r="W78" s="149">
        <f>(W69*$J78)+W70</f>
        <v>523.42631578947362</v>
      </c>
      <c r="X78" s="163">
        <v>0.6935925274219138</v>
      </c>
      <c r="Z78" s="149">
        <f>(Z69*$J78)+Z70</f>
        <v>544.40789473684208</v>
      </c>
      <c r="AA78" s="163">
        <v>0.72139523036675568</v>
      </c>
      <c r="AC78" s="149">
        <f>(AC69*$J78)+AC70</f>
        <v>565.38947368421043</v>
      </c>
      <c r="AD78" s="163">
        <v>0.74919793331159734</v>
      </c>
      <c r="AE78" s="160">
        <f t="shared" si="5"/>
        <v>1.2864379378480328</v>
      </c>
    </row>
    <row r="79" spans="1:31" x14ac:dyDescent="0.2">
      <c r="I79" s="9"/>
      <c r="J79" s="16">
        <v>30</v>
      </c>
      <c r="K79" s="149">
        <f>(K69*$J79)+K70</f>
        <v>657</v>
      </c>
      <c r="L79" s="163">
        <v>0.58039406473591693</v>
      </c>
      <c r="N79" s="149">
        <f>(N69*$J79)+N70</f>
        <v>688.24912280701756</v>
      </c>
      <c r="O79" s="163">
        <v>0.60799955241536408</v>
      </c>
      <c r="Q79" s="149">
        <f>(Q69*$J79)+Q70</f>
        <v>718.70877192982448</v>
      </c>
      <c r="R79" s="163">
        <v>0.63560504009481122</v>
      </c>
      <c r="T79" s="149">
        <f>(T69*$J79)+T70</f>
        <v>750.74736842105267</v>
      </c>
      <c r="U79" s="163">
        <v>0.66321052777425837</v>
      </c>
      <c r="W79" s="149">
        <f>(W69*$J79)+W70</f>
        <v>781.99649122807011</v>
      </c>
      <c r="X79" s="163">
        <v>0.69081601545370552</v>
      </c>
      <c r="Z79" s="149">
        <f>(Z69*$J79)+Z70</f>
        <v>813.24561403508756</v>
      </c>
      <c r="AA79" s="163">
        <v>0.71842150313315245</v>
      </c>
      <c r="AC79" s="149">
        <f>(AC69*$J79)+AC70</f>
        <v>844.49473684210523</v>
      </c>
      <c r="AD79" s="163">
        <v>0.74602699081259971</v>
      </c>
      <c r="AE79" s="160">
        <f t="shared" si="5"/>
        <v>1.2853801169590642</v>
      </c>
    </row>
    <row r="80" spans="1:31" x14ac:dyDescent="0.2">
      <c r="I80" s="9"/>
      <c r="J80" s="26">
        <v>40</v>
      </c>
      <c r="K80" s="165">
        <f>(K69*$J80)+K70</f>
        <v>874.5</v>
      </c>
      <c r="L80" s="164">
        <v>0.57940023928260209</v>
      </c>
      <c r="N80" s="165">
        <f>(N69*$J80)+N70</f>
        <v>916.01666666666665</v>
      </c>
      <c r="O80" s="164">
        <v>0.60690711932935182</v>
      </c>
      <c r="Q80" s="165">
        <f>(Q69*$J80)+Q70</f>
        <v>957.5333333333333</v>
      </c>
      <c r="R80" s="164">
        <v>0.63441399937610155</v>
      </c>
      <c r="T80" s="165">
        <f>(T69*$J80)+T70</f>
        <v>999.05</v>
      </c>
      <c r="U80" s="164">
        <v>0.66192087942285138</v>
      </c>
      <c r="W80" s="165">
        <f>(W69*$J80)+W70</f>
        <v>1040.5666666666666</v>
      </c>
      <c r="X80" s="164">
        <v>0.68942775946960111</v>
      </c>
      <c r="Z80" s="165">
        <f>(Z69*$J80)+Z70</f>
        <v>1082.083333333333</v>
      </c>
      <c r="AA80" s="164">
        <v>0.71693463951635084</v>
      </c>
      <c r="AC80" s="165">
        <f>(AC69*$J80)+AC70</f>
        <v>1123.5999999999999</v>
      </c>
      <c r="AD80" s="164">
        <v>0.74444151956310067</v>
      </c>
      <c r="AE80" s="160">
        <f t="shared" si="5"/>
        <v>1.2848484848484847</v>
      </c>
    </row>
    <row r="81" spans="2:31" x14ac:dyDescent="0.2">
      <c r="I81" s="16"/>
      <c r="J81" s="16">
        <v>50</v>
      </c>
      <c r="K81" s="149">
        <f>(K69*$J81)+K70</f>
        <v>1092</v>
      </c>
      <c r="L81" s="163">
        <v>0.57880394401061308</v>
      </c>
      <c r="N81" s="149">
        <f>(N69*$J81)+N70</f>
        <v>1143.7842105263157</v>
      </c>
      <c r="O81" s="163">
        <v>0.60625165947774451</v>
      </c>
      <c r="Q81" s="149">
        <f>(Q69*$J81)+Q70</f>
        <v>1196.3578947368419</v>
      </c>
      <c r="R81" s="163">
        <v>0.63369937494487583</v>
      </c>
      <c r="T81" s="149">
        <f>(T69*$J81)+T70</f>
        <v>1247.3526315789472</v>
      </c>
      <c r="U81" s="163">
        <v>0.66114709041200714</v>
      </c>
      <c r="W81" s="149">
        <f>(W69*$J81)+W70</f>
        <v>1299.136842105263</v>
      </c>
      <c r="X81" s="163">
        <v>0.68859480587913868</v>
      </c>
      <c r="Z81" s="149">
        <f>(Z69*$J81)+Z70</f>
        <v>1350.9210526315787</v>
      </c>
      <c r="AA81" s="163">
        <v>0.71604252134626989</v>
      </c>
      <c r="AC81" s="149">
        <f>(AC69*$J81)+AC70</f>
        <v>1402.7052631578947</v>
      </c>
      <c r="AD81" s="163">
        <v>0.74349023681340143</v>
      </c>
      <c r="AE81" s="160">
        <f t="shared" si="5"/>
        <v>1.2845286292654714</v>
      </c>
    </row>
    <row r="82" spans="2:31" x14ac:dyDescent="0.2">
      <c r="I82" s="9"/>
      <c r="N82" s="172">
        <f>N80/K80</f>
        <v>1.0474747474747474</v>
      </c>
      <c r="O82" s="173"/>
      <c r="P82" s="173"/>
      <c r="Q82" s="172">
        <f>Q80/N80</f>
        <v>1.0453230472516875</v>
      </c>
      <c r="R82" s="173"/>
      <c r="S82" s="173"/>
      <c r="T82" s="172">
        <f>T80/Q80</f>
        <v>1.0433579335793357</v>
      </c>
      <c r="U82" s="173"/>
      <c r="V82" s="173"/>
      <c r="W82" s="172">
        <f>W80/T80</f>
        <v>1.0415561450044208</v>
      </c>
      <c r="X82" s="173"/>
      <c r="Y82" s="173"/>
      <c r="Z82" s="172">
        <f>Z80/W80</f>
        <v>1.0398981324278436</v>
      </c>
      <c r="AA82" s="173"/>
      <c r="AB82" s="173"/>
      <c r="AC82" s="172">
        <f>AC80/Z80</f>
        <v>1.0383673469387757</v>
      </c>
      <c r="AD82" s="41"/>
    </row>
    <row r="83" spans="2:31" x14ac:dyDescent="0.2">
      <c r="K83" s="174"/>
      <c r="L83" s="174"/>
      <c r="M83" s="174"/>
      <c r="N83" s="175"/>
      <c r="O83" s="174"/>
      <c r="P83" s="174"/>
      <c r="Q83" s="175"/>
      <c r="R83" s="174"/>
      <c r="S83" s="174"/>
      <c r="T83" s="175"/>
      <c r="U83" s="174"/>
      <c r="V83" s="174"/>
      <c r="W83" s="175"/>
      <c r="X83" s="174"/>
      <c r="Y83" s="174"/>
      <c r="Z83" s="175"/>
      <c r="AA83" s="174"/>
      <c r="AB83" s="174"/>
      <c r="AC83" s="175"/>
      <c r="AD83" s="174"/>
    </row>
    <row r="84" spans="2:31" x14ac:dyDescent="0.2">
      <c r="K84" s="174"/>
      <c r="L84" s="174"/>
      <c r="M84" s="174"/>
      <c r="N84" s="175"/>
      <c r="O84" s="174"/>
      <c r="P84" s="174"/>
      <c r="Q84" s="175"/>
      <c r="R84" s="174"/>
      <c r="S84" s="174"/>
      <c r="T84" s="175"/>
      <c r="U84" s="174"/>
      <c r="V84" s="174"/>
      <c r="W84" s="175"/>
      <c r="X84" s="174"/>
      <c r="Y84" s="174"/>
      <c r="Z84" s="175"/>
      <c r="AA84" s="174"/>
      <c r="AB84" s="174"/>
      <c r="AC84" s="175"/>
      <c r="AD84" s="174"/>
    </row>
    <row r="85" spans="2:31" x14ac:dyDescent="0.2">
      <c r="K85" s="174"/>
      <c r="L85" s="174"/>
      <c r="M85" s="174"/>
      <c r="N85" s="175"/>
      <c r="O85" s="174"/>
      <c r="P85" s="174"/>
      <c r="Q85" s="175"/>
      <c r="R85" s="174"/>
      <c r="S85" s="174"/>
      <c r="T85" s="177">
        <f>T55/T34</f>
        <v>1.0347183808935025</v>
      </c>
      <c r="U85" s="174">
        <f>0.64/0.62</f>
        <v>1.032258064516129</v>
      </c>
      <c r="V85" s="174"/>
      <c r="W85" s="175"/>
      <c r="X85" s="174"/>
      <c r="Y85" s="174"/>
      <c r="Z85" s="175"/>
      <c r="AA85" s="174"/>
      <c r="AB85" s="174"/>
      <c r="AC85" s="175"/>
      <c r="AD85" s="174"/>
    </row>
    <row r="86" spans="2:31" x14ac:dyDescent="0.2">
      <c r="K86" s="174"/>
      <c r="L86" s="174"/>
      <c r="M86" s="174"/>
      <c r="N86" s="175"/>
      <c r="O86" s="174"/>
      <c r="P86" s="174"/>
      <c r="Q86" s="175"/>
      <c r="R86" s="174"/>
      <c r="S86" s="174"/>
      <c r="T86" s="177">
        <f>T76/T55</f>
        <v>1.0355660377358487</v>
      </c>
      <c r="U86" s="174">
        <f>0.62/0.61</f>
        <v>1.0163934426229508</v>
      </c>
      <c r="V86" s="174"/>
      <c r="W86" s="175"/>
      <c r="X86" s="174"/>
      <c r="Y86" s="174"/>
      <c r="Z86" s="175"/>
      <c r="AA86" s="174"/>
      <c r="AB86" s="174"/>
      <c r="AC86" s="175"/>
      <c r="AD86" s="174"/>
    </row>
    <row r="87" spans="2:31" x14ac:dyDescent="0.2">
      <c r="K87" s="174"/>
      <c r="L87" s="174"/>
      <c r="M87" s="174"/>
      <c r="N87" s="175"/>
      <c r="O87" s="174"/>
      <c r="P87" s="174"/>
      <c r="Q87" s="175"/>
      <c r="R87" s="174"/>
      <c r="S87" s="174"/>
      <c r="T87" s="177">
        <f>T56/T35</f>
        <v>1.0486204461051241</v>
      </c>
      <c r="U87" s="174">
        <f>0.63/0.6</f>
        <v>1.05</v>
      </c>
      <c r="V87" s="174"/>
      <c r="W87" s="175"/>
      <c r="X87" s="174"/>
      <c r="Y87" s="174"/>
      <c r="Z87" s="175"/>
      <c r="AA87" s="174"/>
      <c r="AB87" s="174"/>
      <c r="AC87" s="175"/>
      <c r="AD87" s="174"/>
    </row>
    <row r="88" spans="2:31" x14ac:dyDescent="0.2">
      <c r="K88" s="174"/>
      <c r="L88" s="174"/>
      <c r="M88" s="174"/>
      <c r="N88" s="175"/>
      <c r="O88" s="174"/>
      <c r="P88" s="174"/>
      <c r="Q88" s="175"/>
      <c r="R88" s="174"/>
      <c r="S88" s="174"/>
      <c r="T88" s="177">
        <f>T77/T56</f>
        <v>1.0491472026072786</v>
      </c>
      <c r="U88" s="174">
        <f>0.6/0.58</f>
        <v>1.0344827586206897</v>
      </c>
      <c r="V88" s="174"/>
      <c r="W88" s="175"/>
      <c r="X88" s="174"/>
      <c r="Y88" s="174"/>
      <c r="Z88" s="175"/>
      <c r="AA88" s="174"/>
      <c r="AB88" s="174"/>
      <c r="AC88" s="175"/>
      <c r="AD88" s="174"/>
    </row>
    <row r="89" spans="2:31" x14ac:dyDescent="0.2">
      <c r="K89" s="174"/>
      <c r="L89" s="174"/>
      <c r="M89" s="174"/>
      <c r="N89" s="175"/>
      <c r="O89" s="174"/>
      <c r="P89" s="174"/>
      <c r="Q89" s="175"/>
      <c r="R89" s="174"/>
      <c r="S89" s="174"/>
      <c r="T89" s="177">
        <f>T59/T38</f>
        <v>1.0600011246696279</v>
      </c>
      <c r="U89" s="174">
        <f>0.66/0.63</f>
        <v>1.0476190476190477</v>
      </c>
      <c r="V89" s="174"/>
      <c r="W89" s="175"/>
      <c r="X89" s="174"/>
      <c r="Y89" s="174"/>
      <c r="Z89" s="175"/>
      <c r="AA89" s="174"/>
      <c r="AB89" s="174"/>
      <c r="AC89" s="175"/>
      <c r="AD89" s="174"/>
    </row>
    <row r="90" spans="2:31" x14ac:dyDescent="0.2">
      <c r="K90" s="174"/>
      <c r="L90" s="174"/>
      <c r="M90" s="174"/>
      <c r="N90" s="175"/>
      <c r="O90" s="174"/>
      <c r="P90" s="174"/>
      <c r="Q90" s="175"/>
      <c r="R90" s="174"/>
      <c r="S90" s="174"/>
      <c r="T90" s="177">
        <f>T80/T59</f>
        <v>1.0600000000000003</v>
      </c>
      <c r="U90" s="174">
        <f>0.63/0.6</f>
        <v>1.05</v>
      </c>
      <c r="V90" s="174"/>
      <c r="W90" s="175"/>
      <c r="X90" s="174"/>
      <c r="Y90" s="174"/>
      <c r="Z90" s="175"/>
      <c r="AA90" s="174"/>
      <c r="AB90" s="174"/>
      <c r="AC90" s="175"/>
      <c r="AD90" s="174"/>
    </row>
    <row r="91" spans="2:31" x14ac:dyDescent="0.2"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</row>
    <row r="92" spans="2:31" x14ac:dyDescent="0.2">
      <c r="B92" s="1" t="s">
        <v>91</v>
      </c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</row>
    <row r="94" spans="2:31" x14ac:dyDescent="0.2">
      <c r="C94" t="s">
        <v>92</v>
      </c>
      <c r="H94" t="s">
        <v>99</v>
      </c>
    </row>
    <row r="95" spans="2:31" x14ac:dyDescent="0.2">
      <c r="D95" s="41"/>
      <c r="E95" s="41" t="s">
        <v>94</v>
      </c>
      <c r="F95" s="41"/>
      <c r="I95" s="41"/>
      <c r="J95" s="41" t="s">
        <v>97</v>
      </c>
      <c r="K95" s="41"/>
    </row>
    <row r="96" spans="2:31" x14ac:dyDescent="0.2">
      <c r="D96" s="19" t="s">
        <v>93</v>
      </c>
      <c r="E96" s="41"/>
      <c r="F96" s="41" t="s">
        <v>95</v>
      </c>
      <c r="I96" s="19" t="s">
        <v>96</v>
      </c>
      <c r="J96" s="41"/>
      <c r="K96" s="41" t="s">
        <v>98</v>
      </c>
    </row>
    <row r="97" spans="3:11" x14ac:dyDescent="0.2">
      <c r="C97" s="16">
        <v>1</v>
      </c>
      <c r="D97" s="107">
        <v>33.561842105263182</v>
      </c>
      <c r="E97" s="107">
        <v>32.157894736842223</v>
      </c>
      <c r="F97" s="107">
        <v>30.669736842105323</v>
      </c>
      <c r="H97" s="16">
        <v>1</v>
      </c>
      <c r="I97" s="107">
        <v>34.838084318002032</v>
      </c>
      <c r="J97" s="107">
        <v>32.009914247434573</v>
      </c>
      <c r="K97" s="107">
        <v>29.189275921395929</v>
      </c>
    </row>
    <row r="98" spans="3:11" x14ac:dyDescent="0.2">
      <c r="C98" s="26">
        <v>2</v>
      </c>
      <c r="D98" s="114">
        <v>55.500000000000021</v>
      </c>
      <c r="E98" s="114">
        <v>55.500000000000107</v>
      </c>
      <c r="F98" s="114">
        <v>55.500000000000057</v>
      </c>
      <c r="H98" s="26">
        <v>2</v>
      </c>
      <c r="I98" s="114">
        <v>62.325185975887308</v>
      </c>
      <c r="J98" s="114">
        <v>59.124194551143859</v>
      </c>
      <c r="K98" s="114">
        <v>55.923203126400409</v>
      </c>
    </row>
    <row r="99" spans="3:11" x14ac:dyDescent="0.2">
      <c r="C99" s="16">
        <v>3</v>
      </c>
      <c r="D99" s="107">
        <v>77.438157894736861</v>
      </c>
      <c r="E99" s="107">
        <v>78.84210526315799</v>
      </c>
      <c r="F99" s="107">
        <v>80.330263157894791</v>
      </c>
      <c r="H99" s="16">
        <v>3</v>
      </c>
      <c r="I99" s="107">
        <v>87.47744682984208</v>
      </c>
      <c r="J99" s="107">
        <v>84.675637865125452</v>
      </c>
      <c r="K99" s="107">
        <v>81.885126517202039</v>
      </c>
    </row>
    <row r="100" spans="3:11" x14ac:dyDescent="0.2">
      <c r="C100" s="16">
        <v>4</v>
      </c>
      <c r="D100" s="107">
        <v>99.376315789473708</v>
      </c>
      <c r="E100" s="107">
        <v>102.18421052631588</v>
      </c>
      <c r="F100" s="107">
        <v>105.16052631578953</v>
      </c>
      <c r="H100" s="16">
        <v>4</v>
      </c>
      <c r="I100" s="107">
        <v>112.22299347924121</v>
      </c>
      <c r="J100" s="107">
        <v>109.96347012059876</v>
      </c>
      <c r="K100" s="107">
        <v>107.70394676195632</v>
      </c>
    </row>
    <row r="101" spans="3:11" x14ac:dyDescent="0.2">
      <c r="C101" s="26">
        <v>5</v>
      </c>
      <c r="D101" s="114">
        <v>121.31447368421055</v>
      </c>
      <c r="E101" s="114">
        <v>125.52631578947377</v>
      </c>
      <c r="F101" s="114">
        <v>129.99078947368426</v>
      </c>
      <c r="H101" s="26">
        <v>5</v>
      </c>
      <c r="I101" s="114">
        <v>137.17189723091815</v>
      </c>
      <c r="J101" s="114">
        <v>135.38310790532623</v>
      </c>
      <c r="K101" s="114">
        <v>133.59431857973431</v>
      </c>
    </row>
    <row r="102" spans="3:11" x14ac:dyDescent="0.2">
      <c r="C102" s="16">
        <v>10</v>
      </c>
      <c r="D102" s="107">
        <v>231.00526315789477</v>
      </c>
      <c r="E102" s="107">
        <v>242.23684210526321</v>
      </c>
      <c r="F102" s="107">
        <v>254.14210526315793</v>
      </c>
      <c r="H102" s="16">
        <v>10</v>
      </c>
      <c r="I102" s="107">
        <v>263.61105850828471</v>
      </c>
      <c r="J102" s="107">
        <v>263.61105850828471</v>
      </c>
      <c r="K102" s="107">
        <v>263.61105850828471</v>
      </c>
    </row>
    <row r="103" spans="3:11" x14ac:dyDescent="0.2">
      <c r="C103" s="16">
        <v>20</v>
      </c>
      <c r="D103" s="107">
        <v>450.38684210526321</v>
      </c>
      <c r="E103" s="107">
        <v>475.65789473684208</v>
      </c>
      <c r="F103" s="107">
        <v>502.44473684210527</v>
      </c>
      <c r="H103" s="16">
        <v>20</v>
      </c>
      <c r="I103" s="107">
        <v>527.22211701656943</v>
      </c>
      <c r="J103" s="107">
        <v>527.22211701656943</v>
      </c>
      <c r="K103" s="107">
        <v>527.22211701656943</v>
      </c>
    </row>
    <row r="104" spans="3:11" x14ac:dyDescent="0.2">
      <c r="C104" s="16">
        <v>30</v>
      </c>
      <c r="D104" s="107">
        <v>669.76842105263165</v>
      </c>
      <c r="E104" s="107">
        <v>709.07894736842104</v>
      </c>
      <c r="F104" s="107">
        <v>750.74736842105267</v>
      </c>
      <c r="H104" s="16">
        <v>30</v>
      </c>
      <c r="I104" s="107">
        <v>790.83317552485403</v>
      </c>
      <c r="J104" s="107">
        <v>790.83317552485403</v>
      </c>
      <c r="K104" s="107">
        <v>790.83317552485403</v>
      </c>
    </row>
    <row r="105" spans="3:11" x14ac:dyDescent="0.2">
      <c r="C105" s="26">
        <v>40</v>
      </c>
      <c r="D105" s="114">
        <v>889.15000000000009</v>
      </c>
      <c r="E105" s="114">
        <v>942.49999999999977</v>
      </c>
      <c r="F105" s="114">
        <v>999.05</v>
      </c>
      <c r="H105" s="26">
        <v>40</v>
      </c>
      <c r="I105" s="114">
        <v>1054.4442340331389</v>
      </c>
      <c r="J105" s="114">
        <v>1054.4442340331389</v>
      </c>
      <c r="K105" s="114">
        <v>1054.4442340331389</v>
      </c>
    </row>
    <row r="106" spans="3:11" x14ac:dyDescent="0.2">
      <c r="C106" s="16">
        <v>50</v>
      </c>
      <c r="D106" s="107">
        <v>1108.5315789473684</v>
      </c>
      <c r="E106" s="107">
        <v>1175.9210526315787</v>
      </c>
      <c r="F106" s="107">
        <v>1247.3526315789472</v>
      </c>
      <c r="H106" s="16">
        <v>50</v>
      </c>
      <c r="I106" s="107">
        <v>1318.0552925414236</v>
      </c>
      <c r="J106" s="107">
        <v>1318.0552925414236</v>
      </c>
      <c r="K106" s="107">
        <v>1318.0552925414236</v>
      </c>
    </row>
    <row r="252" spans="10:10" x14ac:dyDescent="0.2">
      <c r="J252" s="16"/>
    </row>
    <row r="253" spans="10:10" x14ac:dyDescent="0.2">
      <c r="J253" s="16"/>
    </row>
    <row r="254" spans="10:10" x14ac:dyDescent="0.2">
      <c r="J254" s="16"/>
    </row>
    <row r="255" spans="10:10" x14ac:dyDescent="0.2">
      <c r="J255" s="16"/>
    </row>
    <row r="256" spans="10:10" x14ac:dyDescent="0.2">
      <c r="J256" s="16"/>
    </row>
    <row r="257" spans="10:10" x14ac:dyDescent="0.2">
      <c r="J257" s="16"/>
    </row>
    <row r="258" spans="10:10" x14ac:dyDescent="0.2">
      <c r="J258" s="16"/>
    </row>
    <row r="259" spans="10:10" x14ac:dyDescent="0.2">
      <c r="J259" s="16"/>
    </row>
    <row r="260" spans="10:10" x14ac:dyDescent="0.2">
      <c r="J260" s="16"/>
    </row>
    <row r="261" spans="10:10" x14ac:dyDescent="0.2">
      <c r="J261" s="16"/>
    </row>
    <row r="262" spans="10:10" x14ac:dyDescent="0.2">
      <c r="J262" s="16"/>
    </row>
    <row r="263" spans="10:10" x14ac:dyDescent="0.2">
      <c r="J263" s="16"/>
    </row>
    <row r="264" spans="10:10" x14ac:dyDescent="0.2">
      <c r="J264" s="16"/>
    </row>
    <row r="265" spans="10:10" x14ac:dyDescent="0.2">
      <c r="J265" s="16"/>
    </row>
    <row r="266" spans="10:10" x14ac:dyDescent="0.2">
      <c r="J266" s="16"/>
    </row>
    <row r="267" spans="10:10" x14ac:dyDescent="0.2">
      <c r="J267" s="16"/>
    </row>
    <row r="268" spans="10:10" x14ac:dyDescent="0.2">
      <c r="J268" s="16"/>
    </row>
    <row r="269" spans="10:10" x14ac:dyDescent="0.2">
      <c r="J269" s="16"/>
    </row>
  </sheetData>
  <pageMargins left="0.7" right="0.7" top="0.25" bottom="0.25" header="0.3" footer="0.3"/>
  <pageSetup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6F20-AEFF-484F-BB5F-827372A1F9BF}">
  <sheetPr transitionEvaluation="1" transitionEntry="1">
    <pageSetUpPr fitToPage="1"/>
  </sheetPr>
  <dimension ref="B2:T27"/>
  <sheetViews>
    <sheetView showGridLines="0" zoomScale="90" zoomScaleNormal="90" workbookViewId="0">
      <selection activeCell="L28" sqref="L28"/>
    </sheetView>
  </sheetViews>
  <sheetFormatPr defaultRowHeight="12.75" x14ac:dyDescent="0.2"/>
  <cols>
    <col min="1" max="9" width="9.140625" customWidth="1"/>
    <col min="10" max="10" width="16.85546875" customWidth="1"/>
    <col min="11" max="11" width="15.42578125" customWidth="1"/>
    <col min="12" max="37" width="9.140625" customWidth="1"/>
    <col min="38" max="38" width="8.28515625" customWidth="1"/>
  </cols>
  <sheetData>
    <row r="2" spans="2:20" x14ac:dyDescent="0.2">
      <c r="B2" s="170" t="s">
        <v>63</v>
      </c>
    </row>
    <row r="6" spans="2:20" x14ac:dyDescent="0.2">
      <c r="B6" t="s">
        <v>74</v>
      </c>
    </row>
    <row r="7" spans="2:20" x14ac:dyDescent="0.2">
      <c r="B7" t="s">
        <v>75</v>
      </c>
    </row>
    <row r="8" spans="2:20" ht="15" x14ac:dyDescent="0.25">
      <c r="B8" s="1" t="s">
        <v>76</v>
      </c>
    </row>
    <row r="9" spans="2:20" x14ac:dyDescent="0.2">
      <c r="P9" t="s">
        <v>77</v>
      </c>
    </row>
    <row r="10" spans="2:20" x14ac:dyDescent="0.2">
      <c r="C10" s="1" t="s">
        <v>78</v>
      </c>
    </row>
    <row r="11" spans="2:20" ht="15" x14ac:dyDescent="0.25">
      <c r="P11" s="75">
        <v>1.1200000000000001</v>
      </c>
      <c r="Q11" t="s">
        <v>79</v>
      </c>
    </row>
    <row r="12" spans="2:20" x14ac:dyDescent="0.2">
      <c r="C12" t="s">
        <v>75</v>
      </c>
      <c r="E12" s="1" t="s">
        <v>80</v>
      </c>
      <c r="M12" s="82" t="s">
        <v>81</v>
      </c>
      <c r="N12" s="82" t="s">
        <v>81</v>
      </c>
      <c r="P12" s="82"/>
      <c r="Q12" s="82"/>
    </row>
    <row r="13" spans="2:20" x14ac:dyDescent="0.2">
      <c r="D13" s="82" t="s">
        <v>65</v>
      </c>
      <c r="E13" s="82" t="s">
        <v>82</v>
      </c>
      <c r="F13" s="82" t="s">
        <v>83</v>
      </c>
      <c r="G13" s="82" t="s">
        <v>84</v>
      </c>
      <c r="I13" s="82" t="s">
        <v>85</v>
      </c>
      <c r="J13" s="82" t="s">
        <v>86</v>
      </c>
      <c r="K13" s="82" t="s">
        <v>84</v>
      </c>
      <c r="M13" s="82" t="s">
        <v>84</v>
      </c>
      <c r="N13" s="82" t="s">
        <v>12</v>
      </c>
      <c r="P13" s="139" t="s">
        <v>87</v>
      </c>
      <c r="Q13" s="82" t="s">
        <v>88</v>
      </c>
      <c r="S13" s="82" t="s">
        <v>85</v>
      </c>
      <c r="T13" s="82" t="s">
        <v>86</v>
      </c>
    </row>
    <row r="14" spans="2:20" ht="15" x14ac:dyDescent="0.25">
      <c r="D14" s="82">
        <v>2</v>
      </c>
      <c r="E14" s="60">
        <v>47</v>
      </c>
      <c r="F14" s="60">
        <v>65</v>
      </c>
      <c r="G14" s="168">
        <f>SUM(E14:F14)/2</f>
        <v>56</v>
      </c>
      <c r="I14" s="60">
        <v>0.62</v>
      </c>
      <c r="J14" s="60">
        <v>0.86</v>
      </c>
      <c r="K14" s="60">
        <f>SUM(I14:J14)/2</f>
        <v>0.74</v>
      </c>
      <c r="M14" s="169">
        <v>56</v>
      </c>
      <c r="N14" s="169">
        <v>0.74</v>
      </c>
      <c r="P14" s="107">
        <f>M14/P$11</f>
        <v>49.999999999999993</v>
      </c>
      <c r="Q14" s="107">
        <f>M14*P$11</f>
        <v>62.720000000000006</v>
      </c>
      <c r="S14">
        <v>0.66</v>
      </c>
      <c r="T14">
        <v>0.84</v>
      </c>
    </row>
    <row r="15" spans="2:20" ht="15" x14ac:dyDescent="0.25">
      <c r="D15" s="82">
        <v>5</v>
      </c>
      <c r="E15" s="60">
        <v>110</v>
      </c>
      <c r="F15" s="60">
        <v>147</v>
      </c>
      <c r="G15" s="168">
        <f>SUM(E15:F15)/2</f>
        <v>128.5</v>
      </c>
      <c r="I15" s="60">
        <v>0.57999999999999996</v>
      </c>
      <c r="J15" s="60">
        <v>0.78</v>
      </c>
      <c r="K15" s="60">
        <f>SUM(I15:J15)/2</f>
        <v>0.67999999999999994</v>
      </c>
      <c r="L15" t="s">
        <v>22</v>
      </c>
      <c r="M15" s="169">
        <v>129</v>
      </c>
      <c r="N15" s="169">
        <v>0.68</v>
      </c>
      <c r="P15" s="107">
        <f>M15/P$11</f>
        <v>115.17857142857142</v>
      </c>
      <c r="Q15" s="107">
        <f>M15*P$11</f>
        <v>144.48000000000002</v>
      </c>
      <c r="S15">
        <v>0.61</v>
      </c>
      <c r="T15">
        <v>0.76</v>
      </c>
    </row>
    <row r="16" spans="2:20" ht="15" x14ac:dyDescent="0.25">
      <c r="D16" s="82">
        <v>40</v>
      </c>
      <c r="E16" s="60">
        <v>830</v>
      </c>
      <c r="F16" s="60">
        <v>1050</v>
      </c>
      <c r="G16" s="168">
        <f>SUM(E16:F16)/2</f>
        <v>940</v>
      </c>
      <c r="I16" s="60">
        <v>0.55000000000000004</v>
      </c>
      <c r="J16" s="60">
        <v>0.7</v>
      </c>
      <c r="K16" s="60">
        <f>SUM(I16:J16)/2</f>
        <v>0.625</v>
      </c>
      <c r="M16" s="169">
        <v>940</v>
      </c>
      <c r="N16" s="169">
        <v>0.625</v>
      </c>
      <c r="P16" s="107">
        <f>M16/P$11</f>
        <v>839.28571428571422</v>
      </c>
      <c r="Q16" s="107">
        <f>M16*P$11</f>
        <v>1052.8000000000002</v>
      </c>
      <c r="S16">
        <v>0.56000000000000005</v>
      </c>
      <c r="T16">
        <v>0.7</v>
      </c>
    </row>
    <row r="17" spans="4:20" x14ac:dyDescent="0.2">
      <c r="D17" s="82"/>
      <c r="M17" s="82"/>
      <c r="N17" s="82"/>
      <c r="P17" s="82"/>
      <c r="Q17" s="82"/>
    </row>
    <row r="18" spans="4:20" x14ac:dyDescent="0.2">
      <c r="F18" s="143"/>
    </row>
    <row r="19" spans="4:20" ht="15" x14ac:dyDescent="0.25">
      <c r="F19" s="143"/>
      <c r="Q19" s="78">
        <f>P23</f>
        <v>3</v>
      </c>
      <c r="T19" s="78">
        <f>S23</f>
        <v>47</v>
      </c>
    </row>
    <row r="20" spans="4:20" ht="15" x14ac:dyDescent="0.25">
      <c r="F20" s="143"/>
      <c r="P20" s="75">
        <v>63</v>
      </c>
      <c r="Q20">
        <f>-P21</f>
        <v>48</v>
      </c>
      <c r="S20" s="75">
        <v>1060</v>
      </c>
      <c r="T20">
        <f>-S21</f>
        <v>825</v>
      </c>
    </row>
    <row r="21" spans="4:20" ht="15" x14ac:dyDescent="0.25">
      <c r="F21" s="143"/>
      <c r="I21" t="s">
        <v>105</v>
      </c>
      <c r="P21" s="75">
        <v>-48</v>
      </c>
      <c r="Q21">
        <f>Q20+Q$19</f>
        <v>51</v>
      </c>
      <c r="S21" s="75">
        <v>-825</v>
      </c>
      <c r="T21">
        <f>T20+T$19</f>
        <v>872</v>
      </c>
    </row>
    <row r="22" spans="4:20" x14ac:dyDescent="0.2">
      <c r="F22" s="143"/>
      <c r="I22" t="s">
        <v>106</v>
      </c>
      <c r="K22" t="s">
        <v>107</v>
      </c>
      <c r="P22">
        <f>SUM(P20:P21)</f>
        <v>15</v>
      </c>
      <c r="Q22">
        <f>Q21+Q$19</f>
        <v>54</v>
      </c>
      <c r="S22">
        <f>SUM(S20:S21)</f>
        <v>235</v>
      </c>
      <c r="T22">
        <f>T21+T$19</f>
        <v>919</v>
      </c>
    </row>
    <row r="23" spans="4:20" x14ac:dyDescent="0.2">
      <c r="F23" s="143"/>
      <c r="P23">
        <f>P22/5</f>
        <v>3</v>
      </c>
      <c r="Q23">
        <f>Q22+Q$19</f>
        <v>57</v>
      </c>
      <c r="S23">
        <f>S22/5</f>
        <v>47</v>
      </c>
      <c r="T23">
        <f>T22+T$19</f>
        <v>966</v>
      </c>
    </row>
    <row r="24" spans="4:20" x14ac:dyDescent="0.2">
      <c r="F24" s="143"/>
      <c r="I24" t="s">
        <v>65</v>
      </c>
      <c r="J24" t="s">
        <v>108</v>
      </c>
      <c r="K24" t="s">
        <v>112</v>
      </c>
      <c r="Q24">
        <f>Q23+Q$19</f>
        <v>60</v>
      </c>
      <c r="T24">
        <f>T23+T$19</f>
        <v>1013</v>
      </c>
    </row>
    <row r="25" spans="4:20" x14ac:dyDescent="0.2">
      <c r="F25" s="143"/>
      <c r="J25" t="s">
        <v>110</v>
      </c>
      <c r="K25" t="s">
        <v>113</v>
      </c>
      <c r="Q25">
        <f>Q24+Q$19</f>
        <v>63</v>
      </c>
      <c r="T25">
        <f>T24+T$19</f>
        <v>1060</v>
      </c>
    </row>
    <row r="26" spans="4:20" x14ac:dyDescent="0.2">
      <c r="F26" s="143"/>
      <c r="J26" t="s">
        <v>109</v>
      </c>
      <c r="K26" t="s">
        <v>114</v>
      </c>
    </row>
    <row r="27" spans="4:20" x14ac:dyDescent="0.2">
      <c r="J27" t="s">
        <v>111</v>
      </c>
      <c r="K27" t="s">
        <v>115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4024-0653-4F48-A50C-286A4207529E}">
  <sheetPr transitionEvaluation="1" transitionEntry="1" codeName="Sheet1">
    <pageSetUpPr fitToPage="1"/>
  </sheetPr>
  <dimension ref="A1:AU141"/>
  <sheetViews>
    <sheetView showGridLines="0" zoomScale="80" zoomScaleNormal="80" workbookViewId="0">
      <selection activeCell="N33" sqref="N33"/>
    </sheetView>
  </sheetViews>
  <sheetFormatPr defaultRowHeight="15" x14ac:dyDescent="0.25"/>
  <cols>
    <col min="1" max="11" width="10.7109375" style="49" customWidth="1"/>
    <col min="12" max="12" width="14.7109375" style="49" customWidth="1"/>
    <col min="13" max="27" width="10.7109375" style="49" customWidth="1"/>
    <col min="28" max="29" width="9.28515625" style="49" customWidth="1"/>
    <col min="30" max="16384" width="9.140625" style="49"/>
  </cols>
  <sheetData>
    <row r="1" spans="1:25" x14ac:dyDescent="0.25">
      <c r="B1"/>
      <c r="C1"/>
      <c r="D1"/>
      <c r="E1"/>
      <c r="F1"/>
      <c r="G1"/>
      <c r="H1"/>
      <c r="I1"/>
      <c r="J1"/>
      <c r="K1"/>
      <c r="L1"/>
      <c r="R1" s="91" t="s">
        <v>27</v>
      </c>
      <c r="W1" s="50"/>
    </row>
    <row r="2" spans="1:25" x14ac:dyDescent="0.25">
      <c r="A2" t="s">
        <v>20</v>
      </c>
      <c r="C2"/>
      <c r="D2"/>
      <c r="E2"/>
      <c r="F2"/>
      <c r="G2"/>
      <c r="H2"/>
      <c r="I2"/>
      <c r="J2"/>
      <c r="K2">
        <v>62.3</v>
      </c>
      <c r="L2" s="111" t="s">
        <v>61</v>
      </c>
      <c r="M2"/>
      <c r="N2" s="102">
        <v>0.78</v>
      </c>
      <c r="R2" s="91" t="s">
        <v>11</v>
      </c>
      <c r="W2" s="50"/>
    </row>
    <row r="3" spans="1:25" x14ac:dyDescent="0.25">
      <c r="A3" s="1" t="s">
        <v>21</v>
      </c>
      <c r="C3"/>
      <c r="D3"/>
      <c r="E3"/>
      <c r="F3"/>
      <c r="G3"/>
      <c r="H3"/>
      <c r="I3"/>
      <c r="J3"/>
      <c r="K3">
        <v>61.5</v>
      </c>
      <c r="L3" s="111" t="s">
        <v>61</v>
      </c>
      <c r="M3"/>
      <c r="N3" s="102">
        <v>0.76</v>
      </c>
      <c r="R3" s="61"/>
      <c r="W3" s="50"/>
    </row>
    <row r="4" spans="1:25" x14ac:dyDescent="0.25">
      <c r="A4" s="1" t="s">
        <v>26</v>
      </c>
      <c r="C4"/>
      <c r="D4"/>
      <c r="E4"/>
      <c r="F4"/>
      <c r="G4"/>
      <c r="H4"/>
      <c r="I4"/>
      <c r="J4"/>
      <c r="K4">
        <v>60.6</v>
      </c>
      <c r="L4" s="111" t="s">
        <v>61</v>
      </c>
      <c r="M4"/>
      <c r="N4" s="102">
        <v>0.75</v>
      </c>
      <c r="R4" s="61"/>
      <c r="W4" s="50"/>
    </row>
    <row r="5" spans="1:25" x14ac:dyDescent="0.25">
      <c r="B5" s="19"/>
      <c r="C5"/>
      <c r="D5"/>
      <c r="E5"/>
      <c r="F5"/>
      <c r="G5"/>
      <c r="H5"/>
      <c r="I5"/>
      <c r="J5"/>
      <c r="K5">
        <v>59.8</v>
      </c>
      <c r="L5" s="111" t="s">
        <v>61</v>
      </c>
      <c r="M5"/>
      <c r="N5" s="102">
        <v>0.74</v>
      </c>
      <c r="R5" s="61"/>
      <c r="W5" s="50"/>
    </row>
    <row r="6" spans="1:25" ht="18.75" x14ac:dyDescent="0.3">
      <c r="A6" s="167" t="s">
        <v>73</v>
      </c>
      <c r="B6"/>
      <c r="C6"/>
      <c r="D6"/>
      <c r="E6"/>
      <c r="F6"/>
      <c r="G6"/>
      <c r="H6"/>
      <c r="I6"/>
      <c r="J6"/>
      <c r="K6">
        <v>59</v>
      </c>
      <c r="L6" s="111" t="s">
        <v>61</v>
      </c>
      <c r="M6"/>
      <c r="N6" s="102">
        <v>0.73</v>
      </c>
      <c r="O6" s="122" t="s">
        <v>57</v>
      </c>
      <c r="R6" s="61"/>
      <c r="W6" s="50"/>
    </row>
    <row r="7" spans="1:25" x14ac:dyDescent="0.25">
      <c r="B7"/>
      <c r="C7" s="29"/>
      <c r="D7" s="9"/>
      <c r="E7"/>
      <c r="F7" s="9"/>
      <c r="H7"/>
      <c r="I7"/>
      <c r="J7"/>
      <c r="K7">
        <v>58.2</v>
      </c>
      <c r="L7" s="111" t="s">
        <v>61</v>
      </c>
      <c r="M7"/>
      <c r="N7" s="102">
        <v>0.71</v>
      </c>
      <c r="O7" s="123" t="s">
        <v>58</v>
      </c>
    </row>
    <row r="8" spans="1:25" x14ac:dyDescent="0.25">
      <c r="B8"/>
      <c r="G8" s="92" t="s">
        <v>32</v>
      </c>
      <c r="H8"/>
      <c r="I8"/>
      <c r="J8"/>
      <c r="K8">
        <v>57.4</v>
      </c>
      <c r="L8" s="111" t="s">
        <v>61</v>
      </c>
      <c r="M8"/>
      <c r="N8" s="102">
        <v>0.7</v>
      </c>
      <c r="O8" s="123" t="s">
        <v>60</v>
      </c>
    </row>
    <row r="9" spans="1:25" x14ac:dyDescent="0.25">
      <c r="B9"/>
      <c r="C9" s="17">
        <v>2.5150999999999999</v>
      </c>
      <c r="D9" s="14" t="s">
        <v>10</v>
      </c>
      <c r="E9"/>
      <c r="F9"/>
      <c r="G9" s="93" t="s">
        <v>33</v>
      </c>
      <c r="H9"/>
      <c r="I9"/>
      <c r="J9"/>
      <c r="O9" s="1" t="s">
        <v>59</v>
      </c>
    </row>
    <row r="10" spans="1:25" x14ac:dyDescent="0.25">
      <c r="B10"/>
      <c r="C10" s="17">
        <v>4.55</v>
      </c>
      <c r="D10" s="9" t="s">
        <v>0</v>
      </c>
      <c r="E10"/>
      <c r="F10"/>
      <c r="G10" s="92" t="s">
        <v>28</v>
      </c>
      <c r="H10" s="9"/>
      <c r="I10" s="9"/>
      <c r="J10" s="9"/>
    </row>
    <row r="11" spans="1:25" x14ac:dyDescent="0.25">
      <c r="B11" s="81" t="s">
        <v>29</v>
      </c>
      <c r="C11" s="17">
        <v>85</v>
      </c>
      <c r="D11" s="14" t="s">
        <v>1</v>
      </c>
      <c r="E11"/>
      <c r="G11" s="9"/>
      <c r="H11" s="9"/>
      <c r="I11" s="9"/>
      <c r="J11" s="9"/>
      <c r="O11" s="144" t="s">
        <v>63</v>
      </c>
      <c r="P11" s="144" t="s">
        <v>64</v>
      </c>
    </row>
    <row r="12" spans="1:25" x14ac:dyDescent="0.25">
      <c r="B12" s="81" t="s">
        <v>30</v>
      </c>
      <c r="C12"/>
      <c r="D12" s="40"/>
      <c r="E12" s="39">
        <v>1</v>
      </c>
      <c r="F12" s="9"/>
      <c r="G12" s="9"/>
      <c r="H12" s="9"/>
      <c r="I12" s="9"/>
      <c r="J12" s="9"/>
    </row>
    <row r="13" spans="1:25" x14ac:dyDescent="0.25">
      <c r="B13" s="81" t="s">
        <v>31</v>
      </c>
      <c r="C13" s="2" t="s">
        <v>3</v>
      </c>
      <c r="D13" s="18" t="s">
        <v>2</v>
      </c>
      <c r="E13" s="18" t="s">
        <v>3</v>
      </c>
      <c r="F13" s="21" t="s">
        <v>5</v>
      </c>
      <c r="G13" s="18" t="s">
        <v>4</v>
      </c>
      <c r="H13" s="9"/>
      <c r="I13"/>
      <c r="J13"/>
      <c r="K13"/>
      <c r="L13"/>
      <c r="M13"/>
      <c r="N13"/>
      <c r="O13" s="131" t="s">
        <v>36</v>
      </c>
      <c r="P13" s="132" t="s">
        <v>36</v>
      </c>
      <c r="Q13" s="133" t="s">
        <v>36</v>
      </c>
      <c r="R13" s="132" t="s">
        <v>36</v>
      </c>
      <c r="S13" s="131" t="s">
        <v>36</v>
      </c>
      <c r="T13" s="132" t="s">
        <v>36</v>
      </c>
      <c r="U13" s="131" t="s">
        <v>36</v>
      </c>
      <c r="V13" s="132" t="s">
        <v>36</v>
      </c>
      <c r="W13" s="131" t="s">
        <v>36</v>
      </c>
      <c r="X13" s="132" t="s">
        <v>36</v>
      </c>
      <c r="Y13" s="131" t="s">
        <v>36</v>
      </c>
    </row>
    <row r="14" spans="1:25" x14ac:dyDescent="0.25">
      <c r="B14"/>
      <c r="C14" s="140">
        <v>31.793468446418061</v>
      </c>
      <c r="D14" s="16">
        <v>1</v>
      </c>
      <c r="E14" s="25">
        <f>C14*$E$12</f>
        <v>31.793468446418061</v>
      </c>
      <c r="F14" s="27">
        <f>E14/D14</f>
        <v>31.793468446418061</v>
      </c>
      <c r="G14" s="44">
        <f t="shared" ref="G14:G23" si="0">SQRT(12*32.2*F14^2/(4*$C$11*($C$10*56)*$C$9^2))</f>
        <v>0.84423244819278109</v>
      </c>
      <c r="H14" s="5">
        <f>(G14)</f>
        <v>0.84423244819278109</v>
      </c>
      <c r="J14" s="104" t="s">
        <v>37</v>
      </c>
      <c r="K14" t="s">
        <v>38</v>
      </c>
      <c r="L14"/>
      <c r="M14"/>
      <c r="N14"/>
      <c r="O14" s="105">
        <v>36.422270304838264</v>
      </c>
      <c r="P14" s="127">
        <v>35.930569655722948</v>
      </c>
      <c r="Q14" s="105">
        <v>35.44550696537069</v>
      </c>
      <c r="R14" s="127">
        <v>34.966992621338186</v>
      </c>
      <c r="S14" s="105">
        <v>34.494938220950125</v>
      </c>
      <c r="T14" s="127">
        <v>34.029256554967297</v>
      </c>
      <c r="U14" s="105">
        <v>33.569861591475238</v>
      </c>
      <c r="V14" s="127">
        <v>33.116668459990322</v>
      </c>
      <c r="W14" s="105">
        <v>32.669593435780456</v>
      </c>
      <c r="X14" s="127">
        <v>32.228553924397424</v>
      </c>
      <c r="Y14" s="105">
        <v>31.793468446418061</v>
      </c>
    </row>
    <row r="15" spans="1:25" x14ac:dyDescent="0.25">
      <c r="B15"/>
      <c r="C15" s="141">
        <v>54.376789517871494</v>
      </c>
      <c r="D15" s="26">
        <v>2</v>
      </c>
      <c r="E15" s="36">
        <f t="shared" ref="E15:E23" si="1">C15*$E$12</f>
        <v>54.376789517871494</v>
      </c>
      <c r="F15" s="28">
        <f t="shared" ref="F15:F23" si="2">E15/D15</f>
        <v>27.188394758935747</v>
      </c>
      <c r="G15" s="45">
        <f t="shared" si="0"/>
        <v>0.72195096009897874</v>
      </c>
      <c r="H15" s="9"/>
      <c r="J15" s="138">
        <v>0.69</v>
      </c>
      <c r="K15" s="100">
        <v>62.3</v>
      </c>
      <c r="L15" s="111" t="s">
        <v>61</v>
      </c>
      <c r="M15"/>
      <c r="N15" s="102">
        <v>0.78</v>
      </c>
      <c r="O15" s="100">
        <v>62.29349054718638</v>
      </c>
      <c r="P15" s="128">
        <v>61.452528424799368</v>
      </c>
      <c r="Q15" s="100">
        <v>60.622919291064576</v>
      </c>
      <c r="R15" s="128">
        <v>59.804509880635209</v>
      </c>
      <c r="S15" s="100">
        <v>58.997148997246633</v>
      </c>
      <c r="T15" s="128">
        <v>58.200687485783803</v>
      </c>
      <c r="U15" s="100">
        <v>57.41497820472572</v>
      </c>
      <c r="V15" s="128">
        <v>56.639875998961926</v>
      </c>
      <c r="W15" s="100">
        <v>55.875237672975942</v>
      </c>
      <c r="X15" s="128">
        <v>55.120921964390767</v>
      </c>
      <c r="Y15" s="100">
        <v>54.376789517871494</v>
      </c>
    </row>
    <row r="16" spans="1:25" x14ac:dyDescent="0.25">
      <c r="B16"/>
      <c r="C16" s="140">
        <v>76.885565532764915</v>
      </c>
      <c r="D16" s="16">
        <v>3</v>
      </c>
      <c r="E16" s="25">
        <f t="shared" si="1"/>
        <v>76.885565532764915</v>
      </c>
      <c r="F16" s="27">
        <f t="shared" si="2"/>
        <v>25.628521844254973</v>
      </c>
      <c r="G16" s="44">
        <f t="shared" si="0"/>
        <v>0.68053064976542887</v>
      </c>
      <c r="H16" s="94"/>
      <c r="J16" s="138">
        <v>0.66</v>
      </c>
      <c r="K16" s="100">
        <v>60.6</v>
      </c>
      <c r="L16" s="111" t="s">
        <v>61</v>
      </c>
      <c r="M16"/>
      <c r="N16" s="102">
        <v>0.75</v>
      </c>
      <c r="O16" s="99">
        <v>88.079312739790566</v>
      </c>
      <c r="P16" s="129">
        <v>86.890242017803402</v>
      </c>
      <c r="Q16" s="99">
        <v>85.717223750563065</v>
      </c>
      <c r="R16" s="129">
        <v>84.560041229930462</v>
      </c>
      <c r="S16" s="99">
        <v>83.4184806733264</v>
      </c>
      <c r="T16" s="129">
        <v>82.292331184236502</v>
      </c>
      <c r="U16" s="99">
        <v>81.181384713249315</v>
      </c>
      <c r="V16" s="129">
        <v>80.08543601962046</v>
      </c>
      <c r="W16" s="99">
        <v>79.004282633355587</v>
      </c>
      <c r="X16" s="129">
        <v>77.937724817805289</v>
      </c>
      <c r="Y16" s="99">
        <v>76.885565532764915</v>
      </c>
    </row>
    <row r="17" spans="2:27" x14ac:dyDescent="0.25">
      <c r="B17"/>
      <c r="C17" s="140">
        <v>99.319796491098344</v>
      </c>
      <c r="D17" s="16">
        <v>4</v>
      </c>
      <c r="E17" s="25">
        <f t="shared" si="1"/>
        <v>99.319796491098344</v>
      </c>
      <c r="F17" s="27">
        <f t="shared" si="2"/>
        <v>24.829949122774586</v>
      </c>
      <c r="G17" s="44">
        <f t="shared" si="0"/>
        <v>0.65932563387194232</v>
      </c>
      <c r="H17" s="94"/>
      <c r="J17" s="138">
        <v>0.63</v>
      </c>
      <c r="K17" s="100">
        <v>59</v>
      </c>
      <c r="L17" s="111" t="s">
        <v>61</v>
      </c>
      <c r="M17"/>
      <c r="N17" s="102">
        <v>0.73</v>
      </c>
      <c r="O17" s="99">
        <v>113.77973688265091</v>
      </c>
      <c r="P17" s="129">
        <v>112.24371043473512</v>
      </c>
      <c r="Q17" s="99">
        <v>110.7284203438662</v>
      </c>
      <c r="R17" s="129">
        <v>109.23358666922401</v>
      </c>
      <c r="S17" s="99">
        <v>107.7589332491895</v>
      </c>
      <c r="T17" s="129">
        <v>106.30418765032545</v>
      </c>
      <c r="U17" s="99">
        <v>104.86908111704605</v>
      </c>
      <c r="V17" s="129">
        <v>103.45334852196594</v>
      </c>
      <c r="W17" s="99">
        <v>102.0567283169194</v>
      </c>
      <c r="X17" s="129">
        <v>100.67896248464099</v>
      </c>
      <c r="Y17" s="99">
        <v>99.319796491098344</v>
      </c>
    </row>
    <row r="18" spans="2:27" x14ac:dyDescent="0.25">
      <c r="B18"/>
      <c r="C18" s="141">
        <v>121.67948239287176</v>
      </c>
      <c r="D18" s="26">
        <v>5</v>
      </c>
      <c r="E18" s="36">
        <f t="shared" si="1"/>
        <v>121.67948239287176</v>
      </c>
      <c r="F18" s="28">
        <f t="shared" si="2"/>
        <v>24.335896478574352</v>
      </c>
      <c r="G18" s="45">
        <f t="shared" si="0"/>
        <v>0.64620673575448095</v>
      </c>
      <c r="H18" s="95">
        <f>(G18)</f>
        <v>0.64620673575448095</v>
      </c>
      <c r="J18" s="138">
        <v>0.6</v>
      </c>
      <c r="K18" s="100">
        <v>57.4</v>
      </c>
      <c r="L18" s="111" t="s">
        <v>61</v>
      </c>
      <c r="M18"/>
      <c r="N18" s="102">
        <v>0.7</v>
      </c>
      <c r="O18" s="100">
        <v>139.39476297576732</v>
      </c>
      <c r="P18" s="128">
        <v>137.51293367559447</v>
      </c>
      <c r="Q18" s="100">
        <v>135.65650907097395</v>
      </c>
      <c r="R18" s="128">
        <v>133.82514619851582</v>
      </c>
      <c r="S18" s="100">
        <v>132.01850672483587</v>
      </c>
      <c r="T18" s="128">
        <v>130.23625688405059</v>
      </c>
      <c r="U18" s="100">
        <v>128.47806741611592</v>
      </c>
      <c r="V18" s="128">
        <v>126.74361350599835</v>
      </c>
      <c r="W18" s="100">
        <v>125.03257472366738</v>
      </c>
      <c r="X18" s="128">
        <v>123.34463496489788</v>
      </c>
      <c r="Y18" s="100">
        <v>121.67948239287176</v>
      </c>
    </row>
    <row r="19" spans="2:27" x14ac:dyDescent="0.25">
      <c r="B19"/>
      <c r="C19" s="140">
        <v>213.06547625415615</v>
      </c>
      <c r="D19" s="16">
        <v>10</v>
      </c>
      <c r="E19" s="25">
        <f t="shared" si="1"/>
        <v>213.06547625415615</v>
      </c>
      <c r="F19" s="27">
        <f t="shared" si="2"/>
        <v>21.306547625415615</v>
      </c>
      <c r="G19" s="44">
        <f t="shared" si="0"/>
        <v>0.56576648422790288</v>
      </c>
      <c r="H19" s="94"/>
      <c r="J19" s="138">
        <v>0.56999999999999995</v>
      </c>
      <c r="K19" s="100">
        <v>55.9</v>
      </c>
      <c r="L19" s="111" t="s">
        <v>61</v>
      </c>
      <c r="M19"/>
      <c r="N19" s="102">
        <v>0.68</v>
      </c>
      <c r="O19" s="99">
        <v>277.7120315581854</v>
      </c>
      <c r="P19" s="129">
        <v>270.82478457119407</v>
      </c>
      <c r="Q19" s="99">
        <v>264</v>
      </c>
      <c r="R19" s="129">
        <v>257.26800000000003</v>
      </c>
      <c r="S19" s="99">
        <v>250.70766600000005</v>
      </c>
      <c r="T19" s="129">
        <v>244.31462051700007</v>
      </c>
      <c r="U19" s="99">
        <v>237.96244038355806</v>
      </c>
      <c r="V19" s="129">
        <v>231.65643571339379</v>
      </c>
      <c r="W19" s="99">
        <v>225.40171194913216</v>
      </c>
      <c r="X19" s="129">
        <v>219.20316487053103</v>
      </c>
      <c r="Y19" s="99">
        <v>213.06547625415615</v>
      </c>
    </row>
    <row r="20" spans="2:27" x14ac:dyDescent="0.25">
      <c r="B20"/>
      <c r="C20" s="140">
        <v>410.7966947475964</v>
      </c>
      <c r="D20" s="16">
        <v>20</v>
      </c>
      <c r="E20" s="25">
        <f t="shared" si="1"/>
        <v>410.7966947475964</v>
      </c>
      <c r="F20" s="27">
        <f t="shared" si="2"/>
        <v>20.53983473737982</v>
      </c>
      <c r="G20" s="44">
        <f t="shared" si="0"/>
        <v>0.54540746301515619</v>
      </c>
      <c r="H20" s="94"/>
      <c r="J20" s="138">
        <v>0.54</v>
      </c>
      <c r="K20" s="100">
        <v>54.4</v>
      </c>
      <c r="L20" s="111" t="s">
        <v>61</v>
      </c>
      <c r="M20"/>
      <c r="N20" s="102">
        <v>0.66</v>
      </c>
      <c r="O20" s="99">
        <v>535.43721236028932</v>
      </c>
      <c r="P20" s="129">
        <v>522.15839146491589</v>
      </c>
      <c r="Q20" s="99">
        <v>509</v>
      </c>
      <c r="R20" s="129">
        <v>496.02050000000003</v>
      </c>
      <c r="S20" s="99">
        <v>483.37197725000004</v>
      </c>
      <c r="T20" s="129">
        <v>471.04599183012505</v>
      </c>
      <c r="U20" s="99">
        <v>458.79879604254177</v>
      </c>
      <c r="V20" s="129">
        <v>446.64062794741443</v>
      </c>
      <c r="W20" s="99">
        <v>434.58133099283424</v>
      </c>
      <c r="X20" s="129">
        <v>422.63034439053132</v>
      </c>
      <c r="Y20" s="99">
        <v>410.7966947475964</v>
      </c>
    </row>
    <row r="21" spans="2:27" x14ac:dyDescent="0.25">
      <c r="B21"/>
      <c r="C21" s="140">
        <v>601.26431745964499</v>
      </c>
      <c r="D21" s="16">
        <v>30</v>
      </c>
      <c r="E21" s="25">
        <f t="shared" si="1"/>
        <v>601.26431745964499</v>
      </c>
      <c r="F21" s="27">
        <f t="shared" si="2"/>
        <v>20.0421439153215</v>
      </c>
      <c r="G21" s="44">
        <f t="shared" si="0"/>
        <v>0.53219195801740848</v>
      </c>
      <c r="H21" s="94"/>
      <c r="K21"/>
      <c r="L21" s="111"/>
      <c r="M21"/>
      <c r="N21" s="102"/>
      <c r="O21" s="99">
        <v>783.69493754109135</v>
      </c>
      <c r="P21" s="129">
        <v>764.25933524825609</v>
      </c>
      <c r="Q21" s="99">
        <v>745</v>
      </c>
      <c r="R21" s="129">
        <v>726.00250000000005</v>
      </c>
      <c r="S21" s="99">
        <v>707.48943625000004</v>
      </c>
      <c r="T21" s="129">
        <v>689.44845562562512</v>
      </c>
      <c r="U21" s="99">
        <v>671.52279577935883</v>
      </c>
      <c r="V21" s="129">
        <v>653.72744169120585</v>
      </c>
      <c r="W21" s="99">
        <v>636.07680076554323</v>
      </c>
      <c r="X21" s="129">
        <v>618.58468874449079</v>
      </c>
      <c r="Y21" s="99">
        <v>601.26431745964499</v>
      </c>
    </row>
    <row r="22" spans="2:27" x14ac:dyDescent="0.25">
      <c r="B22"/>
      <c r="C22" s="141">
        <v>780.50781581853357</v>
      </c>
      <c r="D22" s="26">
        <v>40</v>
      </c>
      <c r="E22" s="36">
        <f t="shared" si="1"/>
        <v>780.50781581853357</v>
      </c>
      <c r="F22" s="28">
        <f t="shared" si="2"/>
        <v>19.512695395463339</v>
      </c>
      <c r="G22" s="45">
        <f t="shared" si="0"/>
        <v>0.51813317041248907</v>
      </c>
      <c r="H22" s="95">
        <f>(G22)</f>
        <v>0.51813317041248907</v>
      </c>
      <c r="I22"/>
      <c r="J22"/>
      <c r="K22"/>
      <c r="L22"/>
      <c r="M22"/>
      <c r="N22"/>
      <c r="O22" s="100">
        <v>1017.3230078787992</v>
      </c>
      <c r="P22" s="128">
        <v>992.09343902829653</v>
      </c>
      <c r="Q22" s="100">
        <v>967.09268436478351</v>
      </c>
      <c r="R22" s="128">
        <v>942.4318209134816</v>
      </c>
      <c r="S22" s="100">
        <v>918.39980948018786</v>
      </c>
      <c r="T22" s="128">
        <v>894.98061433844305</v>
      </c>
      <c r="U22" s="100">
        <v>871.71111836564353</v>
      </c>
      <c r="V22" s="128">
        <v>848.61077372895397</v>
      </c>
      <c r="W22" s="100">
        <v>825.69828283827223</v>
      </c>
      <c r="X22" s="128">
        <v>802.9915800602198</v>
      </c>
      <c r="Y22" s="100">
        <v>780.50781581853357</v>
      </c>
    </row>
    <row r="23" spans="2:27" x14ac:dyDescent="0.25">
      <c r="B23"/>
      <c r="C23" s="140">
        <v>956.5886308798041</v>
      </c>
      <c r="D23" s="16">
        <v>50</v>
      </c>
      <c r="E23" s="25">
        <f t="shared" si="1"/>
        <v>956.5886308798041</v>
      </c>
      <c r="F23" s="27">
        <f t="shared" si="2"/>
        <v>19.131772617596081</v>
      </c>
      <c r="G23" s="44">
        <f t="shared" si="0"/>
        <v>0.5080182825111188</v>
      </c>
      <c r="H23" s="94"/>
      <c r="I23"/>
      <c r="J23"/>
      <c r="K23"/>
      <c r="L23"/>
      <c r="M23"/>
      <c r="N23"/>
      <c r="O23" s="101">
        <v>1246.8287998483827</v>
      </c>
      <c r="P23" s="130">
        <v>1215.9074967745885</v>
      </c>
      <c r="Q23" s="101">
        <v>1185.2666278558688</v>
      </c>
      <c r="R23" s="130">
        <v>1155.0423288455443</v>
      </c>
      <c r="S23" s="101">
        <v>1125.5887494599829</v>
      </c>
      <c r="T23" s="130">
        <v>1096.8862363487533</v>
      </c>
      <c r="U23" s="101">
        <v>1068.3671942036856</v>
      </c>
      <c r="V23" s="130">
        <v>1040.055463557288</v>
      </c>
      <c r="W23" s="101">
        <v>1011.9739660412412</v>
      </c>
      <c r="X23" s="130">
        <v>984.14468197510712</v>
      </c>
      <c r="Y23" s="101">
        <v>956.5886308798041</v>
      </c>
    </row>
    <row r="24" spans="2:27" x14ac:dyDescent="0.25">
      <c r="B24"/>
      <c r="C24"/>
      <c r="D24"/>
      <c r="E24"/>
      <c r="F24"/>
      <c r="G24"/>
      <c r="H24" s="94"/>
      <c r="I24"/>
      <c r="J24"/>
      <c r="K24"/>
      <c r="L24"/>
      <c r="M24"/>
      <c r="N24" s="9"/>
      <c r="O24" s="135">
        <v>0.99</v>
      </c>
      <c r="P24" s="136">
        <v>0.97</v>
      </c>
      <c r="Q24" s="135">
        <v>0.99</v>
      </c>
      <c r="R24" s="136">
        <v>0.98</v>
      </c>
      <c r="S24" s="135">
        <v>0.98</v>
      </c>
      <c r="T24" s="136">
        <v>0.98</v>
      </c>
      <c r="U24" s="135">
        <v>0.98</v>
      </c>
      <c r="V24" s="136">
        <v>0.98</v>
      </c>
      <c r="W24" s="135">
        <v>0.98</v>
      </c>
      <c r="X24" s="136">
        <v>0.98</v>
      </c>
      <c r="Y24" s="135">
        <v>0.98</v>
      </c>
    </row>
    <row r="25" spans="2:27" x14ac:dyDescent="0.25">
      <c r="F25" s="51"/>
      <c r="H25" s="117">
        <v>0.69</v>
      </c>
      <c r="I25" s="100">
        <v>62.3</v>
      </c>
      <c r="J25" s="137"/>
      <c r="K25" s="124" t="s">
        <v>50</v>
      </c>
      <c r="N25"/>
      <c r="O25" s="82" t="s">
        <v>39</v>
      </c>
      <c r="P25" s="134" t="s">
        <v>40</v>
      </c>
      <c r="Q25" s="82" t="s">
        <v>41</v>
      </c>
      <c r="R25" s="134" t="s">
        <v>42</v>
      </c>
      <c r="S25" s="82" t="s">
        <v>43</v>
      </c>
      <c r="T25" s="134" t="s">
        <v>44</v>
      </c>
      <c r="U25" s="82" t="s">
        <v>45</v>
      </c>
      <c r="V25" s="134" t="s">
        <v>46</v>
      </c>
      <c r="W25" s="82" t="s">
        <v>47</v>
      </c>
      <c r="X25" s="134" t="s">
        <v>48</v>
      </c>
      <c r="Y25" s="82" t="s">
        <v>49</v>
      </c>
    </row>
    <row r="26" spans="2:27" x14ac:dyDescent="0.25">
      <c r="H26" s="117">
        <v>0.66</v>
      </c>
      <c r="I26" s="100">
        <v>60.6</v>
      </c>
      <c r="J26" s="137"/>
      <c r="K26" s="124" t="s">
        <v>23</v>
      </c>
      <c r="N26"/>
      <c r="O26" s="117">
        <v>0.69</v>
      </c>
      <c r="P26" s="117"/>
      <c r="Q26" s="117">
        <v>0.66</v>
      </c>
      <c r="R26" s="117"/>
      <c r="S26" s="117">
        <v>0.63</v>
      </c>
      <c r="T26" s="117"/>
      <c r="U26" s="117">
        <v>0.6</v>
      </c>
      <c r="V26" s="117"/>
      <c r="W26" s="117">
        <v>0.56999999999999995</v>
      </c>
      <c r="X26" s="117"/>
      <c r="Y26" s="117">
        <v>0.54</v>
      </c>
    </row>
    <row r="27" spans="2:27" x14ac:dyDescent="0.25">
      <c r="C27" s="52">
        <v>2.5150999999999999</v>
      </c>
      <c r="D27" s="57" t="s">
        <v>10</v>
      </c>
      <c r="G27" s="9"/>
      <c r="H27" s="117">
        <v>0.63</v>
      </c>
      <c r="I27" s="100">
        <v>59</v>
      </c>
      <c r="J27" s="137"/>
      <c r="K27" s="124" t="s">
        <v>51</v>
      </c>
      <c r="N27"/>
      <c r="O27" s="118">
        <f>O15-P15</f>
        <v>0.84096212238701185</v>
      </c>
      <c r="P27" s="118">
        <f t="shared" ref="P27:X27" si="3">P15-Q15</f>
        <v>0.82960913373479173</v>
      </c>
      <c r="Q27" s="118">
        <f t="shared" si="3"/>
        <v>0.81840941042936777</v>
      </c>
      <c r="R27" s="118">
        <f t="shared" si="3"/>
        <v>0.8073608833885757</v>
      </c>
      <c r="S27" s="118">
        <f t="shared" si="3"/>
        <v>0.79646151146283017</v>
      </c>
      <c r="T27" s="118">
        <f t="shared" si="3"/>
        <v>0.78570928105808235</v>
      </c>
      <c r="U27" s="118">
        <f t="shared" si="3"/>
        <v>0.77510220576379396</v>
      </c>
      <c r="V27" s="118">
        <f t="shared" si="3"/>
        <v>0.76463832598598458</v>
      </c>
      <c r="W27" s="118">
        <f t="shared" si="3"/>
        <v>0.7543157085851746</v>
      </c>
      <c r="X27" s="118">
        <f t="shared" si="3"/>
        <v>0.74413244651927357</v>
      </c>
      <c r="Y27"/>
      <c r="AA27" s="50"/>
    </row>
    <row r="28" spans="2:27" x14ac:dyDescent="0.25">
      <c r="B28" s="89" t="s">
        <v>24</v>
      </c>
      <c r="C28" s="52">
        <v>4.55</v>
      </c>
      <c r="D28" s="57" t="s">
        <v>0</v>
      </c>
      <c r="E28" s="90" t="s">
        <v>25</v>
      </c>
      <c r="H28" s="117">
        <v>0.6</v>
      </c>
      <c r="I28" s="100">
        <v>57.4</v>
      </c>
      <c r="J28" s="137"/>
      <c r="K28" s="124" t="s">
        <v>52</v>
      </c>
      <c r="N28"/>
      <c r="O28" s="118">
        <f t="shared" ref="O28:X28" si="4">O18-P18</f>
        <v>1.8818293001728534</v>
      </c>
      <c r="P28" s="118">
        <f t="shared" si="4"/>
        <v>1.8564246046205142</v>
      </c>
      <c r="Q28" s="118">
        <f t="shared" si="4"/>
        <v>1.8313628724581292</v>
      </c>
      <c r="R28" s="118">
        <f t="shared" si="4"/>
        <v>1.8066394736799509</v>
      </c>
      <c r="S28" s="118">
        <f t="shared" si="4"/>
        <v>1.7822498407852834</v>
      </c>
      <c r="T28" s="118">
        <f t="shared" si="4"/>
        <v>1.7581894679346703</v>
      </c>
      <c r="U28" s="118">
        <f t="shared" si="4"/>
        <v>1.7344539101175656</v>
      </c>
      <c r="V28" s="118">
        <f t="shared" si="4"/>
        <v>1.7110387823309736</v>
      </c>
      <c r="W28" s="118">
        <f t="shared" si="4"/>
        <v>1.6879397587695024</v>
      </c>
      <c r="X28" s="118">
        <f t="shared" si="4"/>
        <v>1.6651525720261162</v>
      </c>
      <c r="Y28"/>
      <c r="Z28"/>
    </row>
    <row r="29" spans="2:27" x14ac:dyDescent="0.25">
      <c r="C29" s="52">
        <v>85</v>
      </c>
      <c r="D29" s="57" t="s">
        <v>1</v>
      </c>
      <c r="H29" s="117">
        <v>0.56999999999999995</v>
      </c>
      <c r="I29" s="100">
        <v>55.9</v>
      </c>
      <c r="J29" s="137"/>
      <c r="K29" s="124" t="s">
        <v>53</v>
      </c>
      <c r="N29"/>
      <c r="O29" s="118">
        <f t="shared" ref="O29:X29" si="5">O20-P20</f>
        <v>13.278820895373428</v>
      </c>
      <c r="P29" s="118">
        <f t="shared" si="5"/>
        <v>13.158391464915894</v>
      </c>
      <c r="Q29" s="118">
        <f t="shared" si="5"/>
        <v>12.979499999999973</v>
      </c>
      <c r="R29" s="118">
        <f t="shared" si="5"/>
        <v>12.648522749999984</v>
      </c>
      <c r="S29" s="118">
        <f t="shared" si="5"/>
        <v>12.325985419874996</v>
      </c>
      <c r="T29" s="118">
        <f t="shared" si="5"/>
        <v>12.24719578758328</v>
      </c>
      <c r="U29" s="118">
        <f t="shared" si="5"/>
        <v>12.158168095127337</v>
      </c>
      <c r="V29" s="118">
        <f t="shared" si="5"/>
        <v>12.059296954580191</v>
      </c>
      <c r="W29" s="118">
        <f t="shared" si="5"/>
        <v>11.950986602302919</v>
      </c>
      <c r="X29" s="118">
        <f t="shared" si="5"/>
        <v>11.833649642934915</v>
      </c>
      <c r="Y29"/>
      <c r="Z29"/>
    </row>
    <row r="30" spans="2:27" x14ac:dyDescent="0.25">
      <c r="C30" s="53">
        <f>(C28*2.20462*25.4*12)</f>
        <v>3057.4552007999996</v>
      </c>
      <c r="D30" s="58" t="s">
        <v>14</v>
      </c>
      <c r="H30" s="117">
        <v>0.54</v>
      </c>
      <c r="I30" s="100">
        <v>54.4</v>
      </c>
      <c r="J30" s="137"/>
      <c r="K30" s="124" t="s">
        <v>54</v>
      </c>
      <c r="N30"/>
      <c r="O30" s="118">
        <f t="shared" ref="O30:X30" si="6">O22-P22</f>
        <v>25.229568850502687</v>
      </c>
      <c r="P30" s="118">
        <f t="shared" si="6"/>
        <v>25.000754663513021</v>
      </c>
      <c r="Q30" s="118">
        <f t="shared" si="6"/>
        <v>24.660863451301907</v>
      </c>
      <c r="R30" s="118">
        <f t="shared" si="6"/>
        <v>24.032011433293746</v>
      </c>
      <c r="S30" s="118">
        <f t="shared" si="6"/>
        <v>23.419195141744808</v>
      </c>
      <c r="T30" s="118">
        <f t="shared" si="6"/>
        <v>23.269495972799518</v>
      </c>
      <c r="U30" s="118">
        <f t="shared" si="6"/>
        <v>23.100344636689556</v>
      </c>
      <c r="V30" s="118">
        <f t="shared" si="6"/>
        <v>22.912490890681738</v>
      </c>
      <c r="W30" s="118">
        <f t="shared" si="6"/>
        <v>22.706702778052431</v>
      </c>
      <c r="X30" s="118">
        <f t="shared" si="6"/>
        <v>22.483764241686231</v>
      </c>
      <c r="Y30"/>
      <c r="Z30"/>
    </row>
    <row r="31" spans="2:27" x14ac:dyDescent="0.25">
      <c r="O31"/>
      <c r="P31" s="119">
        <f>P29-R29</f>
        <v>0.50986871491591046</v>
      </c>
      <c r="Q31" s="120"/>
      <c r="R31" s="119">
        <f>R29-T29</f>
        <v>0.40132696241670374</v>
      </c>
      <c r="S31" s="120"/>
      <c r="T31" s="119">
        <f>T29-V29</f>
        <v>0.18789883300308929</v>
      </c>
      <c r="U31" s="120"/>
      <c r="V31" s="119">
        <f>V29-X29</f>
        <v>0.22564731164527529</v>
      </c>
      <c r="W31"/>
      <c r="X31"/>
      <c r="Y31"/>
      <c r="Z31"/>
    </row>
    <row r="32" spans="2:27" x14ac:dyDescent="0.25">
      <c r="C32" s="62"/>
      <c r="D32" s="68"/>
      <c r="E32" s="64" t="s">
        <v>55</v>
      </c>
      <c r="F32" s="62" t="s">
        <v>15</v>
      </c>
      <c r="G32" s="97" t="s">
        <v>34</v>
      </c>
      <c r="H32"/>
      <c r="O32"/>
      <c r="P32" s="119">
        <f>P30-R30</f>
        <v>0.96874323021927466</v>
      </c>
      <c r="Q32" s="120"/>
      <c r="R32" s="119">
        <f>R30-T30</f>
        <v>0.76251546049422814</v>
      </c>
      <c r="S32" s="120"/>
      <c r="T32" s="119">
        <f>T30-V30</f>
        <v>0.35700508211778015</v>
      </c>
      <c r="U32" s="120"/>
      <c r="V32" s="119">
        <f>V30-X30</f>
        <v>0.42872664899550728</v>
      </c>
      <c r="W32"/>
      <c r="Y32"/>
      <c r="Z32"/>
    </row>
    <row r="33" spans="2:47" x14ac:dyDescent="0.25">
      <c r="C33" s="63" t="s">
        <v>2</v>
      </c>
      <c r="D33" s="62" t="s">
        <v>12</v>
      </c>
      <c r="E33" s="64" t="s">
        <v>56</v>
      </c>
      <c r="F33" s="62" t="s">
        <v>16</v>
      </c>
      <c r="G33" s="98" t="s">
        <v>35</v>
      </c>
      <c r="H33"/>
      <c r="I33"/>
      <c r="J33"/>
      <c r="O33"/>
      <c r="P33"/>
      <c r="Q33"/>
      <c r="R33"/>
      <c r="S33"/>
      <c r="T33"/>
      <c r="U33"/>
      <c r="V33"/>
      <c r="W33" s="91" t="s">
        <v>27</v>
      </c>
      <c r="Y33"/>
    </row>
    <row r="34" spans="2:47" x14ac:dyDescent="0.25">
      <c r="C34" s="54">
        <v>1</v>
      </c>
      <c r="D34" s="121">
        <f t="shared" ref="D34:D43" si="7">G14</f>
        <v>0.84423244819278109</v>
      </c>
      <c r="E34" s="83">
        <f>(D34*$C$27)*SQRT(4*$C$29*$C$30/32.2)/12</f>
        <v>31.792715613591383</v>
      </c>
      <c r="F34" s="84">
        <f>C34*E34</f>
        <v>31.792715613591383</v>
      </c>
      <c r="G34" s="96">
        <f t="shared" ref="G34:G43" si="8">F34/C14</f>
        <v>0.99997632114822743</v>
      </c>
      <c r="H34"/>
      <c r="I34"/>
      <c r="J34"/>
      <c r="W34" s="91" t="s">
        <v>11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2:47" x14ac:dyDescent="0.25">
      <c r="C35" s="54">
        <v>2</v>
      </c>
      <c r="D35" s="69">
        <f t="shared" si="7"/>
        <v>0.72195096009897874</v>
      </c>
      <c r="E35" s="56">
        <f>(D35*$C$27)*SQRT(4*$C$29*$C$30/32.2)/12</f>
        <v>27.187750968966316</v>
      </c>
      <c r="F35" s="85">
        <f t="shared" ref="F35:F43" si="9">C35*E35</f>
        <v>54.375501937932633</v>
      </c>
      <c r="G35" s="96">
        <f t="shared" si="8"/>
        <v>0.99997632114822743</v>
      </c>
      <c r="H35"/>
      <c r="I35" s="88"/>
      <c r="J35" s="88"/>
      <c r="O35" s="138">
        <v>0.69</v>
      </c>
      <c r="P35" s="138"/>
      <c r="Q35" s="138">
        <v>0.66</v>
      </c>
      <c r="R35" s="138"/>
      <c r="S35" s="138">
        <v>0.63</v>
      </c>
      <c r="T35" s="138"/>
      <c r="U35" s="138">
        <v>0.6</v>
      </c>
      <c r="V35" s="138"/>
      <c r="W35" s="138">
        <v>0.56999999999999995</v>
      </c>
      <c r="X35" s="138"/>
      <c r="Y35" s="138">
        <v>0.54</v>
      </c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2:47" x14ac:dyDescent="0.25">
      <c r="C36" s="54">
        <v>3</v>
      </c>
      <c r="D36" s="70">
        <f t="shared" si="7"/>
        <v>0.68053064976542887</v>
      </c>
      <c r="E36" s="55">
        <f t="shared" ref="E36:E43" si="10">(D36*$C$27)*SQRT(4*$C$29*$C$30/32.2)/12</f>
        <v>25.627914990285067</v>
      </c>
      <c r="F36" s="86">
        <f t="shared" si="9"/>
        <v>76.883744970855204</v>
      </c>
      <c r="G36" s="96">
        <f t="shared" si="8"/>
        <v>0.99997632114822732</v>
      </c>
      <c r="H36"/>
      <c r="I36"/>
      <c r="J36"/>
      <c r="O36" s="139" t="s">
        <v>62</v>
      </c>
      <c r="P36"/>
      <c r="Q36" s="139" t="s">
        <v>23</v>
      </c>
      <c r="R36"/>
      <c r="S36" s="82" t="s">
        <v>51</v>
      </c>
      <c r="T36"/>
      <c r="U36" s="82" t="s">
        <v>52</v>
      </c>
      <c r="W36" s="82" t="s">
        <v>53</v>
      </c>
      <c r="Y36" s="82" t="s">
        <v>54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2:47" x14ac:dyDescent="0.25">
      <c r="C37" s="54">
        <v>4</v>
      </c>
      <c r="D37" s="70">
        <f t="shared" si="7"/>
        <v>0.65932563387194232</v>
      </c>
      <c r="E37" s="55">
        <f t="shared" si="10"/>
        <v>24.829361178089783</v>
      </c>
      <c r="F37" s="86">
        <f t="shared" si="9"/>
        <v>99.317444712359134</v>
      </c>
      <c r="G37" s="96">
        <f t="shared" si="8"/>
        <v>0.99997632114822732</v>
      </c>
      <c r="H37"/>
      <c r="I37"/>
      <c r="J37"/>
      <c r="K37"/>
      <c r="M37"/>
      <c r="N37"/>
      <c r="O37" s="18" t="s">
        <v>4</v>
      </c>
      <c r="P37"/>
      <c r="Q37" s="18" t="s">
        <v>4</v>
      </c>
      <c r="R37"/>
      <c r="S37" s="18" t="s">
        <v>4</v>
      </c>
      <c r="T37"/>
      <c r="U37" s="18" t="s">
        <v>4</v>
      </c>
      <c r="W37" s="18" t="s">
        <v>4</v>
      </c>
      <c r="Y37" s="18" t="s">
        <v>4</v>
      </c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2:47" x14ac:dyDescent="0.25">
      <c r="C38" s="54">
        <v>5</v>
      </c>
      <c r="D38" s="69">
        <f t="shared" si="7"/>
        <v>0.64620673575448095</v>
      </c>
      <c r="E38" s="56">
        <f t="shared" si="10"/>
        <v>24.335320232488883</v>
      </c>
      <c r="F38" s="85">
        <f t="shared" si="9"/>
        <v>121.67660116244441</v>
      </c>
      <c r="G38" s="96">
        <f t="shared" si="8"/>
        <v>0.99997632114822743</v>
      </c>
      <c r="H38"/>
      <c r="I38"/>
      <c r="J38"/>
      <c r="K38"/>
      <c r="M38"/>
      <c r="N38"/>
      <c r="O38" s="125">
        <v>0.96714400569457504</v>
      </c>
      <c r="P38" s="88"/>
      <c r="Q38" s="125">
        <v>0.94120737953585942</v>
      </c>
      <c r="R38" s="88"/>
      <c r="S38" s="125">
        <v>0.91596631533331174</v>
      </c>
      <c r="T38" s="88"/>
      <c r="U38" s="125">
        <v>0.8914021596802818</v>
      </c>
      <c r="V38" s="78"/>
      <c r="W38" s="125">
        <v>0.86749675941251592</v>
      </c>
      <c r="X38" s="78"/>
      <c r="Y38" s="125">
        <v>0.84423244819278109</v>
      </c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2:47" x14ac:dyDescent="0.25">
      <c r="C39" s="54">
        <v>10</v>
      </c>
      <c r="D39" s="70">
        <f t="shared" si="7"/>
        <v>0.56576648422790288</v>
      </c>
      <c r="E39" s="55">
        <f t="shared" si="10"/>
        <v>21.306043110832604</v>
      </c>
      <c r="F39" s="86">
        <f>C39*E39</f>
        <v>213.06043110832604</v>
      </c>
      <c r="G39" s="96">
        <f t="shared" si="8"/>
        <v>0.99997632114822721</v>
      </c>
      <c r="H39"/>
      <c r="I39"/>
      <c r="J39"/>
      <c r="K39"/>
      <c r="M39"/>
      <c r="N39"/>
      <c r="O39" s="126">
        <v>0.82705959118231998</v>
      </c>
      <c r="P39" s="88"/>
      <c r="Q39" s="126">
        <v>0.80487971383089041</v>
      </c>
      <c r="R39" s="88"/>
      <c r="S39" s="126">
        <v>0.78329465088530215</v>
      </c>
      <c r="T39" s="88"/>
      <c r="U39" s="126">
        <v>0.76228845076152274</v>
      </c>
      <c r="V39" s="78"/>
      <c r="W39" s="126">
        <v>0.74184558966111303</v>
      </c>
      <c r="X39" s="78"/>
      <c r="Y39" s="126">
        <v>0.72195096009897874</v>
      </c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2:47" x14ac:dyDescent="0.25">
      <c r="C40" s="54">
        <v>20</v>
      </c>
      <c r="D40" s="70">
        <f t="shared" si="7"/>
        <v>0.54540746301515619</v>
      </c>
      <c r="E40" s="55">
        <f t="shared" si="10"/>
        <v>20.539348377677637</v>
      </c>
      <c r="F40" s="86">
        <f t="shared" si="9"/>
        <v>410.78696755355276</v>
      </c>
      <c r="G40" s="96">
        <f t="shared" si="8"/>
        <v>0.99997632114822732</v>
      </c>
      <c r="H40"/>
      <c r="I40"/>
      <c r="J40"/>
      <c r="K40"/>
      <c r="M40"/>
      <c r="N40"/>
      <c r="O40" s="125">
        <v>0.77960890986954212</v>
      </c>
      <c r="P40" s="88"/>
      <c r="Q40" s="125">
        <v>0.75870155302688835</v>
      </c>
      <c r="R40" s="88"/>
      <c r="S40" s="125">
        <v>0.73835488445320141</v>
      </c>
      <c r="T40" s="88"/>
      <c r="U40" s="125">
        <v>0.71855386775065677</v>
      </c>
      <c r="V40" s="78"/>
      <c r="W40" s="125">
        <v>0.69928386976378676</v>
      </c>
      <c r="X40" s="78"/>
      <c r="Y40" s="125">
        <v>0.68053064976542887</v>
      </c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2:47" x14ac:dyDescent="0.25">
      <c r="C41" s="54">
        <v>30</v>
      </c>
      <c r="D41" s="70">
        <f t="shared" si="7"/>
        <v>0.53219195801740848</v>
      </c>
      <c r="E41" s="55">
        <f t="shared" si="10"/>
        <v>20.041669340366525</v>
      </c>
      <c r="F41" s="86">
        <f t="shared" si="9"/>
        <v>601.25008021099575</v>
      </c>
      <c r="G41" s="96">
        <f t="shared" si="8"/>
        <v>0.99997632114822743</v>
      </c>
      <c r="H41"/>
      <c r="I41"/>
      <c r="J41"/>
      <c r="K41"/>
      <c r="M41"/>
      <c r="N41"/>
      <c r="O41" s="125">
        <v>0.75531666185663404</v>
      </c>
      <c r="P41" s="88"/>
      <c r="Q41" s="125">
        <v>0.73506076844812829</v>
      </c>
      <c r="R41" s="88"/>
      <c r="S41" s="125">
        <v>0.71534809252507858</v>
      </c>
      <c r="T41" s="88"/>
      <c r="U41" s="125">
        <v>0.69616406621676419</v>
      </c>
      <c r="V41" s="78"/>
      <c r="W41" s="125">
        <v>0.67749451232997959</v>
      </c>
      <c r="X41" s="78"/>
      <c r="Y41" s="125">
        <v>0.65932563387194232</v>
      </c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2:47" x14ac:dyDescent="0.25">
      <c r="C42" s="54">
        <v>40</v>
      </c>
      <c r="D42" s="69">
        <f t="shared" si="7"/>
        <v>0.51813317041248907</v>
      </c>
      <c r="E42" s="56">
        <f t="shared" si="10"/>
        <v>19.512233357241389</v>
      </c>
      <c r="F42" s="85">
        <f>C42*E42</f>
        <v>780.48933428965552</v>
      </c>
      <c r="G42" s="96">
        <f t="shared" si="8"/>
        <v>0.99997632114822743</v>
      </c>
      <c r="H42"/>
      <c r="I42"/>
      <c r="J42"/>
      <c r="K42"/>
      <c r="M42"/>
      <c r="N42"/>
      <c r="O42" s="126">
        <v>0.74028778716367338</v>
      </c>
      <c r="P42" s="88"/>
      <c r="Q42" s="126">
        <v>0.72043493435946482</v>
      </c>
      <c r="R42" s="88"/>
      <c r="S42" s="126">
        <v>0.70111449039854645</v>
      </c>
      <c r="T42" s="88"/>
      <c r="U42" s="126">
        <v>0.68231217727366089</v>
      </c>
      <c r="V42" s="78"/>
      <c r="W42" s="126">
        <v>0.66401409988158022</v>
      </c>
      <c r="X42" s="78"/>
      <c r="Y42" s="126">
        <v>0.64620673575448095</v>
      </c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2:47" x14ac:dyDescent="0.25">
      <c r="C43" s="54">
        <v>50</v>
      </c>
      <c r="D43" s="70">
        <f t="shared" si="7"/>
        <v>0.5080182825111188</v>
      </c>
      <c r="E43" s="55">
        <f t="shared" si="10"/>
        <v>19.131319599188121</v>
      </c>
      <c r="F43" s="87">
        <f t="shared" si="9"/>
        <v>956.56597995940604</v>
      </c>
      <c r="G43" s="96">
        <f t="shared" si="8"/>
        <v>0.99997632114822732</v>
      </c>
      <c r="H43"/>
      <c r="I43"/>
      <c r="J43"/>
      <c r="K43"/>
      <c r="M43"/>
      <c r="N43"/>
      <c r="O43" s="125">
        <v>0.73742664689159432</v>
      </c>
      <c r="P43" s="88"/>
      <c r="Q43" s="125">
        <v>0.70101620620132177</v>
      </c>
      <c r="R43" s="88"/>
      <c r="S43" s="125">
        <v>0.66572021547313698</v>
      </c>
      <c r="T43" s="88"/>
      <c r="U43" s="125">
        <v>0.63187699687912913</v>
      </c>
      <c r="V43" s="78"/>
      <c r="W43" s="125">
        <v>0.59852368553736279</v>
      </c>
      <c r="X43" s="78"/>
      <c r="Y43" s="125">
        <v>0.56576648422790288</v>
      </c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2:47" x14ac:dyDescent="0.25">
      <c r="G44"/>
      <c r="H44"/>
      <c r="I44"/>
      <c r="J44"/>
      <c r="K44"/>
      <c r="M44"/>
      <c r="N44"/>
      <c r="O44" s="125">
        <v>0.71089046073451034</v>
      </c>
      <c r="P44" s="88"/>
      <c r="Q44" s="125">
        <v>0.67579024423574385</v>
      </c>
      <c r="R44" s="88"/>
      <c r="S44" s="125">
        <v>0.64176437438603529</v>
      </c>
      <c r="T44" s="88"/>
      <c r="U44" s="125">
        <v>0.60913899888537237</v>
      </c>
      <c r="V44" s="78"/>
      <c r="W44" s="125">
        <v>0.57698590139870753</v>
      </c>
      <c r="X44" s="78"/>
      <c r="Y44" s="125">
        <v>0.54540746301515619</v>
      </c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2:47" x14ac:dyDescent="0.25">
      <c r="C45" s="49" t="s">
        <v>13</v>
      </c>
      <c r="M45"/>
      <c r="N45"/>
      <c r="O45" s="125">
        <v>0.69366521708868401</v>
      </c>
      <c r="P45" s="88"/>
      <c r="Q45" s="125">
        <v>0.65941549699493018</v>
      </c>
      <c r="R45" s="88"/>
      <c r="S45" s="125">
        <v>0.62621409157510977</v>
      </c>
      <c r="T45" s="88"/>
      <c r="U45" s="125">
        <v>0.59437924580170598</v>
      </c>
      <c r="V45" s="78"/>
      <c r="W45" s="125">
        <v>0.56300523450168583</v>
      </c>
      <c r="X45" s="78"/>
      <c r="Y45" s="125">
        <v>0.53219195801740848</v>
      </c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2:47" x14ac:dyDescent="0.25">
      <c r="B46"/>
      <c r="C46" s="74" t="s">
        <v>18</v>
      </c>
      <c r="D46"/>
      <c r="E46"/>
      <c r="F46"/>
      <c r="G46"/>
      <c r="H46"/>
      <c r="I46"/>
      <c r="J46"/>
      <c r="K46"/>
      <c r="L46"/>
      <c r="M46"/>
      <c r="N46"/>
      <c r="O46" s="126">
        <v>0.67534082903836479</v>
      </c>
      <c r="P46" s="88"/>
      <c r="Q46" s="126">
        <v>0.64199587560459559</v>
      </c>
      <c r="R46" s="88"/>
      <c r="S46" s="126">
        <v>0.60967154376687316</v>
      </c>
      <c r="T46" s="88"/>
      <c r="U46" s="126">
        <v>0.5786776714963966</v>
      </c>
      <c r="V46" s="78"/>
      <c r="W46" s="126">
        <v>0.54813245994529503</v>
      </c>
      <c r="X46" s="78"/>
      <c r="Y46" s="126">
        <v>0.51813317041248907</v>
      </c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2:47" x14ac:dyDescent="0.25">
      <c r="B47"/>
      <c r="L47"/>
      <c r="M47"/>
      <c r="N47"/>
      <c r="O47" s="125">
        <v>0.66215696594868212</v>
      </c>
      <c r="P47" s="88"/>
      <c r="Q47" s="125">
        <v>0.62946296575496596</v>
      </c>
      <c r="R47" s="88"/>
      <c r="S47" s="125">
        <v>0.59776966279494492</v>
      </c>
      <c r="T47" s="88"/>
      <c r="U47" s="125">
        <v>0.56738084644743825</v>
      </c>
      <c r="V47" s="78"/>
      <c r="W47" s="125">
        <v>0.53743193215813345</v>
      </c>
      <c r="X47" s="78"/>
      <c r="Y47" s="125">
        <v>0.5080182825111188</v>
      </c>
    </row>
    <row r="48" spans="2:47" x14ac:dyDescent="0.25">
      <c r="B48"/>
      <c r="C48"/>
      <c r="D48"/>
      <c r="E48"/>
      <c r="F48"/>
      <c r="G48"/>
      <c r="H48"/>
      <c r="L48"/>
      <c r="U48"/>
    </row>
    <row r="49" spans="2:47" x14ac:dyDescent="0.25">
      <c r="B49"/>
      <c r="C49"/>
      <c r="D49"/>
      <c r="E49"/>
      <c r="F49"/>
      <c r="G49"/>
      <c r="H49"/>
      <c r="L49"/>
      <c r="M49"/>
      <c r="N49"/>
      <c r="O49" s="143">
        <f>O38</f>
        <v>0.96714400569457504</v>
      </c>
      <c r="P49"/>
      <c r="Q49" s="143">
        <f>Q38</f>
        <v>0.94120737953585942</v>
      </c>
      <c r="R49"/>
      <c r="S49" s="143">
        <f>S38</f>
        <v>0.91596631533331174</v>
      </c>
      <c r="T49"/>
      <c r="U49" s="143">
        <f>U38</f>
        <v>0.8914021596802818</v>
      </c>
      <c r="V49"/>
      <c r="W49" s="143">
        <f>W38</f>
        <v>0.86749675941251592</v>
      </c>
      <c r="X49"/>
      <c r="Y49" s="143">
        <f>Y38</f>
        <v>0.84423244819278109</v>
      </c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2:47" x14ac:dyDescent="0.25">
      <c r="M50"/>
      <c r="N50"/>
      <c r="O50" s="143">
        <f>O42</f>
        <v>0.74028778716367338</v>
      </c>
      <c r="P50"/>
      <c r="Q50" s="143">
        <f>Q42</f>
        <v>0.72043493435946482</v>
      </c>
      <c r="R50"/>
      <c r="S50" s="143">
        <f>S42</f>
        <v>0.70111449039854645</v>
      </c>
      <c r="T50"/>
      <c r="U50" s="143">
        <f>U42</f>
        <v>0.68231217727366089</v>
      </c>
      <c r="V50"/>
      <c r="W50" s="143">
        <f>W42</f>
        <v>0.66401409988158022</v>
      </c>
      <c r="X50"/>
      <c r="Y50" s="143">
        <f>Y42</f>
        <v>0.64620673575448095</v>
      </c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2:47" x14ac:dyDescent="0.25">
      <c r="B51"/>
      <c r="C51"/>
      <c r="D51"/>
      <c r="E51"/>
      <c r="F51"/>
      <c r="G51"/>
      <c r="H51"/>
      <c r="L51"/>
      <c r="M51"/>
      <c r="N51"/>
      <c r="O51" s="143">
        <f>O46</f>
        <v>0.67534082903836479</v>
      </c>
      <c r="P51"/>
      <c r="Q51" s="143">
        <f>Q46</f>
        <v>0.64199587560459559</v>
      </c>
      <c r="R51"/>
      <c r="S51" s="143">
        <f>S46</f>
        <v>0.60967154376687316</v>
      </c>
      <c r="T51"/>
      <c r="U51" s="143">
        <f>U46</f>
        <v>0.5786776714963966</v>
      </c>
      <c r="V51"/>
      <c r="W51" s="143">
        <f>W46</f>
        <v>0.54813245994529503</v>
      </c>
      <c r="X51"/>
      <c r="Y51" s="143">
        <f>Y46</f>
        <v>0.51813317041248907</v>
      </c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2:47" x14ac:dyDescent="0.25">
      <c r="B52"/>
      <c r="C52"/>
      <c r="D52"/>
      <c r="E52"/>
      <c r="F52"/>
      <c r="G52"/>
      <c r="H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34">
        <v>2.5150999999999999</v>
      </c>
      <c r="AM52" s="1" t="s">
        <v>10</v>
      </c>
      <c r="AN52"/>
      <c r="AO52"/>
      <c r="AP52"/>
      <c r="AQ52"/>
      <c r="AR52"/>
      <c r="AS52"/>
      <c r="AT52"/>
      <c r="AU52"/>
    </row>
    <row r="53" spans="2:47" x14ac:dyDescent="0.25">
      <c r="B53"/>
      <c r="C53"/>
      <c r="D53"/>
      <c r="E53"/>
      <c r="F53"/>
      <c r="G53"/>
      <c r="H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 s="34">
        <v>4.55</v>
      </c>
      <c r="AM53" t="s">
        <v>0</v>
      </c>
      <c r="AN53"/>
      <c r="AO53"/>
      <c r="AP53"/>
      <c r="AQ53"/>
      <c r="AR53"/>
      <c r="AS53"/>
      <c r="AT53"/>
      <c r="AU53"/>
    </row>
    <row r="54" spans="2:47" x14ac:dyDescent="0.25">
      <c r="B54"/>
      <c r="C54"/>
      <c r="D54"/>
      <c r="E54"/>
      <c r="F54"/>
      <c r="G54"/>
      <c r="H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34">
        <v>85</v>
      </c>
      <c r="AM54" s="1" t="s">
        <v>1</v>
      </c>
      <c r="AN54"/>
      <c r="AO54"/>
      <c r="AP54"/>
      <c r="AQ54"/>
      <c r="AR54"/>
      <c r="AS54"/>
      <c r="AT54"/>
      <c r="AU54"/>
    </row>
    <row r="55" spans="2:47" x14ac:dyDescent="0.25">
      <c r="B55"/>
      <c r="C55"/>
      <c r="D55"/>
      <c r="E55"/>
      <c r="F55"/>
      <c r="G55"/>
      <c r="H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 s="38"/>
      <c r="AO55" s="34" t="s">
        <v>9</v>
      </c>
      <c r="AP55"/>
      <c r="AQ55"/>
      <c r="AR55"/>
      <c r="AS55"/>
      <c r="AT55"/>
      <c r="AU55"/>
    </row>
    <row r="56" spans="2:47" x14ac:dyDescent="0.25">
      <c r="B56"/>
      <c r="C56"/>
      <c r="D56"/>
      <c r="E56"/>
      <c r="F56"/>
      <c r="G56"/>
      <c r="H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 s="40"/>
      <c r="AN56" s="39">
        <v>1</v>
      </c>
      <c r="AO56"/>
      <c r="AP56"/>
      <c r="AQ56"/>
      <c r="AR56"/>
      <c r="AS56"/>
      <c r="AT56"/>
      <c r="AU56"/>
    </row>
    <row r="57" spans="2:47" x14ac:dyDescent="0.25">
      <c r="B57"/>
      <c r="C57"/>
      <c r="D57"/>
      <c r="E57"/>
      <c r="F57"/>
      <c r="G57"/>
      <c r="H57"/>
      <c r="L57"/>
      <c r="M57"/>
      <c r="N57"/>
      <c r="O57"/>
      <c r="P57"/>
      <c r="Q57"/>
      <c r="R57"/>
      <c r="S57"/>
      <c r="T57"/>
      <c r="AK57"/>
      <c r="AL57" s="2" t="s">
        <v>3</v>
      </c>
      <c r="AM57" s="2" t="s">
        <v>2</v>
      </c>
      <c r="AN57" s="2" t="s">
        <v>3</v>
      </c>
      <c r="AO57" s="103" t="s">
        <v>5</v>
      </c>
      <c r="AP57" s="2" t="s">
        <v>4</v>
      </c>
      <c r="AQ57"/>
      <c r="AR57"/>
      <c r="AS57"/>
      <c r="AT57"/>
      <c r="AU57"/>
    </row>
    <row r="58" spans="2:47" x14ac:dyDescent="0.25">
      <c r="B58"/>
      <c r="C58"/>
      <c r="D58"/>
      <c r="E58"/>
      <c r="F58"/>
      <c r="G58"/>
      <c r="H58"/>
      <c r="L58"/>
      <c r="M58"/>
      <c r="N58"/>
      <c r="O58"/>
      <c r="P58"/>
      <c r="Q58"/>
      <c r="R58"/>
      <c r="S58"/>
      <c r="T58"/>
      <c r="AK58"/>
      <c r="AL58" s="106">
        <v>31.793468446418061</v>
      </c>
      <c r="AM58" s="82">
        <v>1</v>
      </c>
      <c r="AN58" s="107">
        <f t="shared" ref="AN58:AN67" si="11">AL58*$AN$56</f>
        <v>31.793468446418061</v>
      </c>
      <c r="AO58" s="108">
        <f>AN58/AM58</f>
        <v>31.793468446418061</v>
      </c>
      <c r="AP58" s="109">
        <f t="shared" ref="AP58:AP67" si="12">SQRT(12*32.2*AO58^2/(4*$AL$54*($AL$53*56)*$AL$52^2))</f>
        <v>0.84423244819278109</v>
      </c>
      <c r="AQ58" s="110">
        <f>AP58*100</f>
        <v>84.423244819278111</v>
      </c>
      <c r="AR58"/>
      <c r="AS58"/>
      <c r="AT58"/>
      <c r="AU58"/>
    </row>
    <row r="59" spans="2:47" x14ac:dyDescent="0.25">
      <c r="B59"/>
      <c r="C59"/>
      <c r="D59"/>
      <c r="E59"/>
      <c r="F59"/>
      <c r="G59"/>
      <c r="H59"/>
      <c r="I59" s="82"/>
      <c r="J59" s="82"/>
      <c r="K59"/>
      <c r="L59"/>
      <c r="M59"/>
      <c r="N59"/>
      <c r="O59"/>
      <c r="P59"/>
      <c r="Q59"/>
      <c r="R59"/>
      <c r="S59"/>
      <c r="T59"/>
      <c r="AK59"/>
      <c r="AL59" s="112">
        <v>54.376789517871494</v>
      </c>
      <c r="AM59" s="113">
        <v>2</v>
      </c>
      <c r="AN59" s="114">
        <f t="shared" si="11"/>
        <v>54.376789517871494</v>
      </c>
      <c r="AO59" s="115">
        <f t="shared" ref="AO59:AO67" si="13">AN59/AM59</f>
        <v>27.188394758935747</v>
      </c>
      <c r="AP59" s="116">
        <f t="shared" si="12"/>
        <v>0.72195096009897874</v>
      </c>
      <c r="AQ59"/>
      <c r="AR59"/>
      <c r="AS59"/>
      <c r="AT59"/>
      <c r="AU59"/>
    </row>
    <row r="60" spans="2:47" x14ac:dyDescent="0.25">
      <c r="B60"/>
      <c r="C60"/>
      <c r="D60"/>
      <c r="E60"/>
      <c r="F60"/>
      <c r="G60"/>
      <c r="H60"/>
      <c r="I60" s="82"/>
      <c r="J60" s="82"/>
      <c r="K60"/>
      <c r="L60"/>
      <c r="M60"/>
      <c r="N60"/>
      <c r="O60"/>
      <c r="P60"/>
      <c r="Q60"/>
      <c r="R60"/>
      <c r="S60"/>
      <c r="T60"/>
      <c r="AK60"/>
      <c r="AL60" s="106">
        <v>76.885565532764915</v>
      </c>
      <c r="AM60" s="82">
        <v>3</v>
      </c>
      <c r="AN60" s="107">
        <f t="shared" si="11"/>
        <v>76.885565532764915</v>
      </c>
      <c r="AO60" s="108">
        <f t="shared" si="13"/>
        <v>25.628521844254973</v>
      </c>
      <c r="AP60" s="109">
        <f t="shared" si="12"/>
        <v>0.68053064976542887</v>
      </c>
      <c r="AQ60"/>
      <c r="AR60"/>
      <c r="AS60"/>
      <c r="AT60"/>
      <c r="AU60"/>
    </row>
    <row r="61" spans="2:47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AK61"/>
      <c r="AL61" s="106">
        <v>99.319796491098344</v>
      </c>
      <c r="AM61" s="82">
        <v>4</v>
      </c>
      <c r="AN61" s="107">
        <f t="shared" si="11"/>
        <v>99.319796491098344</v>
      </c>
      <c r="AO61" s="108">
        <f t="shared" si="13"/>
        <v>24.829949122774586</v>
      </c>
      <c r="AP61" s="109">
        <f t="shared" si="12"/>
        <v>0.65932563387194232</v>
      </c>
      <c r="AQ61"/>
      <c r="AR61"/>
      <c r="AS61"/>
      <c r="AT61"/>
      <c r="AU61"/>
    </row>
    <row r="62" spans="2:47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AK62"/>
      <c r="AL62" s="112">
        <v>121.67948239287176</v>
      </c>
      <c r="AM62" s="113">
        <v>5</v>
      </c>
      <c r="AN62" s="114">
        <f t="shared" si="11"/>
        <v>121.67948239287176</v>
      </c>
      <c r="AO62" s="115">
        <f t="shared" si="13"/>
        <v>24.335896478574352</v>
      </c>
      <c r="AP62" s="116">
        <f t="shared" si="12"/>
        <v>0.64620673575448095</v>
      </c>
      <c r="AQ62" s="110">
        <f>AP62*100</f>
        <v>64.620673575448095</v>
      </c>
      <c r="AR62"/>
      <c r="AS62"/>
      <c r="AT62"/>
      <c r="AU62"/>
    </row>
    <row r="63" spans="2:47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AK63"/>
      <c r="AL63" s="106">
        <v>213.06547625415615</v>
      </c>
      <c r="AM63" s="82">
        <v>10</v>
      </c>
      <c r="AN63" s="107">
        <f t="shared" si="11"/>
        <v>213.06547625415615</v>
      </c>
      <c r="AO63" s="108">
        <f t="shared" si="13"/>
        <v>21.306547625415615</v>
      </c>
      <c r="AP63" s="109">
        <f t="shared" si="12"/>
        <v>0.56576648422790288</v>
      </c>
      <c r="AQ63"/>
      <c r="AR63"/>
      <c r="AS63"/>
      <c r="AT63"/>
      <c r="AU63"/>
    </row>
    <row r="64" spans="2:47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AK64"/>
      <c r="AL64" s="106">
        <v>410.7966947475964</v>
      </c>
      <c r="AM64" s="82">
        <v>20</v>
      </c>
      <c r="AN64" s="107">
        <f t="shared" si="11"/>
        <v>410.7966947475964</v>
      </c>
      <c r="AO64" s="108">
        <f t="shared" si="13"/>
        <v>20.53983473737982</v>
      </c>
      <c r="AP64" s="109">
        <f t="shared" si="12"/>
        <v>0.54540746301515619</v>
      </c>
      <c r="AQ64"/>
      <c r="AR64"/>
      <c r="AS64"/>
      <c r="AT64"/>
      <c r="AU64"/>
    </row>
    <row r="65" spans="2:47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AK65"/>
      <c r="AL65" s="106">
        <v>601.26431745964499</v>
      </c>
      <c r="AM65" s="82">
        <v>30</v>
      </c>
      <c r="AN65" s="107">
        <f t="shared" si="11"/>
        <v>601.26431745964499</v>
      </c>
      <c r="AO65" s="108">
        <f t="shared" si="13"/>
        <v>20.0421439153215</v>
      </c>
      <c r="AP65" s="109">
        <f t="shared" si="12"/>
        <v>0.53219195801740848</v>
      </c>
      <c r="AQ65"/>
      <c r="AR65"/>
      <c r="AS65"/>
      <c r="AT65"/>
      <c r="AU65"/>
    </row>
    <row r="66" spans="2:47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AK66"/>
      <c r="AL66" s="112">
        <v>780.50781581853357</v>
      </c>
      <c r="AM66" s="113">
        <v>40</v>
      </c>
      <c r="AN66" s="114">
        <f t="shared" si="11"/>
        <v>780.50781581853357</v>
      </c>
      <c r="AO66" s="115">
        <f t="shared" si="13"/>
        <v>19.512695395463339</v>
      </c>
      <c r="AP66" s="116">
        <f t="shared" si="12"/>
        <v>0.51813317041248907</v>
      </c>
      <c r="AQ66" s="110">
        <f>AP66*100</f>
        <v>51.813317041248908</v>
      </c>
      <c r="AR66"/>
      <c r="AS66"/>
      <c r="AT66"/>
      <c r="AU66"/>
    </row>
    <row r="67" spans="2:47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AK67"/>
      <c r="AL67" s="106">
        <v>956.5886308798041</v>
      </c>
      <c r="AM67" s="82">
        <v>50</v>
      </c>
      <c r="AN67" s="107">
        <f t="shared" si="11"/>
        <v>956.5886308798041</v>
      </c>
      <c r="AO67" s="108">
        <f t="shared" si="13"/>
        <v>19.131772617596081</v>
      </c>
      <c r="AP67" s="109">
        <f t="shared" si="12"/>
        <v>0.5080182825111188</v>
      </c>
      <c r="AQ67"/>
      <c r="AR67"/>
      <c r="AS67"/>
      <c r="AT67"/>
      <c r="AU67"/>
    </row>
    <row r="68" spans="2:47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AK68"/>
      <c r="AL68"/>
      <c r="AM68"/>
      <c r="AN68"/>
      <c r="AO68"/>
      <c r="AP68"/>
      <c r="AQ68"/>
      <c r="AR68"/>
      <c r="AS68"/>
      <c r="AT68"/>
      <c r="AU68"/>
    </row>
    <row r="69" spans="2:47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AK69"/>
      <c r="AL69"/>
      <c r="AM69"/>
      <c r="AN69"/>
      <c r="AO69"/>
      <c r="AP69"/>
      <c r="AQ69"/>
      <c r="AR69"/>
      <c r="AS69"/>
      <c r="AT69"/>
      <c r="AU69"/>
    </row>
    <row r="70" spans="2:47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AK70"/>
      <c r="AL70" s="117">
        <v>0.69</v>
      </c>
      <c r="AM70" s="100">
        <v>62.3</v>
      </c>
      <c r="AN70"/>
      <c r="AO70" t="s">
        <v>50</v>
      </c>
      <c r="AP70"/>
      <c r="AQ70"/>
      <c r="AR70"/>
      <c r="AS70"/>
      <c r="AT70"/>
      <c r="AU70"/>
    </row>
    <row r="71" spans="2:47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AK71"/>
      <c r="AL71" s="117">
        <v>0.66</v>
      </c>
      <c r="AM71" s="100">
        <v>60.6</v>
      </c>
      <c r="AN71"/>
      <c r="AO71" t="s">
        <v>23</v>
      </c>
      <c r="AP71"/>
      <c r="AQ71"/>
      <c r="AR71"/>
      <c r="AS71"/>
      <c r="AT71"/>
      <c r="AU71"/>
    </row>
    <row r="72" spans="2:47" x14ac:dyDescent="0.25">
      <c r="M72"/>
      <c r="N72"/>
      <c r="O72"/>
      <c r="P72"/>
      <c r="Q72"/>
      <c r="R72"/>
      <c r="S72"/>
      <c r="T72"/>
      <c r="AK72"/>
      <c r="AL72" s="117">
        <v>0.63</v>
      </c>
      <c r="AM72" s="100">
        <v>59</v>
      </c>
      <c r="AN72"/>
      <c r="AO72" t="s">
        <v>51</v>
      </c>
      <c r="AP72"/>
      <c r="AQ72"/>
      <c r="AR72"/>
      <c r="AS72"/>
      <c r="AT72"/>
      <c r="AU72"/>
    </row>
    <row r="73" spans="2:47" x14ac:dyDescent="0.25">
      <c r="M73"/>
      <c r="N73"/>
      <c r="O73"/>
      <c r="P73"/>
      <c r="Q73"/>
      <c r="R73"/>
      <c r="S73"/>
      <c r="T73"/>
      <c r="AK73"/>
      <c r="AL73" s="117">
        <v>0.6</v>
      </c>
      <c r="AM73" s="100">
        <v>57.4</v>
      </c>
      <c r="AN73"/>
      <c r="AO73" t="s">
        <v>52</v>
      </c>
      <c r="AP73"/>
      <c r="AQ73"/>
      <c r="AR73"/>
      <c r="AS73"/>
      <c r="AT73"/>
      <c r="AU73"/>
    </row>
    <row r="74" spans="2:47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AK74"/>
      <c r="AL74" s="117">
        <v>0.56999999999999995</v>
      </c>
      <c r="AM74" s="100">
        <v>55.9</v>
      </c>
      <c r="AN74"/>
      <c r="AO74" t="s">
        <v>53</v>
      </c>
      <c r="AP74"/>
      <c r="AQ74"/>
      <c r="AR74"/>
      <c r="AS74"/>
      <c r="AT74"/>
      <c r="AU74"/>
    </row>
    <row r="75" spans="2:47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AK75"/>
      <c r="AL75" s="117">
        <v>0.54</v>
      </c>
      <c r="AM75" s="100">
        <v>54.4</v>
      </c>
      <c r="AN75"/>
      <c r="AO75" t="s">
        <v>54</v>
      </c>
      <c r="AP75"/>
      <c r="AQ75"/>
      <c r="AR75"/>
      <c r="AS75"/>
      <c r="AT75"/>
      <c r="AU75"/>
    </row>
    <row r="76" spans="2:47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AK76"/>
      <c r="AL76"/>
      <c r="AM76"/>
      <c r="AN76"/>
      <c r="AO76"/>
      <c r="AP76"/>
      <c r="AQ76"/>
      <c r="AR76"/>
      <c r="AS76"/>
      <c r="AT76"/>
      <c r="AU76"/>
    </row>
    <row r="77" spans="2:47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AK77"/>
      <c r="AL77"/>
      <c r="AM77"/>
      <c r="AN77"/>
      <c r="AO77"/>
      <c r="AP77"/>
      <c r="AQ77"/>
      <c r="AR77"/>
      <c r="AS77"/>
      <c r="AT77"/>
      <c r="AU77"/>
    </row>
    <row r="78" spans="2:47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2:47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2:47" ht="14.2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2:47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2:47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2:47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2:47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2:47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2:47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</row>
    <row r="87" spans="2:47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</row>
    <row r="88" spans="2:47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</row>
    <row r="89" spans="2:47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</row>
    <row r="90" spans="2:47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</row>
    <row r="91" spans="2:47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</row>
    <row r="92" spans="2:47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</row>
    <row r="93" spans="2:47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</row>
    <row r="94" spans="2:47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</row>
    <row r="95" spans="2:47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</row>
    <row r="96" spans="2:47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</row>
    <row r="97" spans="2:47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</row>
    <row r="98" spans="2:47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</row>
    <row r="99" spans="2:47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</row>
    <row r="100" spans="2:47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</row>
    <row r="101" spans="2:47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</row>
    <row r="102" spans="2:47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</row>
    <row r="103" spans="2:47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2:47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</row>
    <row r="105" spans="2:47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</row>
    <row r="106" spans="2:47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2:47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2:47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2:47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2:47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2:47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2:47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</row>
    <row r="113" spans="2:47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2:47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2:47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2:47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2:47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</row>
    <row r="118" spans="2:47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</row>
    <row r="119" spans="2:47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</row>
    <row r="120" spans="2:47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</row>
    <row r="121" spans="2:47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</row>
    <row r="122" spans="2:47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</row>
    <row r="123" spans="2:47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</row>
    <row r="124" spans="2:47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</row>
    <row r="125" spans="2:47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</row>
    <row r="126" spans="2:47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</row>
    <row r="127" spans="2:47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</row>
    <row r="128" spans="2:47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</row>
    <row r="129" spans="2:47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</row>
    <row r="130" spans="2:47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</row>
    <row r="131" spans="2:47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2:47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2:47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2:47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2:47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2:47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2:47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2:47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2:47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2:47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2:47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linear_rzeta_play</vt:lpstr>
      <vt:lpstr>nonlinear_rzeta_play</vt:lpstr>
      <vt:lpstr>dip46_rzeta_all</vt:lpstr>
      <vt:lpstr>dip29_rzeta_all</vt:lpstr>
      <vt:lpstr>linear_rzeta_all</vt:lpstr>
      <vt:lpstr>nonlin_rzeta_66_58_62B</vt:lpstr>
      <vt:lpstr>rzeta_rstkr03</vt:lpstr>
      <vt:lpstr>stock_3771s</vt:lpstr>
      <vt:lpstr>corey_4096s</vt:lpstr>
      <vt:lpstr>rzeta_rstkr02</vt:lpstr>
      <vt:lpstr>rzeta_rstkr02a</vt:lpstr>
      <vt:lpstr>rstkr_rzeta01</vt:lpstr>
      <vt:lpstr>dip29_rzeta_all!Print_Area</vt:lpstr>
      <vt:lpstr>dip46_rzeta_all!Print_Area</vt:lpstr>
      <vt:lpstr>linear_rzeta_all!Print_Area</vt:lpstr>
      <vt:lpstr>rstkr_rzeta01!Print_Area</vt:lpstr>
      <vt:lpstr>rzeta_rstkr02!Print_Area</vt:lpstr>
      <vt:lpstr>rzeta_rstkr02a!Print_Area</vt:lpstr>
      <vt:lpstr>rzeta_rstkr03!Print_Area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</cp:lastModifiedBy>
  <cp:lastPrinted>2022-08-16T03:50:31Z</cp:lastPrinted>
  <dcterms:created xsi:type="dcterms:W3CDTF">2017-08-18T22:36:59Z</dcterms:created>
  <dcterms:modified xsi:type="dcterms:W3CDTF">2022-08-16T04:38:00Z</dcterms:modified>
</cp:coreProperties>
</file>