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5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6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7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8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3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4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5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9.xml" ContentType="application/vnd.openxmlformats-officedocument.drawing+xml"/>
  <Override PartName="/xl/charts/chart36.xml" ContentType="application/vnd.openxmlformats-officedocument.drawingml.chart+xml"/>
  <Override PartName="/xl/drawings/drawing10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1.xml" ContentType="application/vnd.openxmlformats-officedocument.drawing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amp\jaguar_vdb\vdb2\vdb\excel\"/>
    </mc:Choice>
  </mc:AlternateContent>
  <xr:revisionPtr revIDLastSave="0" documentId="8_{35E4E811-06E7-4516-BA1D-F89B914BFF02}" xr6:coauthVersionLast="47" xr6:coauthVersionMax="47" xr10:uidLastSave="{00000000-0000-0000-0000-000000000000}"/>
  <bookViews>
    <workbookView xWindow="-120" yWindow="-120" windowWidth="24240" windowHeight="13140" tabRatio="858" activeTab="1" xr2:uid="{00000000-000D-0000-FFFF-FFFF00000000}"/>
  </bookViews>
  <sheets>
    <sheet name="nonlinear_zeta_111" sheetId="23" r:id="rId1"/>
    <sheet name="nonlinear_zeta_66_58_62B" sheetId="24" r:id="rId2"/>
    <sheet name="nonlinear_zeta_66_58_62A" sheetId="22" r:id="rId3"/>
    <sheet name="NEW_rzeta_restackor03" sheetId="19" r:id="rId4"/>
    <sheet name="Sheet3_playaround" sheetId="21" r:id="rId5"/>
    <sheet name="Sheet3" sheetId="20" r:id="rId6"/>
    <sheet name="NEW_rzeta_restackor02" sheetId="16" r:id="rId7"/>
    <sheet name="NEW_rzeta_restackor02a" sheetId="18" r:id="rId8"/>
    <sheet name="rzeta_bkwd_less_rebdrag" sheetId="14" r:id="rId9"/>
    <sheet name="NEW_restackor_rzeta01" sheetId="17" r:id="rId10"/>
    <sheet name="rzeta_bkwd_less_compdrag" sheetId="13" r:id="rId11"/>
    <sheet name="shr_per_spr" sheetId="6" r:id="rId12"/>
    <sheet name="Sheet1" sheetId="9" r:id="rId13"/>
  </sheets>
  <definedNames>
    <definedName name="_xlnm.Print_Area" localSheetId="9">NEW_restackor_rzeta01!$O$33:$Z$51</definedName>
    <definedName name="_xlnm.Print_Area" localSheetId="6">NEW_rzeta_restackor02!$J$16:$AE$82</definedName>
    <definedName name="_xlnm.Print_Area" localSheetId="7">NEW_rzeta_restackor02a!$A$38:$F$55</definedName>
    <definedName name="_xlnm.Print_Area" localSheetId="3">NEW_rzeta_restackor03!$J$18:$AE$84</definedName>
    <definedName name="_xlnm.Print_Area" localSheetId="0">nonlinear_zeta_111!#REF!</definedName>
    <definedName name="_xlnm.Print_Area" localSheetId="2">nonlinear_zeta_66_58_62A!#REF!</definedName>
    <definedName name="_xlnm.Print_Area" localSheetId="1">nonlinear_zeta_66_58_62B!#REF!</definedName>
    <definedName name="_xlnm.Print_Area" localSheetId="10">rzeta_bkwd_less_compdrag!$A$87:$H$103</definedName>
    <definedName name="_xlnm.Print_Area" localSheetId="8">rzeta_bkwd_less_rebdrag!$C$33:$J$62</definedName>
    <definedName name="_xlnm.Print_Area" localSheetId="11">shr_per_spr!$A$31:$F$48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1" i="22" l="1"/>
  <c r="R30" i="22"/>
  <c r="R29" i="22"/>
  <c r="T43" i="22"/>
  <c r="T42" i="22"/>
  <c r="T41" i="22"/>
  <c r="T40" i="22"/>
  <c r="T39" i="22"/>
  <c r="T38" i="22"/>
  <c r="T37" i="22"/>
  <c r="T36" i="22"/>
  <c r="T35" i="22"/>
  <c r="T34" i="22"/>
  <c r="Q42" i="22"/>
  <c r="Q38" i="22"/>
  <c r="Q35" i="22"/>
  <c r="AL31" i="24" a="1"/>
  <c r="AL31" i="24" s="1"/>
  <c r="C31" i="24" a="1"/>
  <c r="C31" i="24" s="1"/>
  <c r="AL30" i="24" a="1"/>
  <c r="AL30" i="24" s="1"/>
  <c r="C30" i="24" a="1"/>
  <c r="C30" i="24" s="1"/>
  <c r="C35" i="24" s="1"/>
  <c r="AL29" i="24" a="1"/>
  <c r="AL29" i="24" s="1"/>
  <c r="AL28" i="24" a="1"/>
  <c r="AL28" i="24" s="1"/>
  <c r="F28" i="24"/>
  <c r="F26" i="24"/>
  <c r="U18" i="24"/>
  <c r="T18" i="24"/>
  <c r="T17" i="24"/>
  <c r="U17" i="24" s="1"/>
  <c r="U16" i="24"/>
  <c r="T16" i="24"/>
  <c r="U15" i="24"/>
  <c r="T15" i="24"/>
  <c r="T14" i="24"/>
  <c r="U14" i="24" s="1"/>
  <c r="T13" i="24"/>
  <c r="U13" i="24" s="1"/>
  <c r="T12" i="24"/>
  <c r="U12" i="24" s="1"/>
  <c r="U11" i="24"/>
  <c r="T11" i="24"/>
  <c r="U10" i="24"/>
  <c r="T10" i="24"/>
  <c r="T9" i="24"/>
  <c r="U9" i="24" s="1"/>
  <c r="Q6" i="24"/>
  <c r="C30" i="23" a="1"/>
  <c r="C30" i="23" s="1"/>
  <c r="U25" i="21"/>
  <c r="T24" i="21"/>
  <c r="F28" i="23"/>
  <c r="F26" i="23"/>
  <c r="AL31" i="23" a="1"/>
  <c r="AL31" i="23" s="1"/>
  <c r="AL30" i="23" a="1"/>
  <c r="AL30" i="23" s="1"/>
  <c r="C31" i="23" a="1"/>
  <c r="C31" i="23" s="1"/>
  <c r="AL29" i="23" a="1"/>
  <c r="AL29" i="23" s="1"/>
  <c r="AL28" i="23" a="1"/>
  <c r="AL28" i="23" s="1"/>
  <c r="T18" i="23"/>
  <c r="U18" i="23" s="1"/>
  <c r="T17" i="23"/>
  <c r="U17" i="23" s="1"/>
  <c r="T16" i="23"/>
  <c r="U16" i="23" s="1"/>
  <c r="T15" i="23"/>
  <c r="U15" i="23" s="1"/>
  <c r="T14" i="23"/>
  <c r="U14" i="23" s="1"/>
  <c r="T13" i="23"/>
  <c r="U13" i="23" s="1"/>
  <c r="T12" i="23"/>
  <c r="U12" i="23" s="1"/>
  <c r="T11" i="23"/>
  <c r="U11" i="23" s="1"/>
  <c r="T10" i="23"/>
  <c r="U10" i="23" s="1"/>
  <c r="T9" i="23"/>
  <c r="U9" i="23" s="1"/>
  <c r="Q6" i="23"/>
  <c r="AL154" i="19"/>
  <c r="O18" i="22"/>
  <c r="P18" i="22" s="1"/>
  <c r="R18" i="22" s="1"/>
  <c r="O17" i="22"/>
  <c r="P17" i="22" s="1"/>
  <c r="R17" i="22" s="1"/>
  <c r="O16" i="22"/>
  <c r="P16" i="22" s="1"/>
  <c r="R16" i="22" s="1"/>
  <c r="O15" i="22"/>
  <c r="P15" i="22" s="1"/>
  <c r="R15" i="22" s="1"/>
  <c r="O14" i="22"/>
  <c r="P14" i="22" s="1"/>
  <c r="R14" i="22" s="1"/>
  <c r="O13" i="22"/>
  <c r="P13" i="22" s="1"/>
  <c r="R13" i="22" s="1"/>
  <c r="O12" i="22"/>
  <c r="P12" i="22" s="1"/>
  <c r="R12" i="22" s="1"/>
  <c r="O11" i="22"/>
  <c r="P11" i="22" s="1"/>
  <c r="R11" i="22" s="1"/>
  <c r="O10" i="22"/>
  <c r="P10" i="22" s="1"/>
  <c r="R10" i="22" s="1"/>
  <c r="O9" i="22"/>
  <c r="P9" i="22" s="1"/>
  <c r="R9" i="22" s="1"/>
  <c r="L6" i="22"/>
  <c r="H28" i="22"/>
  <c r="C31" i="22" a="1"/>
  <c r="C31" i="22" s="1"/>
  <c r="C30" i="22" a="1"/>
  <c r="C30" i="22" s="1"/>
  <c r="G26" i="22" a="1"/>
  <c r="G26" i="22" s="1"/>
  <c r="G28" i="22" a="1"/>
  <c r="G28" i="22" s="1"/>
  <c r="G27" i="22" a="1"/>
  <c r="G27" i="22" s="1"/>
  <c r="AE31" i="22" a="1"/>
  <c r="AE31" i="22" s="1"/>
  <c r="AE30" i="22" a="1"/>
  <c r="AE30" i="22" s="1"/>
  <c r="AE29" i="22" a="1"/>
  <c r="AE29" i="22" s="1"/>
  <c r="AE28" i="22" a="1"/>
  <c r="AE28" i="22" s="1"/>
  <c r="O70" i="21"/>
  <c r="L69" i="21"/>
  <c r="L70" i="21"/>
  <c r="L71" i="21"/>
  <c r="L72" i="21"/>
  <c r="L73" i="21"/>
  <c r="L74" i="21"/>
  <c r="L75" i="21"/>
  <c r="L76" i="21"/>
  <c r="L77" i="21"/>
  <c r="L78" i="21"/>
  <c r="L79" i="21"/>
  <c r="L80" i="21"/>
  <c r="L81" i="21"/>
  <c r="L82" i="21"/>
  <c r="L83" i="21"/>
  <c r="L84" i="21"/>
  <c r="L85" i="21"/>
  <c r="L86" i="21"/>
  <c r="L87" i="21"/>
  <c r="L88" i="21"/>
  <c r="L89" i="21"/>
  <c r="L90" i="21"/>
  <c r="K69" i="21"/>
  <c r="K70" i="21"/>
  <c r="K71" i="21"/>
  <c r="K72" i="21"/>
  <c r="K73" i="21"/>
  <c r="K74" i="21"/>
  <c r="K75" i="21"/>
  <c r="K76" i="21"/>
  <c r="K77" i="21"/>
  <c r="K78" i="21"/>
  <c r="K79" i="21"/>
  <c r="K80" i="21"/>
  <c r="K81" i="21"/>
  <c r="K82" i="21"/>
  <c r="K83" i="21"/>
  <c r="K84" i="21"/>
  <c r="K85" i="21"/>
  <c r="K86" i="21"/>
  <c r="K87" i="21"/>
  <c r="K88" i="21"/>
  <c r="K89" i="21"/>
  <c r="K90" i="21"/>
  <c r="K91" i="21"/>
  <c r="J92" i="21"/>
  <c r="L68" i="21"/>
  <c r="L48" i="21"/>
  <c r="L49" i="21"/>
  <c r="L50" i="21"/>
  <c r="L51" i="21"/>
  <c r="L52" i="21"/>
  <c r="L53" i="21"/>
  <c r="L54" i="21"/>
  <c r="L55" i="21"/>
  <c r="L56" i="21"/>
  <c r="L57" i="21"/>
  <c r="L58" i="21"/>
  <c r="L59" i="21"/>
  <c r="L60" i="21"/>
  <c r="L61" i="21"/>
  <c r="L62" i="21"/>
  <c r="L63" i="21"/>
  <c r="L64" i="21"/>
  <c r="L65" i="21"/>
  <c r="L66" i="21"/>
  <c r="L67" i="21"/>
  <c r="L47" i="21"/>
  <c r="K47" i="21"/>
  <c r="K48" i="21"/>
  <c r="K49" i="21"/>
  <c r="K50" i="21"/>
  <c r="K51" i="21"/>
  <c r="K52" i="21"/>
  <c r="K53" i="21"/>
  <c r="K54" i="21"/>
  <c r="K55" i="21"/>
  <c r="K56" i="21"/>
  <c r="K57" i="21"/>
  <c r="K58" i="21"/>
  <c r="K59" i="21"/>
  <c r="K60" i="21"/>
  <c r="K61" i="21"/>
  <c r="K62" i="21"/>
  <c r="K63" i="21"/>
  <c r="K64" i="21"/>
  <c r="K65" i="21"/>
  <c r="K66" i="21"/>
  <c r="K67" i="21"/>
  <c r="K68" i="21"/>
  <c r="K46" i="21"/>
  <c r="J45" i="21"/>
  <c r="J69" i="21"/>
  <c r="J70" i="21"/>
  <c r="J71" i="21"/>
  <c r="J72" i="21"/>
  <c r="J73" i="21"/>
  <c r="J74" i="21"/>
  <c r="J75" i="21"/>
  <c r="J76" i="21"/>
  <c r="J77" i="21"/>
  <c r="J78" i="21"/>
  <c r="J79" i="21"/>
  <c r="J80" i="21"/>
  <c r="J81" i="21"/>
  <c r="J82" i="21"/>
  <c r="J83" i="21"/>
  <c r="J84" i="21"/>
  <c r="J85" i="21"/>
  <c r="J86" i="21"/>
  <c r="J87" i="21"/>
  <c r="J88" i="21"/>
  <c r="J89" i="21"/>
  <c r="J90" i="21"/>
  <c r="J91" i="21"/>
  <c r="J46" i="21"/>
  <c r="J47" i="21"/>
  <c r="J48" i="21"/>
  <c r="J49" i="21"/>
  <c r="J50" i="21"/>
  <c r="J51" i="21"/>
  <c r="J52" i="21"/>
  <c r="J53" i="21"/>
  <c r="J54" i="21"/>
  <c r="J55" i="21"/>
  <c r="J56" i="21"/>
  <c r="J57" i="21"/>
  <c r="J58" i="21"/>
  <c r="J59" i="21"/>
  <c r="J60" i="21"/>
  <c r="J61" i="21"/>
  <c r="J62" i="21"/>
  <c r="J63" i="21"/>
  <c r="J64" i="21"/>
  <c r="J65" i="21"/>
  <c r="J66" i="21"/>
  <c r="J67" i="21"/>
  <c r="J68" i="21"/>
  <c r="T17" i="21" a="1"/>
  <c r="T17" i="21" s="1"/>
  <c r="G17" i="21"/>
  <c r="G17" i="21" a="1"/>
  <c r="T16" i="21"/>
  <c r="T16" i="21" a="1"/>
  <c r="G16" i="21" a="1"/>
  <c r="G16" i="21" s="1"/>
  <c r="O61" i="20"/>
  <c r="O62" i="20"/>
  <c r="O63" i="20"/>
  <c r="J65" i="20"/>
  <c r="O64" i="20"/>
  <c r="P67" i="20"/>
  <c r="P68" i="20"/>
  <c r="P69" i="20"/>
  <c r="P70" i="20"/>
  <c r="P71" i="20"/>
  <c r="P72" i="20" s="1"/>
  <c r="P73" i="20" s="1"/>
  <c r="P74" i="20" s="1"/>
  <c r="P75" i="20" s="1"/>
  <c r="P76" i="20" s="1"/>
  <c r="P77" i="20" s="1"/>
  <c r="P78" i="20" s="1"/>
  <c r="P79" i="20" s="1"/>
  <c r="P80" i="20" s="1"/>
  <c r="P81" i="20" s="1"/>
  <c r="P82" i="20" s="1"/>
  <c r="P83" i="20" s="1"/>
  <c r="P84" i="20" s="1"/>
  <c r="P85" i="20" s="1"/>
  <c r="P86" i="20" s="1"/>
  <c r="P87" i="20" s="1"/>
  <c r="P88" i="20" s="1"/>
  <c r="P89" i="20" s="1"/>
  <c r="P90" i="20" s="1"/>
  <c r="P91" i="20" s="1"/>
  <c r="P66" i="20"/>
  <c r="P42" i="20"/>
  <c r="P62" i="20"/>
  <c r="P61" i="20" s="1"/>
  <c r="P60" i="20" s="1"/>
  <c r="P59" i="20" s="1"/>
  <c r="P58" i="20" s="1"/>
  <c r="P57" i="20" s="1"/>
  <c r="P56" i="20" s="1"/>
  <c r="P55" i="20" s="1"/>
  <c r="P54" i="20" s="1"/>
  <c r="P53" i="20" s="1"/>
  <c r="P52" i="20" s="1"/>
  <c r="P51" i="20" s="1"/>
  <c r="P50" i="20" s="1"/>
  <c r="P49" i="20" s="1"/>
  <c r="P48" i="20" s="1"/>
  <c r="P47" i="20" s="1"/>
  <c r="P46" i="20" s="1"/>
  <c r="P45" i="20" s="1"/>
  <c r="P44" i="20" s="1"/>
  <c r="P43" i="20" s="1"/>
  <c r="P63" i="20"/>
  <c r="P64" i="20"/>
  <c r="K43" i="20"/>
  <c r="J49" i="20"/>
  <c r="J52" i="20"/>
  <c r="J56" i="20"/>
  <c r="J58" i="20"/>
  <c r="K58" i="20" s="1"/>
  <c r="J68" i="20"/>
  <c r="J72" i="20"/>
  <c r="K72" i="20" s="1"/>
  <c r="J74" i="20"/>
  <c r="J81" i="20"/>
  <c r="K81" i="20" s="1"/>
  <c r="J84" i="20"/>
  <c r="J88" i="20"/>
  <c r="J90" i="20"/>
  <c r="K90" i="20" s="1"/>
  <c r="I42" i="20"/>
  <c r="J42" i="20" s="1"/>
  <c r="I43" i="20"/>
  <c r="J43" i="20" s="1"/>
  <c r="I44" i="20"/>
  <c r="J44" i="20" s="1"/>
  <c r="I45" i="20"/>
  <c r="J45" i="20" s="1"/>
  <c r="K45" i="20" s="1"/>
  <c r="I46" i="20"/>
  <c r="J46" i="20" s="1"/>
  <c r="I47" i="20"/>
  <c r="J48" i="20" s="1"/>
  <c r="I48" i="20"/>
  <c r="I49" i="20"/>
  <c r="I50" i="20"/>
  <c r="J50" i="20" s="1"/>
  <c r="K50" i="20" s="1"/>
  <c r="I51" i="20"/>
  <c r="J51" i="20" s="1"/>
  <c r="K51" i="20" s="1"/>
  <c r="I52" i="20"/>
  <c r="I53" i="20"/>
  <c r="J53" i="20" s="1"/>
  <c r="K53" i="20" s="1"/>
  <c r="I54" i="20"/>
  <c r="J54" i="20" s="1"/>
  <c r="I55" i="20"/>
  <c r="I56" i="20"/>
  <c r="J57" i="20" s="1"/>
  <c r="K57" i="20" s="1"/>
  <c r="I57" i="20"/>
  <c r="I58" i="20"/>
  <c r="I59" i="20"/>
  <c r="J59" i="20" s="1"/>
  <c r="K59" i="20" s="1"/>
  <c r="I60" i="20"/>
  <c r="J60" i="20" s="1"/>
  <c r="I61" i="20"/>
  <c r="J61" i="20" s="1"/>
  <c r="K61" i="20" s="1"/>
  <c r="I62" i="20"/>
  <c r="J62" i="20" s="1"/>
  <c r="I63" i="20"/>
  <c r="J63" i="20" s="1"/>
  <c r="K63" i="20" s="1"/>
  <c r="I64" i="20"/>
  <c r="I65" i="20"/>
  <c r="I66" i="20"/>
  <c r="J66" i="20" s="1"/>
  <c r="K66" i="20" s="1"/>
  <c r="I67" i="20"/>
  <c r="J67" i="20" s="1"/>
  <c r="K67" i="20" s="1"/>
  <c r="I68" i="20"/>
  <c r="I69" i="20"/>
  <c r="J69" i="20" s="1"/>
  <c r="K69" i="20" s="1"/>
  <c r="I70" i="20"/>
  <c r="J71" i="20" s="1"/>
  <c r="I71" i="20"/>
  <c r="I72" i="20"/>
  <c r="J73" i="20" s="1"/>
  <c r="K73" i="20" s="1"/>
  <c r="I73" i="20"/>
  <c r="I74" i="20"/>
  <c r="I75" i="20"/>
  <c r="J75" i="20" s="1"/>
  <c r="K75" i="20" s="1"/>
  <c r="I76" i="20"/>
  <c r="J76" i="20" s="1"/>
  <c r="I77" i="20"/>
  <c r="J77" i="20" s="1"/>
  <c r="K77" i="20" s="1"/>
  <c r="I78" i="20"/>
  <c r="J78" i="20" s="1"/>
  <c r="I79" i="20"/>
  <c r="J80" i="20" s="1"/>
  <c r="I80" i="20"/>
  <c r="I81" i="20"/>
  <c r="I82" i="20"/>
  <c r="J82" i="20" s="1"/>
  <c r="K82" i="20" s="1"/>
  <c r="I83" i="20"/>
  <c r="J83" i="20" s="1"/>
  <c r="K83" i="20" s="1"/>
  <c r="I84" i="20"/>
  <c r="I85" i="20"/>
  <c r="J85" i="20" s="1"/>
  <c r="K85" i="20" s="1"/>
  <c r="I86" i="20"/>
  <c r="J86" i="20" s="1"/>
  <c r="I87" i="20"/>
  <c r="I88" i="20"/>
  <c r="J89" i="20" s="1"/>
  <c r="K89" i="20" s="1"/>
  <c r="I89" i="20"/>
  <c r="I90" i="20"/>
  <c r="I41" i="20"/>
  <c r="V29" i="20"/>
  <c r="V28" i="20"/>
  <c r="V27" i="20"/>
  <c r="V26" i="20"/>
  <c r="V25" i="20"/>
  <c r="V24" i="20"/>
  <c r="V23" i="20"/>
  <c r="V22" i="20"/>
  <c r="V21" i="20"/>
  <c r="I22" i="20"/>
  <c r="I23" i="20"/>
  <c r="I24" i="20"/>
  <c r="I25" i="20"/>
  <c r="I26" i="20"/>
  <c r="I27" i="20"/>
  <c r="I28" i="20"/>
  <c r="I29" i="20"/>
  <c r="I21" i="20"/>
  <c r="X22" i="20"/>
  <c r="X29" i="20"/>
  <c r="X28" i="20"/>
  <c r="X27" i="20"/>
  <c r="X26" i="20"/>
  <c r="X25" i="20"/>
  <c r="X24" i="20"/>
  <c r="X23" i="20"/>
  <c r="K24" i="20"/>
  <c r="K23" i="20"/>
  <c r="K25" i="20"/>
  <c r="K26" i="20"/>
  <c r="K27" i="20"/>
  <c r="K28" i="20"/>
  <c r="K29" i="20"/>
  <c r="K22" i="20"/>
  <c r="G17" i="20" a="1"/>
  <c r="G17" i="20" s="1"/>
  <c r="G16" i="20" a="1"/>
  <c r="G16" i="20" s="1"/>
  <c r="T17" i="20" a="1"/>
  <c r="T17" i="20" s="1"/>
  <c r="T16" i="20" a="1"/>
  <c r="T16" i="20" s="1"/>
  <c r="AN155" i="19"/>
  <c r="AN156" i="19"/>
  <c r="AN157" i="19"/>
  <c r="AN158" i="19"/>
  <c r="AN159" i="19"/>
  <c r="AN160" i="19"/>
  <c r="AN161" i="19"/>
  <c r="AN162" i="19"/>
  <c r="AN163" i="19"/>
  <c r="AN164" i="19"/>
  <c r="AN165" i="19"/>
  <c r="AN166" i="19"/>
  <c r="AN167" i="19"/>
  <c r="AN168" i="19"/>
  <c r="AN169" i="19"/>
  <c r="AN170" i="19"/>
  <c r="AN171" i="19"/>
  <c r="AN172" i="19"/>
  <c r="AN173" i="19"/>
  <c r="AN174" i="19"/>
  <c r="AN175" i="19"/>
  <c r="AN176" i="19"/>
  <c r="AN177" i="19"/>
  <c r="AN178" i="19"/>
  <c r="AN179" i="19"/>
  <c r="AN180" i="19"/>
  <c r="AN181" i="19"/>
  <c r="AN182" i="19"/>
  <c r="AN183" i="19"/>
  <c r="AN184" i="19"/>
  <c r="AN185" i="19"/>
  <c r="AN186" i="19"/>
  <c r="AN187" i="19"/>
  <c r="AN188" i="19"/>
  <c r="AN189" i="19"/>
  <c r="AN190" i="19"/>
  <c r="AN191" i="19"/>
  <c r="AN192" i="19"/>
  <c r="AN193" i="19"/>
  <c r="AN194" i="19"/>
  <c r="AN195" i="19"/>
  <c r="AN196" i="19"/>
  <c r="AN197" i="19"/>
  <c r="AN198" i="19"/>
  <c r="AN199" i="19"/>
  <c r="AN200" i="19"/>
  <c r="AN201" i="19"/>
  <c r="AN202" i="19"/>
  <c r="AN203" i="19"/>
  <c r="AM155" i="19"/>
  <c r="AM156" i="19"/>
  <c r="AM157" i="19"/>
  <c r="AM158" i="19"/>
  <c r="AM159" i="19"/>
  <c r="AM160" i="19"/>
  <c r="AM161" i="19"/>
  <c r="AM162" i="19"/>
  <c r="AM163" i="19"/>
  <c r="AM164" i="19"/>
  <c r="AM165" i="19"/>
  <c r="AM166" i="19"/>
  <c r="AM167" i="19"/>
  <c r="AM168" i="19"/>
  <c r="AM169" i="19"/>
  <c r="AM170" i="19"/>
  <c r="AM171" i="19"/>
  <c r="AM172" i="19"/>
  <c r="AM173" i="19"/>
  <c r="AM174" i="19"/>
  <c r="AM175" i="19"/>
  <c r="AM176" i="19"/>
  <c r="AM177" i="19"/>
  <c r="AM178" i="19"/>
  <c r="AM179" i="19"/>
  <c r="AM180" i="19"/>
  <c r="AM181" i="19"/>
  <c r="AM182" i="19"/>
  <c r="AM183" i="19"/>
  <c r="AM184" i="19"/>
  <c r="AM185" i="19"/>
  <c r="AM186" i="19"/>
  <c r="AM187" i="19"/>
  <c r="AM188" i="19"/>
  <c r="AM189" i="19"/>
  <c r="AM190" i="19"/>
  <c r="AM191" i="19"/>
  <c r="AM192" i="19"/>
  <c r="AM193" i="19"/>
  <c r="AM194" i="19"/>
  <c r="AM195" i="19"/>
  <c r="AM196" i="19"/>
  <c r="AM197" i="19"/>
  <c r="AM198" i="19"/>
  <c r="AM199" i="19"/>
  <c r="AM200" i="19"/>
  <c r="AM201" i="19"/>
  <c r="AM202" i="19"/>
  <c r="AM203" i="19"/>
  <c r="AM154" i="19"/>
  <c r="AN154" i="19" s="1"/>
  <c r="B154" i="19"/>
  <c r="M19" i="13"/>
  <c r="M36" i="13"/>
  <c r="AL159" i="19"/>
  <c r="AL160" i="19"/>
  <c r="AL161" i="19"/>
  <c r="AL162" i="19"/>
  <c r="AL163" i="19"/>
  <c r="AL164" i="19"/>
  <c r="AL165" i="19"/>
  <c r="AL166" i="19"/>
  <c r="AL167" i="19"/>
  <c r="AL168" i="19"/>
  <c r="AL169" i="19"/>
  <c r="AL170" i="19"/>
  <c r="AL171" i="19"/>
  <c r="AL172" i="19"/>
  <c r="AL173" i="19"/>
  <c r="AL174" i="19"/>
  <c r="AL175" i="19"/>
  <c r="AL176" i="19"/>
  <c r="AL177" i="19"/>
  <c r="AL178" i="19"/>
  <c r="AL179" i="19"/>
  <c r="AL180" i="19"/>
  <c r="AL181" i="19"/>
  <c r="AL182" i="19"/>
  <c r="AL183" i="19"/>
  <c r="AL184" i="19"/>
  <c r="AL185" i="19"/>
  <c r="AL186" i="19"/>
  <c r="AL187" i="19"/>
  <c r="AL188" i="19"/>
  <c r="AL189" i="19"/>
  <c r="AL190" i="19"/>
  <c r="AL191" i="19"/>
  <c r="AL192" i="19"/>
  <c r="AL193" i="19"/>
  <c r="AL194" i="19"/>
  <c r="AL195" i="19"/>
  <c r="AL196" i="19"/>
  <c r="AL197" i="19"/>
  <c r="AL198" i="19"/>
  <c r="AL199" i="19"/>
  <c r="AL200" i="19"/>
  <c r="AL201" i="19"/>
  <c r="AL202" i="19"/>
  <c r="AL203" i="19"/>
  <c r="AL155" i="19"/>
  <c r="AL156" i="19"/>
  <c r="AL157" i="19"/>
  <c r="AL158" i="19"/>
  <c r="AK155" i="19"/>
  <c r="AK156" i="19"/>
  <c r="AK157" i="19"/>
  <c r="AK158" i="19"/>
  <c r="AK159" i="19"/>
  <c r="AK160" i="19"/>
  <c r="AK161" i="19"/>
  <c r="AK162" i="19"/>
  <c r="AK163" i="19"/>
  <c r="AK164" i="19"/>
  <c r="AK165" i="19"/>
  <c r="AK166" i="19"/>
  <c r="AK167" i="19"/>
  <c r="AK168" i="19"/>
  <c r="AK169" i="19"/>
  <c r="AK170" i="19"/>
  <c r="AK171" i="19"/>
  <c r="AK172" i="19"/>
  <c r="AK173" i="19"/>
  <c r="AK174" i="19"/>
  <c r="AK175" i="19"/>
  <c r="AK176" i="19"/>
  <c r="AK177" i="19"/>
  <c r="AK178" i="19"/>
  <c r="AK179" i="19"/>
  <c r="AK180" i="19"/>
  <c r="AK181" i="19"/>
  <c r="AK182" i="19"/>
  <c r="AK183" i="19"/>
  <c r="AK184" i="19"/>
  <c r="AK185" i="19"/>
  <c r="AK186" i="19"/>
  <c r="AK187" i="19"/>
  <c r="AK188" i="19"/>
  <c r="AK189" i="19"/>
  <c r="AK190" i="19"/>
  <c r="AK191" i="19"/>
  <c r="AK192" i="19"/>
  <c r="AK193" i="19"/>
  <c r="AK194" i="19"/>
  <c r="AK195" i="19"/>
  <c r="AK196" i="19"/>
  <c r="AK197" i="19"/>
  <c r="AK198" i="19"/>
  <c r="AK199" i="19"/>
  <c r="AK200" i="19"/>
  <c r="AK201" i="19"/>
  <c r="AK202" i="19"/>
  <c r="AK203" i="19"/>
  <c r="AK154" i="19"/>
  <c r="W155" i="19"/>
  <c r="W156" i="19"/>
  <c r="W157" i="19"/>
  <c r="W158" i="19"/>
  <c r="W159" i="19"/>
  <c r="W160" i="19"/>
  <c r="W161" i="19"/>
  <c r="W162" i="19"/>
  <c r="W163" i="19"/>
  <c r="W164" i="19"/>
  <c r="W165" i="19"/>
  <c r="W166" i="19"/>
  <c r="W167" i="19"/>
  <c r="W168" i="19"/>
  <c r="W169" i="19"/>
  <c r="W170" i="19"/>
  <c r="W171" i="19"/>
  <c r="W172" i="19"/>
  <c r="W173" i="19"/>
  <c r="W174" i="19"/>
  <c r="W175" i="19"/>
  <c r="W176" i="19"/>
  <c r="W177" i="19"/>
  <c r="W178" i="19"/>
  <c r="W179" i="19"/>
  <c r="W180" i="19"/>
  <c r="W181" i="19"/>
  <c r="W182" i="19"/>
  <c r="W183" i="19"/>
  <c r="W184" i="19"/>
  <c r="W185" i="19"/>
  <c r="W186" i="19"/>
  <c r="W187" i="19"/>
  <c r="W188" i="19"/>
  <c r="W189" i="19"/>
  <c r="W190" i="19"/>
  <c r="W191" i="19"/>
  <c r="W192" i="19"/>
  <c r="W193" i="19"/>
  <c r="W194" i="19"/>
  <c r="W195" i="19"/>
  <c r="W196" i="19"/>
  <c r="W197" i="19"/>
  <c r="W198" i="19"/>
  <c r="W199" i="19"/>
  <c r="W200" i="19"/>
  <c r="W201" i="19"/>
  <c r="W202" i="19"/>
  <c r="W203" i="19"/>
  <c r="W154" i="19"/>
  <c r="AJ155" i="19"/>
  <c r="AJ156" i="19"/>
  <c r="AJ157" i="19"/>
  <c r="AJ158" i="19"/>
  <c r="AJ159" i="19"/>
  <c r="AJ160" i="19"/>
  <c r="AJ161" i="19"/>
  <c r="AJ162" i="19"/>
  <c r="AJ163" i="19"/>
  <c r="AJ164" i="19"/>
  <c r="AJ165" i="19"/>
  <c r="AJ166" i="19"/>
  <c r="AJ167" i="19"/>
  <c r="AJ168" i="19"/>
  <c r="AJ169" i="19"/>
  <c r="AJ170" i="19"/>
  <c r="AJ171" i="19"/>
  <c r="AJ172" i="19"/>
  <c r="AJ173" i="19"/>
  <c r="AJ174" i="19"/>
  <c r="AJ175" i="19"/>
  <c r="AJ176" i="19"/>
  <c r="AJ177" i="19"/>
  <c r="AJ178" i="19"/>
  <c r="AJ179" i="19"/>
  <c r="AJ180" i="19"/>
  <c r="AJ181" i="19"/>
  <c r="AJ182" i="19"/>
  <c r="AJ183" i="19"/>
  <c r="AJ184" i="19"/>
  <c r="AJ185" i="19"/>
  <c r="AJ186" i="19"/>
  <c r="AJ187" i="19"/>
  <c r="AJ188" i="19"/>
  <c r="AJ189" i="19"/>
  <c r="AJ190" i="19"/>
  <c r="AJ191" i="19"/>
  <c r="AJ192" i="19"/>
  <c r="AJ193" i="19"/>
  <c r="AJ194" i="19"/>
  <c r="AJ195" i="19"/>
  <c r="AJ196" i="19"/>
  <c r="AJ197" i="19"/>
  <c r="AJ198" i="19"/>
  <c r="AJ199" i="19"/>
  <c r="AJ200" i="19"/>
  <c r="AJ201" i="19"/>
  <c r="AJ202" i="19"/>
  <c r="AJ203" i="19"/>
  <c r="AJ154" i="19"/>
  <c r="AF180" i="19"/>
  <c r="AE160" i="19"/>
  <c r="AG149" i="19" a="1"/>
  <c r="AG149" i="19" s="1"/>
  <c r="AG148" i="19" a="1"/>
  <c r="AG148" i="19" s="1"/>
  <c r="AG147" i="19" a="1"/>
  <c r="AG147" i="19" s="1"/>
  <c r="AG146" i="19" a="1"/>
  <c r="AG146" i="19" s="1"/>
  <c r="AF177" i="19"/>
  <c r="AF178" i="19"/>
  <c r="AF179" i="19"/>
  <c r="AF181" i="19"/>
  <c r="AF182" i="19"/>
  <c r="AF183" i="19"/>
  <c r="AF184" i="19"/>
  <c r="AF185" i="19"/>
  <c r="AF186" i="19"/>
  <c r="AF187" i="19"/>
  <c r="AF188" i="19"/>
  <c r="AF189" i="19"/>
  <c r="AF190" i="19"/>
  <c r="AF191" i="19"/>
  <c r="AF192" i="19"/>
  <c r="AF193" i="19"/>
  <c r="AF194" i="19"/>
  <c r="AF195" i="19"/>
  <c r="AF196" i="19"/>
  <c r="AF197" i="19"/>
  <c r="AF198" i="19"/>
  <c r="AF199" i="19"/>
  <c r="AF200" i="19"/>
  <c r="AF201" i="19"/>
  <c r="AF202" i="19"/>
  <c r="AF203" i="19"/>
  <c r="AF154" i="19"/>
  <c r="AE167" i="19"/>
  <c r="AE168" i="19"/>
  <c r="AE169" i="19"/>
  <c r="AE170" i="19"/>
  <c r="AE171" i="19"/>
  <c r="AE172" i="19"/>
  <c r="AE173" i="19"/>
  <c r="AE174" i="19"/>
  <c r="AE175" i="19"/>
  <c r="AE176" i="19"/>
  <c r="AE177" i="19"/>
  <c r="AE178" i="19"/>
  <c r="AE179" i="19"/>
  <c r="AE180" i="19"/>
  <c r="AE181" i="19"/>
  <c r="AE182" i="19"/>
  <c r="AE183" i="19"/>
  <c r="AE184" i="19"/>
  <c r="AE185" i="19"/>
  <c r="AE186" i="19"/>
  <c r="AE187" i="19"/>
  <c r="AE188" i="19"/>
  <c r="AE189" i="19"/>
  <c r="AE190" i="19"/>
  <c r="AE191" i="19"/>
  <c r="AE192" i="19"/>
  <c r="AE193" i="19"/>
  <c r="AE194" i="19"/>
  <c r="AE195" i="19"/>
  <c r="AE196" i="19"/>
  <c r="AE197" i="19"/>
  <c r="AE198" i="19"/>
  <c r="AE199" i="19"/>
  <c r="AE200" i="19"/>
  <c r="AE201" i="19"/>
  <c r="AE202" i="19"/>
  <c r="AE203" i="19"/>
  <c r="AE155" i="19"/>
  <c r="AE156" i="19"/>
  <c r="AE157" i="19"/>
  <c r="AE158" i="19"/>
  <c r="AE159" i="19"/>
  <c r="AE161" i="19"/>
  <c r="AE162" i="19"/>
  <c r="AE163" i="19"/>
  <c r="AE164" i="19"/>
  <c r="AE165" i="19"/>
  <c r="AE166" i="19"/>
  <c r="AE154" i="19"/>
  <c r="AE149" i="19" a="1"/>
  <c r="AE149" i="19" s="1"/>
  <c r="AE150" i="19" a="1"/>
  <c r="AE150" i="19" s="1"/>
  <c r="R165" i="19"/>
  <c r="R154" i="19"/>
  <c r="X154" i="19"/>
  <c r="K147" i="19"/>
  <c r="K149" i="19" a="1"/>
  <c r="K149" i="19" s="1"/>
  <c r="K153" i="19" s="1"/>
  <c r="B57" i="14"/>
  <c r="B53" i="14"/>
  <c r="X157" i="19"/>
  <c r="X163" i="19"/>
  <c r="X164" i="19"/>
  <c r="X172" i="19"/>
  <c r="X188" i="19"/>
  <c r="B55" i="14"/>
  <c r="X177" i="19"/>
  <c r="X178" i="19"/>
  <c r="X193" i="19"/>
  <c r="X195" i="19"/>
  <c r="X162" i="19"/>
  <c r="R155" i="19"/>
  <c r="X155" i="19" s="1"/>
  <c r="R156" i="19"/>
  <c r="X156" i="19" s="1"/>
  <c r="R157" i="19"/>
  <c r="R158" i="19"/>
  <c r="R159" i="19"/>
  <c r="X159" i="19" s="1"/>
  <c r="R160" i="19"/>
  <c r="R161" i="19"/>
  <c r="R162" i="19"/>
  <c r="R163" i="19"/>
  <c r="R164" i="19"/>
  <c r="X165" i="19"/>
  <c r="R166" i="19"/>
  <c r="X166" i="19" s="1"/>
  <c r="R167" i="19"/>
  <c r="R168" i="19"/>
  <c r="R169" i="19"/>
  <c r="X169" i="19" s="1"/>
  <c r="R170" i="19"/>
  <c r="R171" i="19"/>
  <c r="X171" i="19" s="1"/>
  <c r="R172" i="19"/>
  <c r="R173" i="19"/>
  <c r="X173" i="19" s="1"/>
  <c r="R174" i="19"/>
  <c r="R175" i="19"/>
  <c r="X175" i="19" s="1"/>
  <c r="R176" i="19"/>
  <c r="R177" i="19"/>
  <c r="R178" i="19"/>
  <c r="R179" i="19"/>
  <c r="R180" i="19"/>
  <c r="R181" i="19"/>
  <c r="X181" i="19" s="1"/>
  <c r="R182" i="19"/>
  <c r="R183" i="19"/>
  <c r="R184" i="19"/>
  <c r="R185" i="19"/>
  <c r="X185" i="19" s="1"/>
  <c r="R186" i="19"/>
  <c r="R187" i="19"/>
  <c r="X187" i="19" s="1"/>
  <c r="R188" i="19"/>
  <c r="R189" i="19"/>
  <c r="X189" i="19" s="1"/>
  <c r="R190" i="19"/>
  <c r="R191" i="19"/>
  <c r="X191" i="19" s="1"/>
  <c r="R192" i="19"/>
  <c r="R193" i="19"/>
  <c r="R194" i="19"/>
  <c r="R195" i="19"/>
  <c r="R196" i="19"/>
  <c r="R197" i="19"/>
  <c r="R198" i="19"/>
  <c r="R199" i="19"/>
  <c r="R200" i="19"/>
  <c r="R201" i="19"/>
  <c r="X201" i="19" s="1"/>
  <c r="R202" i="19"/>
  <c r="R203" i="19"/>
  <c r="X203" i="19" s="1"/>
  <c r="E165" i="19"/>
  <c r="F165" i="19" s="1"/>
  <c r="H165" i="19" s="1"/>
  <c r="E164" i="19"/>
  <c r="F164" i="19" s="1"/>
  <c r="H164" i="19" s="1"/>
  <c r="E163" i="19"/>
  <c r="F163" i="19" s="1"/>
  <c r="H163" i="19" s="1"/>
  <c r="E162" i="19"/>
  <c r="F162" i="19" s="1"/>
  <c r="H162" i="19" s="1"/>
  <c r="E161" i="19"/>
  <c r="F161" i="19" s="1"/>
  <c r="H161" i="19" s="1"/>
  <c r="E160" i="19"/>
  <c r="F160" i="19" s="1"/>
  <c r="H160" i="19" s="1"/>
  <c r="E159" i="19"/>
  <c r="F159" i="19" s="1"/>
  <c r="H159" i="19" s="1"/>
  <c r="E158" i="19"/>
  <c r="F158" i="19" s="1"/>
  <c r="H158" i="19" s="1"/>
  <c r="E157" i="19"/>
  <c r="F157" i="19" s="1"/>
  <c r="H157" i="19" s="1"/>
  <c r="E156" i="19"/>
  <c r="F156" i="19" s="1"/>
  <c r="H156" i="19" s="1"/>
  <c r="C148" i="19"/>
  <c r="C147" i="19" s="1"/>
  <c r="D147" i="19" s="1"/>
  <c r="E147" i="19" s="1"/>
  <c r="F147" i="19" s="1"/>
  <c r="G147" i="19" s="1"/>
  <c r="K146" i="19"/>
  <c r="K150" i="19" s="1" a="1"/>
  <c r="K150" i="19" s="1"/>
  <c r="C146" i="19"/>
  <c r="C145" i="19" s="1"/>
  <c r="D145" i="19" s="1"/>
  <c r="B54" i="14"/>
  <c r="B56" i="14"/>
  <c r="B58" i="14"/>
  <c r="B59" i="14"/>
  <c r="B60" i="14"/>
  <c r="B61" i="14"/>
  <c r="B62" i="14"/>
  <c r="K66" i="16"/>
  <c r="F100" i="14"/>
  <c r="F96" i="14"/>
  <c r="AD70" i="19"/>
  <c r="AA70" i="19"/>
  <c r="X70" i="19"/>
  <c r="U70" i="19"/>
  <c r="R70" i="19"/>
  <c r="O70" i="19"/>
  <c r="L70" i="19"/>
  <c r="C70" i="19"/>
  <c r="C69" i="19" s="1"/>
  <c r="AD69" i="19"/>
  <c r="AC69" i="19"/>
  <c r="AA69" i="19"/>
  <c r="X69" i="19"/>
  <c r="U69" i="19"/>
  <c r="R69" i="19"/>
  <c r="O69" i="19"/>
  <c r="L69" i="19"/>
  <c r="K69" i="19"/>
  <c r="AD68" i="19"/>
  <c r="AC68" i="19"/>
  <c r="AA68" i="19"/>
  <c r="X68" i="19"/>
  <c r="U68" i="19"/>
  <c r="R68" i="19"/>
  <c r="O68" i="19"/>
  <c r="L68" i="19"/>
  <c r="K68" i="19"/>
  <c r="C68" i="19"/>
  <c r="C67" i="19" s="1"/>
  <c r="AD49" i="19"/>
  <c r="AA49" i="19"/>
  <c r="X49" i="19"/>
  <c r="U49" i="19"/>
  <c r="R49" i="19"/>
  <c r="O49" i="19"/>
  <c r="L49" i="19"/>
  <c r="C49" i="19"/>
  <c r="C48" i="19" s="1"/>
  <c r="AD48" i="19"/>
  <c r="AC48" i="19"/>
  <c r="AC50" i="19" s="1" a="1"/>
  <c r="AC50" i="19" s="1"/>
  <c r="AA48" i="19"/>
  <c r="X48" i="19"/>
  <c r="U48" i="19"/>
  <c r="R48" i="19"/>
  <c r="O48" i="19"/>
  <c r="L48" i="19"/>
  <c r="K48" i="19"/>
  <c r="AD47" i="19"/>
  <c r="AC47" i="19"/>
  <c r="AA47" i="19"/>
  <c r="X47" i="19"/>
  <c r="U47" i="19"/>
  <c r="R47" i="19"/>
  <c r="O47" i="19"/>
  <c r="L47" i="19"/>
  <c r="K47" i="19"/>
  <c r="K50" i="19" s="1" a="1"/>
  <c r="K50" i="19" s="1"/>
  <c r="C47" i="19"/>
  <c r="C46" i="19" s="1"/>
  <c r="AD28" i="19"/>
  <c r="AA28" i="19"/>
  <c r="X28" i="19"/>
  <c r="U28" i="19"/>
  <c r="R28" i="19"/>
  <c r="O28" i="19"/>
  <c r="L28" i="19"/>
  <c r="C28" i="19"/>
  <c r="C27" i="19" s="1"/>
  <c r="AD27" i="19"/>
  <c r="AC27" i="19"/>
  <c r="AC29" i="19" s="1" a="1"/>
  <c r="AC29" i="19" s="1"/>
  <c r="AA27" i="19"/>
  <c r="X27" i="19"/>
  <c r="U27" i="19"/>
  <c r="R27" i="19"/>
  <c r="O27" i="19"/>
  <c r="L27" i="19"/>
  <c r="K27" i="19"/>
  <c r="AD26" i="19"/>
  <c r="AC26" i="19"/>
  <c r="AA26" i="19"/>
  <c r="X26" i="19"/>
  <c r="U26" i="19"/>
  <c r="R26" i="19"/>
  <c r="O26" i="19"/>
  <c r="L26" i="19"/>
  <c r="K26" i="19"/>
  <c r="C26" i="19"/>
  <c r="C25" i="19" s="1"/>
  <c r="E19" i="19"/>
  <c r="F19" i="19" s="1"/>
  <c r="H19" i="19" s="1"/>
  <c r="E18" i="19"/>
  <c r="F18" i="19" s="1"/>
  <c r="H18" i="19" s="1"/>
  <c r="E17" i="19"/>
  <c r="F17" i="19" s="1"/>
  <c r="H17" i="19" s="1"/>
  <c r="E16" i="19"/>
  <c r="F16" i="19" s="1"/>
  <c r="H16" i="19" s="1"/>
  <c r="E15" i="19"/>
  <c r="F15" i="19" s="1"/>
  <c r="H15" i="19" s="1"/>
  <c r="E14" i="19"/>
  <c r="F14" i="19" s="1"/>
  <c r="H14" i="19" s="1"/>
  <c r="E13" i="19"/>
  <c r="F13" i="19" s="1"/>
  <c r="H13" i="19" s="1"/>
  <c r="E12" i="19"/>
  <c r="F12" i="19" s="1"/>
  <c r="H12" i="19" s="1"/>
  <c r="E11" i="19"/>
  <c r="F11" i="19" s="1"/>
  <c r="H11" i="19" s="1"/>
  <c r="E10" i="19"/>
  <c r="F10" i="19" s="1"/>
  <c r="H10" i="19" s="1"/>
  <c r="P14" i="18"/>
  <c r="AK37" i="24" l="1"/>
  <c r="AK38" i="24"/>
  <c r="AK35" i="24"/>
  <c r="AK39" i="24"/>
  <c r="AK36" i="24"/>
  <c r="C58" i="24"/>
  <c r="C50" i="24"/>
  <c r="C38" i="24"/>
  <c r="C54" i="24"/>
  <c r="C48" i="24"/>
  <c r="C56" i="24"/>
  <c r="C46" i="24"/>
  <c r="C60" i="24"/>
  <c r="C52" i="24"/>
  <c r="C44" i="24"/>
  <c r="C66" i="24"/>
  <c r="C72" i="24"/>
  <c r="C82" i="24"/>
  <c r="C41" i="24"/>
  <c r="C80" i="24"/>
  <c r="C62" i="24"/>
  <c r="C68" i="24"/>
  <c r="C74" i="24"/>
  <c r="C78" i="24"/>
  <c r="C64" i="24"/>
  <c r="C70" i="24"/>
  <c r="C76" i="24"/>
  <c r="C34" i="24"/>
  <c r="C43" i="24"/>
  <c r="C40" i="24"/>
  <c r="C45" i="24"/>
  <c r="C47" i="24"/>
  <c r="C49" i="24"/>
  <c r="C51" i="24"/>
  <c r="C53" i="24"/>
  <c r="C55" i="24"/>
  <c r="C57" i="24"/>
  <c r="C59" i="24"/>
  <c r="C61" i="24"/>
  <c r="C63" i="24"/>
  <c r="C65" i="24"/>
  <c r="C67" i="24"/>
  <c r="C69" i="24"/>
  <c r="C71" i="24"/>
  <c r="C73" i="24"/>
  <c r="C75" i="24"/>
  <c r="C77" i="24"/>
  <c r="C79" i="24"/>
  <c r="C81" i="24"/>
  <c r="C83" i="24"/>
  <c r="C36" i="24"/>
  <c r="C42" i="24"/>
  <c r="C33" i="24"/>
  <c r="C39" i="24"/>
  <c r="C37" i="24"/>
  <c r="F35" i="22"/>
  <c r="L35" i="22" s="1"/>
  <c r="M35" i="22" s="1"/>
  <c r="N35" i="22" s="1"/>
  <c r="O35" i="22" s="1"/>
  <c r="P35" i="22" s="1"/>
  <c r="AK39" i="23"/>
  <c r="AK36" i="23"/>
  <c r="C42" i="23"/>
  <c r="C37" i="23"/>
  <c r="C40" i="23"/>
  <c r="C35" i="23"/>
  <c r="C33" i="23"/>
  <c r="C83" i="23"/>
  <c r="C81" i="23"/>
  <c r="C79" i="23"/>
  <c r="C77" i="23"/>
  <c r="C75" i="23"/>
  <c r="C73" i="23"/>
  <c r="C71" i="23"/>
  <c r="C69" i="23"/>
  <c r="C67" i="23"/>
  <c r="C65" i="23"/>
  <c r="C63" i="23"/>
  <c r="C61" i="23"/>
  <c r="C59" i="23"/>
  <c r="C57" i="23"/>
  <c r="C55" i="23"/>
  <c r="C53" i="23"/>
  <c r="C51" i="23"/>
  <c r="C49" i="23"/>
  <c r="C47" i="23"/>
  <c r="C45" i="23"/>
  <c r="C38" i="23"/>
  <c r="C43" i="23"/>
  <c r="C41" i="23"/>
  <c r="C36" i="23"/>
  <c r="C39" i="23"/>
  <c r="C34" i="23"/>
  <c r="C82" i="23"/>
  <c r="C28" i="23" s="1"/>
  <c r="C80" i="23"/>
  <c r="C78" i="23"/>
  <c r="C76" i="23"/>
  <c r="C74" i="23"/>
  <c r="C72" i="23"/>
  <c r="C70" i="23"/>
  <c r="C68" i="23"/>
  <c r="C66" i="23"/>
  <c r="C64" i="23"/>
  <c r="C62" i="23"/>
  <c r="C60" i="23"/>
  <c r="C58" i="23"/>
  <c r="H26" i="23" s="1"/>
  <c r="H28" i="23" s="1"/>
  <c r="F27" i="23" s="1"/>
  <c r="G26" i="23" s="1" a="1"/>
  <c r="G26" i="23" s="1"/>
  <c r="C56" i="23"/>
  <c r="C54" i="23"/>
  <c r="C52" i="23"/>
  <c r="C50" i="23"/>
  <c r="C48" i="23"/>
  <c r="C46" i="23"/>
  <c r="C44" i="23"/>
  <c r="AK38" i="23"/>
  <c r="AK35" i="23"/>
  <c r="AK37" i="23"/>
  <c r="S36" i="22"/>
  <c r="C83" i="22"/>
  <c r="F83" i="22"/>
  <c r="C67" i="22"/>
  <c r="C80" i="22"/>
  <c r="C64" i="22"/>
  <c r="C48" i="22"/>
  <c r="C79" i="22"/>
  <c r="C63" i="22"/>
  <c r="C47" i="22"/>
  <c r="C46" i="22"/>
  <c r="C78" i="22"/>
  <c r="C77" i="22"/>
  <c r="C61" i="22"/>
  <c r="C45" i="22"/>
  <c r="C62" i="22"/>
  <c r="C76" i="22"/>
  <c r="C60" i="22"/>
  <c r="C44" i="22"/>
  <c r="C75" i="22"/>
  <c r="C59" i="22"/>
  <c r="C43" i="22"/>
  <c r="C74" i="22"/>
  <c r="C58" i="22"/>
  <c r="C42" i="22"/>
  <c r="C73" i="22"/>
  <c r="C41" i="22"/>
  <c r="C57" i="22"/>
  <c r="C72" i="22"/>
  <c r="C56" i="22"/>
  <c r="C40" i="22"/>
  <c r="C71" i="22"/>
  <c r="C55" i="22"/>
  <c r="C39" i="22"/>
  <c r="C70" i="22"/>
  <c r="C54" i="22"/>
  <c r="C38" i="22"/>
  <c r="C69" i="22"/>
  <c r="C53" i="22"/>
  <c r="C37" i="22"/>
  <c r="C68" i="22"/>
  <c r="C52" i="22"/>
  <c r="C36" i="22"/>
  <c r="C51" i="22"/>
  <c r="C35" i="22"/>
  <c r="C82" i="22"/>
  <c r="C28" i="22" s="1"/>
  <c r="C66" i="22"/>
  <c r="C50" i="22"/>
  <c r="C34" i="22"/>
  <c r="C33" i="22"/>
  <c r="C81" i="22"/>
  <c r="C65" i="22"/>
  <c r="C49" i="22"/>
  <c r="F48" i="22"/>
  <c r="L48" i="22" s="1"/>
  <c r="M48" i="22" s="1"/>
  <c r="N48" i="22" s="1"/>
  <c r="O48" i="22" s="1"/>
  <c r="P48" i="22" s="1"/>
  <c r="F74" i="22"/>
  <c r="L74" i="22" s="1"/>
  <c r="M74" i="22" s="1"/>
  <c r="N74" i="22" s="1"/>
  <c r="O74" i="22" s="1"/>
  <c r="P74" i="22" s="1"/>
  <c r="F58" i="22"/>
  <c r="L58" i="22" s="1"/>
  <c r="M58" i="22" s="1"/>
  <c r="N58" i="22" s="1"/>
  <c r="O58" i="22" s="1"/>
  <c r="P58" i="22" s="1"/>
  <c r="F42" i="22"/>
  <c r="L42" i="22" s="1"/>
  <c r="M42" i="22" s="1"/>
  <c r="N42" i="22" s="1"/>
  <c r="F79" i="22"/>
  <c r="L79" i="22" s="1"/>
  <c r="M79" i="22" s="1"/>
  <c r="N79" i="22" s="1"/>
  <c r="O79" i="22" s="1"/>
  <c r="P79" i="22" s="1"/>
  <c r="F63" i="22"/>
  <c r="L63" i="22" s="1"/>
  <c r="M63" i="22" s="1"/>
  <c r="N63" i="22" s="1"/>
  <c r="O63" i="22" s="1"/>
  <c r="P63" i="22" s="1"/>
  <c r="F47" i="22"/>
  <c r="L47" i="22" s="1"/>
  <c r="M47" i="22" s="1"/>
  <c r="N47" i="22" s="1"/>
  <c r="O47" i="22" s="1"/>
  <c r="P47" i="22" s="1"/>
  <c r="F78" i="22"/>
  <c r="L78" i="22" s="1"/>
  <c r="M78" i="22" s="1"/>
  <c r="N78" i="22" s="1"/>
  <c r="O78" i="22" s="1"/>
  <c r="P78" i="22" s="1"/>
  <c r="F62" i="22"/>
  <c r="L62" i="22" s="1"/>
  <c r="M62" i="22" s="1"/>
  <c r="N62" i="22" s="1"/>
  <c r="F46" i="22"/>
  <c r="L46" i="22" s="1"/>
  <c r="M46" i="22" s="1"/>
  <c r="N46" i="22" s="1"/>
  <c r="O46" i="22" s="1"/>
  <c r="P46" i="22" s="1"/>
  <c r="F77" i="22"/>
  <c r="L77" i="22" s="1"/>
  <c r="M77" i="22" s="1"/>
  <c r="N77" i="22" s="1"/>
  <c r="O77" i="22" s="1"/>
  <c r="P77" i="22" s="1"/>
  <c r="F61" i="22"/>
  <c r="L61" i="22" s="1"/>
  <c r="M61" i="22" s="1"/>
  <c r="N61" i="22" s="1"/>
  <c r="O61" i="22" s="1"/>
  <c r="P61" i="22" s="1"/>
  <c r="F45" i="22"/>
  <c r="L45" i="22" s="1"/>
  <c r="M45" i="22" s="1"/>
  <c r="N45" i="22" s="1"/>
  <c r="O45" i="22" s="1"/>
  <c r="P45" i="22" s="1"/>
  <c r="F76" i="22"/>
  <c r="L76" i="22" s="1"/>
  <c r="M76" i="22" s="1"/>
  <c r="N76" i="22" s="1"/>
  <c r="O76" i="22" s="1"/>
  <c r="P76" i="22" s="1"/>
  <c r="F60" i="22"/>
  <c r="L60" i="22" s="1"/>
  <c r="M60" i="22" s="1"/>
  <c r="N60" i="22" s="1"/>
  <c r="O60" i="22" s="1"/>
  <c r="P60" i="22" s="1"/>
  <c r="F44" i="22"/>
  <c r="L44" i="22" s="1"/>
  <c r="M44" i="22" s="1"/>
  <c r="N44" i="22" s="1"/>
  <c r="O44" i="22" s="1"/>
  <c r="P44" i="22" s="1"/>
  <c r="F75" i="22"/>
  <c r="L75" i="22" s="1"/>
  <c r="M75" i="22" s="1"/>
  <c r="N75" i="22" s="1"/>
  <c r="O75" i="22" s="1"/>
  <c r="P75" i="22" s="1"/>
  <c r="F59" i="22"/>
  <c r="L59" i="22" s="1"/>
  <c r="M59" i="22" s="1"/>
  <c r="N59" i="22" s="1"/>
  <c r="O59" i="22" s="1"/>
  <c r="P59" i="22" s="1"/>
  <c r="F43" i="22"/>
  <c r="L43" i="22" s="1"/>
  <c r="M43" i="22" s="1"/>
  <c r="N43" i="22" s="1"/>
  <c r="O43" i="22" s="1"/>
  <c r="P43" i="22" s="1"/>
  <c r="F73" i="22"/>
  <c r="L73" i="22" s="1"/>
  <c r="M73" i="22" s="1"/>
  <c r="N73" i="22" s="1"/>
  <c r="O73" i="22" s="1"/>
  <c r="P73" i="22" s="1"/>
  <c r="F57" i="22"/>
  <c r="L57" i="22" s="1"/>
  <c r="M57" i="22" s="1"/>
  <c r="N57" i="22" s="1"/>
  <c r="O57" i="22" s="1"/>
  <c r="P57" i="22" s="1"/>
  <c r="F41" i="22"/>
  <c r="L41" i="22" s="1"/>
  <c r="M41" i="22" s="1"/>
  <c r="N41" i="22" s="1"/>
  <c r="O41" i="22" s="1"/>
  <c r="P41" i="22" s="1"/>
  <c r="F72" i="22"/>
  <c r="L72" i="22" s="1"/>
  <c r="M72" i="22" s="1"/>
  <c r="N72" i="22" s="1"/>
  <c r="F56" i="22"/>
  <c r="L56" i="22" s="1"/>
  <c r="M56" i="22" s="1"/>
  <c r="N56" i="22" s="1"/>
  <c r="O56" i="22" s="1"/>
  <c r="P56" i="22" s="1"/>
  <c r="F40" i="22"/>
  <c r="L40" i="22" s="1"/>
  <c r="M40" i="22" s="1"/>
  <c r="N40" i="22" s="1"/>
  <c r="O40" i="22" s="1"/>
  <c r="P40" i="22" s="1"/>
  <c r="F71" i="22"/>
  <c r="L71" i="22" s="1"/>
  <c r="M71" i="22" s="1"/>
  <c r="N71" i="22" s="1"/>
  <c r="O71" i="22" s="1"/>
  <c r="P71" i="22" s="1"/>
  <c r="F55" i="22"/>
  <c r="L55" i="22" s="1"/>
  <c r="M55" i="22" s="1"/>
  <c r="N55" i="22" s="1"/>
  <c r="O55" i="22" s="1"/>
  <c r="P55" i="22" s="1"/>
  <c r="F39" i="22"/>
  <c r="L39" i="22" s="1"/>
  <c r="M39" i="22" s="1"/>
  <c r="N39" i="22" s="1"/>
  <c r="O39" i="22" s="1"/>
  <c r="P39" i="22" s="1"/>
  <c r="F70" i="22"/>
  <c r="L70" i="22" s="1"/>
  <c r="M70" i="22" s="1"/>
  <c r="N70" i="22" s="1"/>
  <c r="O70" i="22" s="1"/>
  <c r="P70" i="22" s="1"/>
  <c r="F54" i="22"/>
  <c r="L54" i="22" s="1"/>
  <c r="M54" i="22" s="1"/>
  <c r="N54" i="22" s="1"/>
  <c r="O54" i="22" s="1"/>
  <c r="P54" i="22" s="1"/>
  <c r="F38" i="22"/>
  <c r="L38" i="22" s="1"/>
  <c r="M38" i="22" s="1"/>
  <c r="N38" i="22" s="1"/>
  <c r="O38" i="22" s="1"/>
  <c r="P38" i="22" s="1"/>
  <c r="F69" i="22"/>
  <c r="L69" i="22" s="1"/>
  <c r="M69" i="22" s="1"/>
  <c r="N69" i="22" s="1"/>
  <c r="O69" i="22" s="1"/>
  <c r="P69" i="22" s="1"/>
  <c r="F53" i="22"/>
  <c r="L53" i="22" s="1"/>
  <c r="M53" i="22" s="1"/>
  <c r="N53" i="22" s="1"/>
  <c r="O53" i="22" s="1"/>
  <c r="P53" i="22" s="1"/>
  <c r="F37" i="22"/>
  <c r="L37" i="22" s="1"/>
  <c r="M37" i="22" s="1"/>
  <c r="N37" i="22" s="1"/>
  <c r="F68" i="22"/>
  <c r="L68" i="22" s="1"/>
  <c r="M68" i="22" s="1"/>
  <c r="N68" i="22" s="1"/>
  <c r="O68" i="22" s="1"/>
  <c r="P68" i="22" s="1"/>
  <c r="F52" i="22"/>
  <c r="L52" i="22" s="1"/>
  <c r="M52" i="22" s="1"/>
  <c r="N52" i="22" s="1"/>
  <c r="F36" i="22"/>
  <c r="L36" i="22" s="1"/>
  <c r="M36" i="22" s="1"/>
  <c r="N36" i="22" s="1"/>
  <c r="F33" i="22"/>
  <c r="L33" i="22" s="1"/>
  <c r="M33" i="22" s="1"/>
  <c r="N33" i="22" s="1"/>
  <c r="F67" i="22"/>
  <c r="L67" i="22" s="1"/>
  <c r="M67" i="22" s="1"/>
  <c r="N67" i="22" s="1"/>
  <c r="O67" i="22" s="1"/>
  <c r="P67" i="22" s="1"/>
  <c r="F51" i="22"/>
  <c r="L51" i="22" s="1"/>
  <c r="M51" i="22" s="1"/>
  <c r="N51" i="22" s="1"/>
  <c r="O51" i="22" s="1"/>
  <c r="P51" i="22" s="1"/>
  <c r="F82" i="22"/>
  <c r="L82" i="22" s="1"/>
  <c r="M82" i="22" s="1"/>
  <c r="N82" i="22" s="1"/>
  <c r="F66" i="22"/>
  <c r="L66" i="22" s="1"/>
  <c r="M66" i="22" s="1"/>
  <c r="N66" i="22" s="1"/>
  <c r="O66" i="22" s="1"/>
  <c r="P66" i="22" s="1"/>
  <c r="F50" i="22"/>
  <c r="L50" i="22" s="1"/>
  <c r="M50" i="22" s="1"/>
  <c r="N50" i="22" s="1"/>
  <c r="O50" i="22" s="1"/>
  <c r="P50" i="22" s="1"/>
  <c r="F34" i="22"/>
  <c r="L34" i="22" s="1"/>
  <c r="M34" i="22" s="1"/>
  <c r="N34" i="22" s="1"/>
  <c r="O34" i="22" s="1"/>
  <c r="P34" i="22" s="1"/>
  <c r="F81" i="22"/>
  <c r="L81" i="22" s="1"/>
  <c r="M81" i="22" s="1"/>
  <c r="N81" i="22" s="1"/>
  <c r="O81" i="22" s="1"/>
  <c r="P81" i="22" s="1"/>
  <c r="F65" i="22"/>
  <c r="L65" i="22" s="1"/>
  <c r="M65" i="22" s="1"/>
  <c r="N65" i="22" s="1"/>
  <c r="O65" i="22" s="1"/>
  <c r="P65" i="22" s="1"/>
  <c r="F49" i="22"/>
  <c r="L49" i="22" s="1"/>
  <c r="M49" i="22" s="1"/>
  <c r="N49" i="22" s="1"/>
  <c r="O49" i="22" s="1"/>
  <c r="P49" i="22" s="1"/>
  <c r="F80" i="22"/>
  <c r="L80" i="22" s="1"/>
  <c r="M80" i="22" s="1"/>
  <c r="N80" i="22" s="1"/>
  <c r="O80" i="22" s="1"/>
  <c r="P80" i="22" s="1"/>
  <c r="F64" i="22"/>
  <c r="L64" i="22" s="1"/>
  <c r="M64" i="22" s="1"/>
  <c r="N64" i="22" s="1"/>
  <c r="O64" i="22" s="1"/>
  <c r="P64" i="22" s="1"/>
  <c r="AD39" i="22"/>
  <c r="AD36" i="22"/>
  <c r="AD35" i="22"/>
  <c r="AD38" i="22"/>
  <c r="AD37" i="22"/>
  <c r="G20" i="21"/>
  <c r="H20" i="21" s="1"/>
  <c r="G28" i="21"/>
  <c r="H28" i="21" s="1"/>
  <c r="G26" i="21"/>
  <c r="H26" i="21" s="1"/>
  <c r="G24" i="21"/>
  <c r="H24" i="21" s="1"/>
  <c r="G22" i="21"/>
  <c r="H22" i="21" s="1"/>
  <c r="G21" i="21"/>
  <c r="H21" i="21" s="1"/>
  <c r="I21" i="21" s="1"/>
  <c r="G29" i="21"/>
  <c r="H29" i="21" s="1"/>
  <c r="G27" i="21"/>
  <c r="H27" i="21" s="1"/>
  <c r="G25" i="21"/>
  <c r="H25" i="21" s="1"/>
  <c r="G23" i="21"/>
  <c r="H23" i="21" s="1"/>
  <c r="T21" i="21"/>
  <c r="U21" i="21" s="1"/>
  <c r="U24" i="21"/>
  <c r="T20" i="21"/>
  <c r="U20" i="21" s="1"/>
  <c r="T26" i="21"/>
  <c r="U26" i="21" s="1"/>
  <c r="T22" i="21"/>
  <c r="U22" i="21" s="1"/>
  <c r="T28" i="21"/>
  <c r="U28" i="21" s="1"/>
  <c r="T23" i="21"/>
  <c r="U23" i="21" s="1"/>
  <c r="T25" i="21"/>
  <c r="T27" i="21"/>
  <c r="U27" i="21" s="1"/>
  <c r="T29" i="21"/>
  <c r="U29" i="21" s="1"/>
  <c r="K76" i="20"/>
  <c r="K60" i="20"/>
  <c r="K44" i="20"/>
  <c r="K84" i="20"/>
  <c r="K86" i="20"/>
  <c r="K71" i="20"/>
  <c r="K54" i="20"/>
  <c r="K74" i="20"/>
  <c r="K68" i="20"/>
  <c r="K80" i="20"/>
  <c r="K52" i="20"/>
  <c r="K65" i="20"/>
  <c r="K78" i="20"/>
  <c r="K62" i="20"/>
  <c r="K46" i="20"/>
  <c r="K49" i="20"/>
  <c r="J47" i="20"/>
  <c r="K47" i="20" s="1"/>
  <c r="J87" i="20"/>
  <c r="K87" i="20" s="1"/>
  <c r="J55" i="20"/>
  <c r="K55" i="20" s="1"/>
  <c r="J70" i="20"/>
  <c r="K70" i="20" s="1"/>
  <c r="J64" i="20"/>
  <c r="K64" i="20" s="1"/>
  <c r="J79" i="20"/>
  <c r="K79" i="20" s="1"/>
  <c r="G26" i="20"/>
  <c r="H26" i="20" s="1"/>
  <c r="G27" i="20"/>
  <c r="H27" i="20" s="1"/>
  <c r="G25" i="20"/>
  <c r="H25" i="20" s="1"/>
  <c r="G24" i="20"/>
  <c r="H24" i="20" s="1"/>
  <c r="G23" i="20"/>
  <c r="H23" i="20" s="1"/>
  <c r="G22" i="20"/>
  <c r="H22" i="20" s="1"/>
  <c r="G21" i="20"/>
  <c r="H21" i="20" s="1"/>
  <c r="G20" i="20"/>
  <c r="H20" i="20" s="1"/>
  <c r="G29" i="20"/>
  <c r="H29" i="20" s="1"/>
  <c r="G28" i="20"/>
  <c r="H28" i="20" s="1"/>
  <c r="T21" i="20"/>
  <c r="U21" i="20" s="1"/>
  <c r="T20" i="20"/>
  <c r="U20" i="20" s="1"/>
  <c r="T29" i="20"/>
  <c r="U29" i="20" s="1"/>
  <c r="T28" i="20"/>
  <c r="U28" i="20" s="1"/>
  <c r="T27" i="20"/>
  <c r="U27" i="20" s="1"/>
  <c r="T26" i="20"/>
  <c r="U26" i="20" s="1"/>
  <c r="T24" i="20"/>
  <c r="U24" i="20" s="1"/>
  <c r="T23" i="20"/>
  <c r="U23" i="20" s="1"/>
  <c r="T25" i="20"/>
  <c r="U25" i="20" s="1"/>
  <c r="T22" i="20"/>
  <c r="U22" i="20" s="1"/>
  <c r="X190" i="19"/>
  <c r="X174" i="19"/>
  <c r="X158" i="19"/>
  <c r="X202" i="19"/>
  <c r="X186" i="19"/>
  <c r="X170" i="19"/>
  <c r="X200" i="19"/>
  <c r="X184" i="19"/>
  <c r="X168" i="19"/>
  <c r="X183" i="19"/>
  <c r="X167" i="19"/>
  <c r="X161" i="19"/>
  <c r="X176" i="19"/>
  <c r="X160" i="19"/>
  <c r="AG155" i="19"/>
  <c r="AG159" i="19"/>
  <c r="AG202" i="19"/>
  <c r="AG186" i="19"/>
  <c r="AG170" i="19"/>
  <c r="AG176" i="19"/>
  <c r="AG185" i="19"/>
  <c r="AG168" i="19"/>
  <c r="AG199" i="19"/>
  <c r="AG183" i="19"/>
  <c r="AG167" i="19"/>
  <c r="AG184" i="19"/>
  <c r="AG198" i="19"/>
  <c r="AG182" i="19"/>
  <c r="AG166" i="19"/>
  <c r="AG177" i="19"/>
  <c r="AG192" i="19"/>
  <c r="AG201" i="19"/>
  <c r="AG200" i="19"/>
  <c r="AG197" i="19"/>
  <c r="AG181" i="19"/>
  <c r="AG165" i="19"/>
  <c r="AG193" i="19"/>
  <c r="AG160" i="19"/>
  <c r="AG169" i="19"/>
  <c r="AG196" i="19"/>
  <c r="AG180" i="19"/>
  <c r="AG164" i="19"/>
  <c r="AG161" i="19"/>
  <c r="AG191" i="19"/>
  <c r="AG195" i="19"/>
  <c r="AG179" i="19"/>
  <c r="AG163" i="19"/>
  <c r="AG194" i="19"/>
  <c r="AG178" i="19"/>
  <c r="AG162" i="19"/>
  <c r="AG190" i="19"/>
  <c r="AG174" i="19"/>
  <c r="AG158" i="19"/>
  <c r="AG189" i="19"/>
  <c r="AG173" i="19"/>
  <c r="AG157" i="19"/>
  <c r="AG175" i="19"/>
  <c r="AG154" i="19"/>
  <c r="AG188" i="19"/>
  <c r="AG172" i="19"/>
  <c r="AG156" i="19"/>
  <c r="AG203" i="19"/>
  <c r="AG187" i="19"/>
  <c r="AG171" i="19"/>
  <c r="K30" i="19" a="1"/>
  <c r="K30" i="19" s="1"/>
  <c r="K71" i="19" a="1"/>
  <c r="K71" i="19" s="1"/>
  <c r="AC71" i="19" a="1"/>
  <c r="AC71" i="19" s="1"/>
  <c r="X196" i="19"/>
  <c r="X192" i="19"/>
  <c r="E145" i="19"/>
  <c r="F145" i="19" s="1"/>
  <c r="G145" i="19" s="1"/>
  <c r="X199" i="19"/>
  <c r="X198" i="19"/>
  <c r="X182" i="19"/>
  <c r="X197" i="19"/>
  <c r="X180" i="19"/>
  <c r="X179" i="19"/>
  <c r="X194" i="19"/>
  <c r="K202" i="19"/>
  <c r="L202" i="19" s="1"/>
  <c r="M202" i="19" s="1"/>
  <c r="K186" i="19"/>
  <c r="L186" i="19" s="1"/>
  <c r="M186" i="19" s="1"/>
  <c r="K170" i="19"/>
  <c r="L170" i="19" s="1"/>
  <c r="M170" i="19" s="1"/>
  <c r="K191" i="19"/>
  <c r="L191" i="19" s="1"/>
  <c r="M191" i="19" s="1"/>
  <c r="K175" i="19"/>
  <c r="L175" i="19" s="1"/>
  <c r="M175" i="19" s="1"/>
  <c r="K196" i="19"/>
  <c r="L196" i="19" s="1"/>
  <c r="M196" i="19" s="1"/>
  <c r="K180" i="19"/>
  <c r="L180" i="19" s="1"/>
  <c r="M180" i="19" s="1"/>
  <c r="K201" i="19"/>
  <c r="L201" i="19" s="1"/>
  <c r="M201" i="19" s="1"/>
  <c r="K185" i="19"/>
  <c r="L185" i="19" s="1"/>
  <c r="M185" i="19" s="1"/>
  <c r="K169" i="19"/>
  <c r="L169" i="19" s="1"/>
  <c r="M169" i="19" s="1"/>
  <c r="K159" i="19"/>
  <c r="L159" i="19" s="1"/>
  <c r="M159" i="19" s="1"/>
  <c r="K190" i="19"/>
  <c r="L190" i="19" s="1"/>
  <c r="M190" i="19" s="1"/>
  <c r="K174" i="19"/>
  <c r="L174" i="19" s="1"/>
  <c r="M174" i="19" s="1"/>
  <c r="K195" i="19"/>
  <c r="L195" i="19" s="1"/>
  <c r="M195" i="19" s="1"/>
  <c r="K179" i="19"/>
  <c r="L179" i="19" s="1"/>
  <c r="M179" i="19" s="1"/>
  <c r="K164" i="19"/>
  <c r="L164" i="19" s="1"/>
  <c r="M164" i="19" s="1"/>
  <c r="K156" i="19"/>
  <c r="L156" i="19" s="1"/>
  <c r="M156" i="19" s="1"/>
  <c r="K200" i="19"/>
  <c r="L200" i="19" s="1"/>
  <c r="M200" i="19" s="1"/>
  <c r="K184" i="19"/>
  <c r="L184" i="19" s="1"/>
  <c r="M184" i="19" s="1"/>
  <c r="K168" i="19"/>
  <c r="L168" i="19" s="1"/>
  <c r="M168" i="19" s="1"/>
  <c r="K189" i="19"/>
  <c r="L189" i="19" s="1"/>
  <c r="M189" i="19" s="1"/>
  <c r="K173" i="19"/>
  <c r="L173" i="19" s="1"/>
  <c r="M173" i="19" s="1"/>
  <c r="K161" i="19"/>
  <c r="L161" i="19" s="1"/>
  <c r="M161" i="19" s="1"/>
  <c r="K162" i="19"/>
  <c r="L162" i="19" s="1"/>
  <c r="M162" i="19" s="1"/>
  <c r="K194" i="19"/>
  <c r="L194" i="19" s="1"/>
  <c r="M194" i="19" s="1"/>
  <c r="K178" i="19"/>
  <c r="L178" i="19" s="1"/>
  <c r="M178" i="19" s="1"/>
  <c r="K181" i="19"/>
  <c r="L181" i="19" s="1"/>
  <c r="M181" i="19" s="1"/>
  <c r="K199" i="19"/>
  <c r="L199" i="19" s="1"/>
  <c r="M199" i="19" s="1"/>
  <c r="K183" i="19"/>
  <c r="L183" i="19" s="1"/>
  <c r="M183" i="19" s="1"/>
  <c r="K167" i="19"/>
  <c r="L167" i="19" s="1"/>
  <c r="M167" i="19" s="1"/>
  <c r="K158" i="19"/>
  <c r="L158" i="19" s="1"/>
  <c r="M158" i="19" s="1"/>
  <c r="K188" i="19"/>
  <c r="L188" i="19" s="1"/>
  <c r="M188" i="19" s="1"/>
  <c r="K172" i="19"/>
  <c r="L172" i="19" s="1"/>
  <c r="M172" i="19" s="1"/>
  <c r="K192" i="19"/>
  <c r="L192" i="19" s="1"/>
  <c r="M192" i="19" s="1"/>
  <c r="K154" i="19"/>
  <c r="L154" i="19" s="1"/>
  <c r="M154" i="19" s="1"/>
  <c r="K157" i="19"/>
  <c r="L157" i="19" s="1"/>
  <c r="M157" i="19" s="1"/>
  <c r="L153" i="19"/>
  <c r="M153" i="19" s="1"/>
  <c r="K193" i="19"/>
  <c r="L193" i="19" s="1"/>
  <c r="M193" i="19" s="1"/>
  <c r="K177" i="19"/>
  <c r="L177" i="19" s="1"/>
  <c r="M177" i="19" s="1"/>
  <c r="K163" i="19"/>
  <c r="L163" i="19" s="1"/>
  <c r="M163" i="19" s="1"/>
  <c r="K155" i="19"/>
  <c r="L155" i="19" s="1"/>
  <c r="M155" i="19" s="1"/>
  <c r="K198" i="19"/>
  <c r="L198" i="19" s="1"/>
  <c r="M198" i="19" s="1"/>
  <c r="K182" i="19"/>
  <c r="L182" i="19" s="1"/>
  <c r="M182" i="19" s="1"/>
  <c r="K166" i="19"/>
  <c r="L166" i="19" s="1"/>
  <c r="M166" i="19" s="1"/>
  <c r="K165" i="19"/>
  <c r="L165" i="19" s="1"/>
  <c r="M165" i="19" s="1"/>
  <c r="K187" i="19"/>
  <c r="L187" i="19" s="1"/>
  <c r="M187" i="19" s="1"/>
  <c r="K171" i="19"/>
  <c r="L171" i="19" s="1"/>
  <c r="M171" i="19" s="1"/>
  <c r="K160" i="19"/>
  <c r="L160" i="19" s="1"/>
  <c r="M160" i="19" s="1"/>
  <c r="K176" i="19"/>
  <c r="L176" i="19" s="1"/>
  <c r="M176" i="19" s="1"/>
  <c r="K197" i="19"/>
  <c r="L197" i="19" s="1"/>
  <c r="M197" i="19" s="1"/>
  <c r="N69" i="19"/>
  <c r="D69" i="19"/>
  <c r="D46" i="19"/>
  <c r="N47" i="19"/>
  <c r="N48" i="19"/>
  <c r="D48" i="19"/>
  <c r="D67" i="19"/>
  <c r="E67" i="19" s="1"/>
  <c r="N68" i="19"/>
  <c r="D25" i="19"/>
  <c r="N26" i="19"/>
  <c r="N27" i="19"/>
  <c r="D27" i="19"/>
  <c r="AC51" i="19" a="1"/>
  <c r="AC51" i="19" s="1"/>
  <c r="AC54" i="19" s="1"/>
  <c r="K51" i="19" a="1"/>
  <c r="K51" i="19" s="1"/>
  <c r="K60" i="19" s="1"/>
  <c r="K72" i="19" a="1"/>
  <c r="K72" i="19" s="1"/>
  <c r="K29" i="19" a="1"/>
  <c r="K29" i="19" s="1"/>
  <c r="AC30" i="19" a="1"/>
  <c r="AC30" i="19" s="1"/>
  <c r="AC37" i="19" s="1"/>
  <c r="AC72" i="19" a="1"/>
  <c r="AC72" i="19" s="1"/>
  <c r="AC78" i="19" s="1"/>
  <c r="U66" i="16"/>
  <c r="U45" i="16"/>
  <c r="U90" i="16"/>
  <c r="U89" i="16"/>
  <c r="U88" i="16"/>
  <c r="U87" i="16"/>
  <c r="U86" i="16"/>
  <c r="U85" i="16"/>
  <c r="AD66" i="16"/>
  <c r="AC66" i="16"/>
  <c r="AC69" i="16" s="1" a="1"/>
  <c r="AC69" i="16" s="1"/>
  <c r="AA66" i="16"/>
  <c r="X66" i="16"/>
  <c r="R66" i="16"/>
  <c r="O66" i="16"/>
  <c r="L66" i="16"/>
  <c r="AD45" i="16"/>
  <c r="AC45" i="16"/>
  <c r="AA45" i="16"/>
  <c r="X45" i="16"/>
  <c r="R45" i="16"/>
  <c r="O45" i="16"/>
  <c r="L45" i="16"/>
  <c r="K45" i="16"/>
  <c r="AD24" i="16"/>
  <c r="AA24" i="16"/>
  <c r="X24" i="16"/>
  <c r="U24" i="16"/>
  <c r="R24" i="16"/>
  <c r="O24" i="16"/>
  <c r="L24" i="16"/>
  <c r="S22" i="18"/>
  <c r="S23" i="18" s="1"/>
  <c r="T19" i="18" s="1"/>
  <c r="T21" i="18" s="1"/>
  <c r="T22" i="18" s="1"/>
  <c r="T23" i="18" s="1"/>
  <c r="T24" i="18" s="1"/>
  <c r="T25" i="18" s="1"/>
  <c r="P22" i="18"/>
  <c r="P23" i="18" s="1"/>
  <c r="Q19" i="18" s="1"/>
  <c r="T20" i="18"/>
  <c r="Q20" i="18"/>
  <c r="Q16" i="18"/>
  <c r="P16" i="18"/>
  <c r="K16" i="18"/>
  <c r="G16" i="18"/>
  <c r="Q15" i="18"/>
  <c r="P15" i="18"/>
  <c r="K15" i="18"/>
  <c r="G15" i="18"/>
  <c r="Q14" i="18"/>
  <c r="K14" i="18"/>
  <c r="G14" i="18"/>
  <c r="AD26" i="16"/>
  <c r="AA26" i="16"/>
  <c r="X26" i="16"/>
  <c r="U26" i="16"/>
  <c r="R26" i="16"/>
  <c r="O26" i="16"/>
  <c r="L26" i="16"/>
  <c r="C26" i="16"/>
  <c r="C25" i="16" s="1"/>
  <c r="AD25" i="16"/>
  <c r="AC25" i="16"/>
  <c r="AA25" i="16"/>
  <c r="X25" i="16"/>
  <c r="U25" i="16"/>
  <c r="R25" i="16"/>
  <c r="O25" i="16"/>
  <c r="L25" i="16"/>
  <c r="K25" i="16"/>
  <c r="AC24" i="16"/>
  <c r="K24" i="16"/>
  <c r="C24" i="16"/>
  <c r="C23" i="16" s="1"/>
  <c r="AD68" i="16"/>
  <c r="AA68" i="16"/>
  <c r="X68" i="16"/>
  <c r="U68" i="16"/>
  <c r="R68" i="16"/>
  <c r="O68" i="16"/>
  <c r="L68" i="16"/>
  <c r="C68" i="16"/>
  <c r="C67" i="16" s="1"/>
  <c r="D67" i="16" s="1"/>
  <c r="AD67" i="16"/>
  <c r="AC67" i="16"/>
  <c r="AA67" i="16"/>
  <c r="X67" i="16"/>
  <c r="U67" i="16"/>
  <c r="R67" i="16"/>
  <c r="O67" i="16"/>
  <c r="L67" i="16"/>
  <c r="K67" i="16"/>
  <c r="K69" i="16" s="1" a="1"/>
  <c r="K69" i="16" s="1"/>
  <c r="C66" i="16"/>
  <c r="C65" i="16" s="1"/>
  <c r="N66" i="16" s="1"/>
  <c r="AC12" i="16"/>
  <c r="AC14" i="16" s="1"/>
  <c r="K12" i="16"/>
  <c r="K14" i="16" s="1"/>
  <c r="Z12" i="16"/>
  <c r="Z14" i="16" s="1"/>
  <c r="W12" i="16"/>
  <c r="W14" i="16" s="1"/>
  <c r="T12" i="16"/>
  <c r="T14" i="16" s="1"/>
  <c r="Q12" i="16"/>
  <c r="Q14" i="16" s="1"/>
  <c r="N12" i="16"/>
  <c r="N14" i="16" s="1"/>
  <c r="AC9" i="16"/>
  <c r="Z9" i="16"/>
  <c r="W9" i="16"/>
  <c r="T9" i="16"/>
  <c r="Q9" i="16"/>
  <c r="N9" i="16"/>
  <c r="K9" i="16"/>
  <c r="AD47" i="16"/>
  <c r="AA47" i="16"/>
  <c r="X47" i="16"/>
  <c r="U47" i="16"/>
  <c r="R47" i="16"/>
  <c r="O47" i="16"/>
  <c r="L47" i="16"/>
  <c r="AD46" i="16"/>
  <c r="AC46" i="16"/>
  <c r="AA46" i="16"/>
  <c r="X46" i="16"/>
  <c r="U46" i="16"/>
  <c r="R46" i="16"/>
  <c r="O46" i="16"/>
  <c r="L46" i="16"/>
  <c r="K46" i="16"/>
  <c r="C47" i="16"/>
  <c r="C46" i="16" s="1"/>
  <c r="N46" i="16" s="1"/>
  <c r="C45" i="16"/>
  <c r="C44" i="16" s="1"/>
  <c r="N45" i="16" s="1"/>
  <c r="Y51" i="17"/>
  <c r="Y50" i="17"/>
  <c r="Y49" i="17"/>
  <c r="W51" i="17"/>
  <c r="W50" i="17"/>
  <c r="W49" i="17"/>
  <c r="U51" i="17"/>
  <c r="U50" i="17"/>
  <c r="U49" i="17"/>
  <c r="S51" i="17"/>
  <c r="S50" i="17"/>
  <c r="S49" i="17"/>
  <c r="Q51" i="17"/>
  <c r="Q50" i="17"/>
  <c r="Q49" i="17"/>
  <c r="O51" i="17"/>
  <c r="O50" i="17"/>
  <c r="O49" i="17"/>
  <c r="E35" i="17"/>
  <c r="E34" i="17"/>
  <c r="F42" i="17"/>
  <c r="X30" i="17"/>
  <c r="W30" i="17"/>
  <c r="V30" i="17"/>
  <c r="V32" i="17" s="1"/>
  <c r="U30" i="17"/>
  <c r="T30" i="17"/>
  <c r="S30" i="17"/>
  <c r="R30" i="17"/>
  <c r="Q30" i="17"/>
  <c r="P30" i="17"/>
  <c r="O30" i="17"/>
  <c r="X29" i="17"/>
  <c r="W29" i="17"/>
  <c r="V29" i="17"/>
  <c r="U29" i="17"/>
  <c r="T29" i="17"/>
  <c r="S29" i="17"/>
  <c r="R29" i="17"/>
  <c r="Q29" i="17"/>
  <c r="P29" i="17"/>
  <c r="P31" i="17" s="1"/>
  <c r="O29" i="17"/>
  <c r="X28" i="17"/>
  <c r="W28" i="17"/>
  <c r="V28" i="17"/>
  <c r="U28" i="17"/>
  <c r="T28" i="17"/>
  <c r="S28" i="17"/>
  <c r="R28" i="17"/>
  <c r="Q28" i="17"/>
  <c r="P28" i="17"/>
  <c r="O28" i="17"/>
  <c r="X27" i="17"/>
  <c r="W27" i="17"/>
  <c r="V27" i="17"/>
  <c r="U27" i="17"/>
  <c r="T27" i="17"/>
  <c r="S27" i="17"/>
  <c r="R27" i="17"/>
  <c r="Q27" i="17"/>
  <c r="P27" i="17"/>
  <c r="O27" i="17"/>
  <c r="AN67" i="17"/>
  <c r="AO67" i="17" s="1"/>
  <c r="AP67" i="17" s="1"/>
  <c r="AN66" i="17"/>
  <c r="AO66" i="17" s="1"/>
  <c r="AP66" i="17" s="1"/>
  <c r="AQ66" i="17" s="1"/>
  <c r="AN65" i="17"/>
  <c r="AO65" i="17" s="1"/>
  <c r="AP65" i="17" s="1"/>
  <c r="AN64" i="17"/>
  <c r="AO64" i="17" s="1"/>
  <c r="AP64" i="17" s="1"/>
  <c r="AN63" i="17"/>
  <c r="AO63" i="17" s="1"/>
  <c r="AP63" i="17" s="1"/>
  <c r="AN62" i="17"/>
  <c r="AO62" i="17" s="1"/>
  <c r="AP62" i="17" s="1"/>
  <c r="AQ62" i="17" s="1"/>
  <c r="AN61" i="17"/>
  <c r="AO61" i="17" s="1"/>
  <c r="AP61" i="17" s="1"/>
  <c r="AN60" i="17"/>
  <c r="AO60" i="17" s="1"/>
  <c r="AP60" i="17" s="1"/>
  <c r="AN59" i="17"/>
  <c r="AO59" i="17" s="1"/>
  <c r="AP59" i="17" s="1"/>
  <c r="AO58" i="17"/>
  <c r="AP58" i="17" s="1"/>
  <c r="AQ58" i="17" s="1"/>
  <c r="AN58" i="17"/>
  <c r="E23" i="17"/>
  <c r="F23" i="17" s="1"/>
  <c r="G23" i="17" s="1"/>
  <c r="D43" i="17" s="1"/>
  <c r="E22" i="17"/>
  <c r="F22" i="17" s="1"/>
  <c r="G22" i="17" s="1"/>
  <c r="H22" i="17" s="1"/>
  <c r="E21" i="17"/>
  <c r="F21" i="17" s="1"/>
  <c r="G21" i="17" s="1"/>
  <c r="D41" i="17" s="1"/>
  <c r="E20" i="17"/>
  <c r="F20" i="17" s="1"/>
  <c r="G20" i="17" s="1"/>
  <c r="D40" i="17" s="1"/>
  <c r="E19" i="17"/>
  <c r="F19" i="17" s="1"/>
  <c r="G19" i="17" s="1"/>
  <c r="D39" i="17" s="1"/>
  <c r="E18" i="17"/>
  <c r="F18" i="17" s="1"/>
  <c r="G18" i="17" s="1"/>
  <c r="H18" i="17" s="1"/>
  <c r="E17" i="17"/>
  <c r="F17" i="17" s="1"/>
  <c r="G17" i="17" s="1"/>
  <c r="D37" i="17" s="1"/>
  <c r="E16" i="17"/>
  <c r="F16" i="17" s="1"/>
  <c r="G16" i="17" s="1"/>
  <c r="D36" i="17" s="1"/>
  <c r="E15" i="17"/>
  <c r="F15" i="17" s="1"/>
  <c r="G15" i="17" s="1"/>
  <c r="D35" i="17" s="1"/>
  <c r="E14" i="17"/>
  <c r="F14" i="17" s="1"/>
  <c r="G14" i="17" s="1"/>
  <c r="H14" i="17" s="1"/>
  <c r="E35" i="14"/>
  <c r="F35" i="14" s="1"/>
  <c r="H35" i="14" s="1"/>
  <c r="I35" i="14" s="1"/>
  <c r="J35" i="14" s="1"/>
  <c r="G35" i="14"/>
  <c r="P35" i="14"/>
  <c r="G36" i="14"/>
  <c r="N36" i="14"/>
  <c r="O36" i="14" s="1"/>
  <c r="Q36" i="14" s="1"/>
  <c r="P36" i="14"/>
  <c r="G37" i="14"/>
  <c r="N37" i="14"/>
  <c r="O37" i="14"/>
  <c r="Q37" i="14" s="1"/>
  <c r="P37" i="14"/>
  <c r="G38" i="14"/>
  <c r="N38" i="14"/>
  <c r="O38" i="14" s="1"/>
  <c r="Q38" i="14" s="1"/>
  <c r="P38" i="14"/>
  <c r="B39" i="14"/>
  <c r="G39" i="14"/>
  <c r="N39" i="14"/>
  <c r="O39" i="14"/>
  <c r="Q39" i="14" s="1"/>
  <c r="P39" i="14"/>
  <c r="E40" i="14"/>
  <c r="F40" i="14" s="1"/>
  <c r="H40" i="14" s="1"/>
  <c r="I40" i="14" s="1"/>
  <c r="J40" i="14" s="1"/>
  <c r="G40" i="14"/>
  <c r="P40" i="14"/>
  <c r="G41" i="14"/>
  <c r="N41" i="14"/>
  <c r="O41" i="14" s="1"/>
  <c r="Q41" i="14" s="1"/>
  <c r="P41" i="14"/>
  <c r="E42" i="14"/>
  <c r="F42" i="14"/>
  <c r="H42" i="14" s="1"/>
  <c r="I42" i="14" s="1"/>
  <c r="J42" i="14" s="1"/>
  <c r="G42" i="14"/>
  <c r="N42" i="14"/>
  <c r="O42" i="14" s="1"/>
  <c r="Q42" i="14" s="1"/>
  <c r="R42" i="14" s="1"/>
  <c r="P42" i="14"/>
  <c r="E43" i="14"/>
  <c r="F43" i="14"/>
  <c r="H43" i="14" s="1"/>
  <c r="I43" i="14" s="1"/>
  <c r="J43" i="14" s="1"/>
  <c r="G43" i="14"/>
  <c r="N43" i="14"/>
  <c r="O43" i="14" s="1"/>
  <c r="Q43" i="14" s="1"/>
  <c r="R43" i="14" s="1"/>
  <c r="P43" i="14"/>
  <c r="G44" i="14"/>
  <c r="N44" i="14"/>
  <c r="O44" i="14" s="1"/>
  <c r="Q44" i="14" s="1"/>
  <c r="P44" i="14"/>
  <c r="E53" i="14"/>
  <c r="F53" i="14" s="1"/>
  <c r="H53" i="14" s="1"/>
  <c r="I53" i="14" s="1"/>
  <c r="J53" i="14" s="1"/>
  <c r="G53" i="14"/>
  <c r="P53" i="14"/>
  <c r="G54" i="14"/>
  <c r="N54" i="14"/>
  <c r="O54" i="14" s="1"/>
  <c r="Q54" i="14" s="1"/>
  <c r="P54" i="14"/>
  <c r="E55" i="14"/>
  <c r="F55" i="14" s="1"/>
  <c r="H55" i="14" s="1"/>
  <c r="I55" i="14" s="1"/>
  <c r="J55" i="14" s="1"/>
  <c r="G55" i="14"/>
  <c r="N55" i="14"/>
  <c r="O55" i="14"/>
  <c r="Q55" i="14" s="1"/>
  <c r="P55" i="14"/>
  <c r="E56" i="14"/>
  <c r="F56" i="14"/>
  <c r="H56" i="14" s="1"/>
  <c r="I56" i="14" s="1"/>
  <c r="J56" i="14" s="1"/>
  <c r="G56" i="14"/>
  <c r="P56" i="14"/>
  <c r="G57" i="14"/>
  <c r="P57" i="14"/>
  <c r="E58" i="14"/>
  <c r="F58" i="14"/>
  <c r="H58" i="14" s="1"/>
  <c r="I58" i="14" s="1"/>
  <c r="J58" i="14" s="1"/>
  <c r="G58" i="14"/>
  <c r="P58" i="14"/>
  <c r="G59" i="14"/>
  <c r="N59" i="14"/>
  <c r="O59" i="14" s="1"/>
  <c r="Q59" i="14" s="1"/>
  <c r="P59" i="14"/>
  <c r="G60" i="14"/>
  <c r="N60" i="14"/>
  <c r="O60" i="14" s="1"/>
  <c r="Q60" i="14" s="1"/>
  <c r="P60" i="14"/>
  <c r="G61" i="14"/>
  <c r="N61" i="14"/>
  <c r="O61" i="14" s="1"/>
  <c r="Q61" i="14" s="1"/>
  <c r="P61" i="14"/>
  <c r="E62" i="14"/>
  <c r="F62" i="14"/>
  <c r="H62" i="14" s="1"/>
  <c r="I62" i="14" s="1"/>
  <c r="J62" i="14" s="1"/>
  <c r="G62" i="14"/>
  <c r="P62" i="14"/>
  <c r="E68" i="14"/>
  <c r="F68" i="14"/>
  <c r="H68" i="14" s="1"/>
  <c r="I68" i="14" s="1"/>
  <c r="J68" i="14" s="1"/>
  <c r="G68" i="14"/>
  <c r="P68" i="14"/>
  <c r="E69" i="14"/>
  <c r="F69" i="14" s="1"/>
  <c r="H69" i="14" s="1"/>
  <c r="I69" i="14" s="1"/>
  <c r="J69" i="14" s="1"/>
  <c r="G69" i="14"/>
  <c r="N69" i="14"/>
  <c r="O69" i="14" s="1"/>
  <c r="Q69" i="14" s="1"/>
  <c r="P69" i="14"/>
  <c r="G70" i="14"/>
  <c r="P70" i="14"/>
  <c r="E71" i="14"/>
  <c r="F71" i="14" s="1"/>
  <c r="H71" i="14" s="1"/>
  <c r="I71" i="14" s="1"/>
  <c r="J71" i="14" s="1"/>
  <c r="G71" i="14"/>
  <c r="P71" i="14"/>
  <c r="E72" i="14"/>
  <c r="F72" i="14" s="1"/>
  <c r="H72" i="14" s="1"/>
  <c r="I72" i="14" s="1"/>
  <c r="J72" i="14" s="1"/>
  <c r="G72" i="14"/>
  <c r="N72" i="14"/>
  <c r="O72" i="14"/>
  <c r="Q72" i="14" s="1"/>
  <c r="R72" i="14" s="1"/>
  <c r="P72" i="14"/>
  <c r="G73" i="14"/>
  <c r="N73" i="14"/>
  <c r="O73" i="14"/>
  <c r="Q73" i="14" s="1"/>
  <c r="P73" i="14"/>
  <c r="G74" i="14"/>
  <c r="N74" i="14"/>
  <c r="O74" i="14" s="1"/>
  <c r="Q74" i="14" s="1"/>
  <c r="P74" i="14"/>
  <c r="G75" i="14"/>
  <c r="P75" i="14"/>
  <c r="E76" i="14"/>
  <c r="F76" i="14" s="1"/>
  <c r="H76" i="14" s="1"/>
  <c r="I76" i="14" s="1"/>
  <c r="J76" i="14" s="1"/>
  <c r="G76" i="14"/>
  <c r="N76" i="14"/>
  <c r="O76" i="14" s="1"/>
  <c r="Q76" i="14" s="1"/>
  <c r="P76" i="14"/>
  <c r="G77" i="14"/>
  <c r="N77" i="14"/>
  <c r="O77" i="14" s="1"/>
  <c r="Q77" i="14" s="1"/>
  <c r="P77" i="14"/>
  <c r="G82" i="14"/>
  <c r="N82" i="14"/>
  <c r="O82" i="14" s="1"/>
  <c r="Q82" i="14" s="1"/>
  <c r="P82" i="14"/>
  <c r="G83" i="14"/>
  <c r="N83" i="14"/>
  <c r="O83" i="14" s="1"/>
  <c r="Q83" i="14" s="1"/>
  <c r="P83" i="14"/>
  <c r="E84" i="14"/>
  <c r="F84" i="14"/>
  <c r="H84" i="14" s="1"/>
  <c r="I84" i="14" s="1"/>
  <c r="J84" i="14" s="1"/>
  <c r="G84" i="14"/>
  <c r="P84" i="14"/>
  <c r="E85" i="14"/>
  <c r="F85" i="14" s="1"/>
  <c r="H85" i="14" s="1"/>
  <c r="I85" i="14" s="1"/>
  <c r="J85" i="14" s="1"/>
  <c r="G85" i="14"/>
  <c r="P85" i="14"/>
  <c r="G86" i="14"/>
  <c r="P86" i="14"/>
  <c r="G87" i="14"/>
  <c r="N87" i="14"/>
  <c r="O87" i="14" s="1"/>
  <c r="Q87" i="14" s="1"/>
  <c r="P87" i="14"/>
  <c r="G88" i="14"/>
  <c r="N88" i="14"/>
  <c r="O88" i="14" s="1"/>
  <c r="Q88" i="14" s="1"/>
  <c r="P88" i="14"/>
  <c r="G89" i="14"/>
  <c r="P89" i="14"/>
  <c r="E90" i="14"/>
  <c r="F90" i="14" s="1"/>
  <c r="H90" i="14" s="1"/>
  <c r="I90" i="14" s="1"/>
  <c r="J90" i="14" s="1"/>
  <c r="G90" i="14"/>
  <c r="P90" i="14"/>
  <c r="E91" i="14"/>
  <c r="F91" i="14" s="1"/>
  <c r="H91" i="14" s="1"/>
  <c r="I91" i="14" s="1"/>
  <c r="J91" i="14" s="1"/>
  <c r="G91" i="14"/>
  <c r="N91" i="14"/>
  <c r="O91" i="14"/>
  <c r="Q91" i="14" s="1"/>
  <c r="P91" i="14"/>
  <c r="G96" i="14"/>
  <c r="P96" i="14"/>
  <c r="G97" i="14"/>
  <c r="N97" i="14"/>
  <c r="O97" i="14"/>
  <c r="Q97" i="14" s="1"/>
  <c r="P97" i="14"/>
  <c r="E98" i="14"/>
  <c r="F98" i="14" s="1"/>
  <c r="H98" i="14" s="1"/>
  <c r="I98" i="14" s="1"/>
  <c r="J98" i="14" s="1"/>
  <c r="G98" i="14"/>
  <c r="P98" i="14"/>
  <c r="E99" i="14"/>
  <c r="F99" i="14"/>
  <c r="H99" i="14" s="1"/>
  <c r="I99" i="14" s="1"/>
  <c r="J99" i="14" s="1"/>
  <c r="G99" i="14"/>
  <c r="P99" i="14"/>
  <c r="G100" i="14"/>
  <c r="N100" i="14"/>
  <c r="O100" i="14" s="1"/>
  <c r="Q100" i="14" s="1"/>
  <c r="P100" i="14"/>
  <c r="E101" i="14"/>
  <c r="F101" i="14" s="1"/>
  <c r="H101" i="14" s="1"/>
  <c r="I101" i="14" s="1"/>
  <c r="J101" i="14" s="1"/>
  <c r="G101" i="14"/>
  <c r="P101" i="14"/>
  <c r="E102" i="14"/>
  <c r="F102" i="14" s="1"/>
  <c r="H102" i="14" s="1"/>
  <c r="I102" i="14" s="1"/>
  <c r="J102" i="14" s="1"/>
  <c r="G102" i="14"/>
  <c r="P102" i="14"/>
  <c r="G103" i="14"/>
  <c r="P103" i="14"/>
  <c r="E104" i="14"/>
  <c r="F104" i="14"/>
  <c r="H104" i="14" s="1"/>
  <c r="I104" i="14" s="1"/>
  <c r="J104" i="14" s="1"/>
  <c r="G104" i="14"/>
  <c r="N104" i="14"/>
  <c r="O104" i="14" s="1"/>
  <c r="Q104" i="14" s="1"/>
  <c r="R104" i="14" s="1"/>
  <c r="P104" i="14"/>
  <c r="G105" i="14"/>
  <c r="N105" i="14"/>
  <c r="O105" i="14" s="1"/>
  <c r="Q105" i="14" s="1"/>
  <c r="P105" i="14"/>
  <c r="D111" i="14"/>
  <c r="E111" i="14"/>
  <c r="F111" i="14"/>
  <c r="G111" i="14"/>
  <c r="H111" i="14"/>
  <c r="D113" i="14"/>
  <c r="E113" i="14"/>
  <c r="F113" i="14"/>
  <c r="G113" i="14"/>
  <c r="H113" i="14"/>
  <c r="D114" i="14"/>
  <c r="E114" i="14"/>
  <c r="F114" i="14"/>
  <c r="G114" i="14"/>
  <c r="H114" i="14"/>
  <c r="D115" i="14"/>
  <c r="E115" i="14"/>
  <c r="F115" i="14"/>
  <c r="G115" i="14"/>
  <c r="H115" i="14"/>
  <c r="D116" i="14"/>
  <c r="E116" i="14"/>
  <c r="F116" i="14"/>
  <c r="G116" i="14"/>
  <c r="H116" i="14"/>
  <c r="D117" i="14"/>
  <c r="E117" i="14"/>
  <c r="F117" i="14"/>
  <c r="G117" i="14"/>
  <c r="H117" i="14"/>
  <c r="D118" i="14"/>
  <c r="E118" i="14"/>
  <c r="F118" i="14"/>
  <c r="G118" i="14"/>
  <c r="H118" i="14"/>
  <c r="D119" i="14"/>
  <c r="E119" i="14"/>
  <c r="F119" i="14"/>
  <c r="G119" i="14"/>
  <c r="H119" i="14"/>
  <c r="D120" i="14"/>
  <c r="E120" i="14"/>
  <c r="F120" i="14"/>
  <c r="G120" i="14"/>
  <c r="H120" i="14"/>
  <c r="D121" i="14"/>
  <c r="E121" i="14"/>
  <c r="F121" i="14"/>
  <c r="G121" i="14"/>
  <c r="H121" i="14"/>
  <c r="D122" i="14"/>
  <c r="E122" i="14"/>
  <c r="F122" i="14"/>
  <c r="G122" i="14"/>
  <c r="H122" i="14"/>
  <c r="C30" i="17"/>
  <c r="E8" i="16"/>
  <c r="F8" i="16" s="1"/>
  <c r="E17" i="16"/>
  <c r="F17" i="16" s="1"/>
  <c r="H17" i="16" s="1"/>
  <c r="E16" i="16"/>
  <c r="F16" i="16" s="1"/>
  <c r="H16" i="16" s="1"/>
  <c r="E15" i="16"/>
  <c r="F15" i="16" s="1"/>
  <c r="H15" i="16" s="1"/>
  <c r="E14" i="16"/>
  <c r="F14" i="16" s="1"/>
  <c r="H14" i="16" s="1"/>
  <c r="E13" i="16"/>
  <c r="F13" i="16" s="1"/>
  <c r="H13" i="16" s="1"/>
  <c r="E12" i="16"/>
  <c r="F12" i="16" s="1"/>
  <c r="H12" i="16" s="1"/>
  <c r="E11" i="16"/>
  <c r="F11" i="16" s="1"/>
  <c r="H11" i="16" s="1"/>
  <c r="E10" i="16"/>
  <c r="F10" i="16" s="1"/>
  <c r="H10" i="16" s="1"/>
  <c r="E9" i="16"/>
  <c r="F9" i="16" s="1"/>
  <c r="H9" i="16" s="1"/>
  <c r="P29" i="14"/>
  <c r="P28" i="14"/>
  <c r="P27" i="14"/>
  <c r="P26" i="14"/>
  <c r="P25" i="14"/>
  <c r="P24" i="14"/>
  <c r="P23" i="14"/>
  <c r="P22" i="14"/>
  <c r="P21" i="14"/>
  <c r="P20" i="14"/>
  <c r="C10" i="14"/>
  <c r="E39" i="14" s="1"/>
  <c r="F39" i="14" s="1"/>
  <c r="H39" i="14" s="1"/>
  <c r="I39" i="14" s="1"/>
  <c r="J39" i="14" s="1"/>
  <c r="O85" i="13"/>
  <c r="O84" i="13"/>
  <c r="O83" i="13"/>
  <c r="O82" i="13"/>
  <c r="O81" i="13"/>
  <c r="O80" i="13"/>
  <c r="O79" i="13"/>
  <c r="O78" i="13"/>
  <c r="O77" i="13"/>
  <c r="O76" i="13"/>
  <c r="O23" i="13"/>
  <c r="C90" i="13"/>
  <c r="O19" i="13"/>
  <c r="F20" i="13"/>
  <c r="O20" i="13"/>
  <c r="F21" i="13"/>
  <c r="O21" i="13"/>
  <c r="F22" i="13"/>
  <c r="O22" i="13"/>
  <c r="F23" i="13"/>
  <c r="F24" i="13"/>
  <c r="O24" i="13"/>
  <c r="F25" i="13"/>
  <c r="O25" i="13"/>
  <c r="F26" i="13"/>
  <c r="O26" i="13"/>
  <c r="F27" i="13"/>
  <c r="O27" i="13"/>
  <c r="F28" i="13"/>
  <c r="O28" i="13"/>
  <c r="H26" i="24" l="1"/>
  <c r="H28" i="24" s="1"/>
  <c r="F27" i="24" s="1"/>
  <c r="C28" i="24"/>
  <c r="G27" i="23" a="1"/>
  <c r="G27" i="23" s="1"/>
  <c r="G28" i="23" a="1"/>
  <c r="G28" i="23" s="1"/>
  <c r="S35" i="22"/>
  <c r="I42" i="22"/>
  <c r="I59" i="22"/>
  <c r="S42" i="22"/>
  <c r="O72" i="22"/>
  <c r="P72" i="22" s="1"/>
  <c r="S34" i="22"/>
  <c r="O33" i="22"/>
  <c r="P33" i="22" s="1"/>
  <c r="S37" i="22"/>
  <c r="O36" i="22"/>
  <c r="P36" i="22" s="1"/>
  <c r="S39" i="22"/>
  <c r="O42" i="22"/>
  <c r="P42" i="22" s="1"/>
  <c r="S38" i="22"/>
  <c r="O37" i="22"/>
  <c r="P37" i="22" s="1"/>
  <c r="S40" i="22"/>
  <c r="O52" i="22"/>
  <c r="P52" i="22" s="1"/>
  <c r="I83" i="22"/>
  <c r="L83" i="22"/>
  <c r="M83" i="22" s="1"/>
  <c r="N83" i="22" s="1"/>
  <c r="O83" i="22" s="1"/>
  <c r="P83" i="22" s="1"/>
  <c r="O82" i="22"/>
  <c r="P82" i="22" s="1"/>
  <c r="S43" i="22"/>
  <c r="S41" i="22"/>
  <c r="O62" i="22"/>
  <c r="P62" i="22" s="1"/>
  <c r="I72" i="22"/>
  <c r="I76" i="22"/>
  <c r="I71" i="22"/>
  <c r="I62" i="22"/>
  <c r="I34" i="22"/>
  <c r="I55" i="22"/>
  <c r="I45" i="22"/>
  <c r="I35" i="22"/>
  <c r="I69" i="22"/>
  <c r="I43" i="22"/>
  <c r="I64" i="22"/>
  <c r="I38" i="22"/>
  <c r="I50" i="22"/>
  <c r="I66" i="22"/>
  <c r="I40" i="22"/>
  <c r="I82" i="22"/>
  <c r="I56" i="22"/>
  <c r="I61" i="22"/>
  <c r="I77" i="22"/>
  <c r="I51" i="22"/>
  <c r="I57" i="22"/>
  <c r="I78" i="22"/>
  <c r="I36" i="22"/>
  <c r="I41" i="22"/>
  <c r="I46" i="22"/>
  <c r="I52" i="22"/>
  <c r="I73" i="22"/>
  <c r="I47" i="22"/>
  <c r="I68" i="22"/>
  <c r="I63" i="22"/>
  <c r="I37" i="22"/>
  <c r="I58" i="22"/>
  <c r="I79" i="22"/>
  <c r="I53" i="22"/>
  <c r="I74" i="22"/>
  <c r="I48" i="22"/>
  <c r="I49" i="22"/>
  <c r="I80" i="22"/>
  <c r="I65" i="22"/>
  <c r="I54" i="22"/>
  <c r="I75" i="22"/>
  <c r="I67" i="22"/>
  <c r="I81" i="22"/>
  <c r="I70" i="22"/>
  <c r="I44" i="22"/>
  <c r="I33" i="22"/>
  <c r="I39" i="22"/>
  <c r="I60" i="22"/>
  <c r="K25" i="21"/>
  <c r="I25" i="21"/>
  <c r="K29" i="21"/>
  <c r="I29" i="21"/>
  <c r="X25" i="21"/>
  <c r="V25" i="21"/>
  <c r="X23" i="21"/>
  <c r="V23" i="21"/>
  <c r="X24" i="21"/>
  <c r="V24" i="21"/>
  <c r="I22" i="21"/>
  <c r="K22" i="21"/>
  <c r="K24" i="21"/>
  <c r="I24" i="21"/>
  <c r="X22" i="21"/>
  <c r="V22" i="21"/>
  <c r="I26" i="21"/>
  <c r="K26" i="21"/>
  <c r="K27" i="21"/>
  <c r="I27" i="21"/>
  <c r="I28" i="21"/>
  <c r="K28" i="21"/>
  <c r="X27" i="21"/>
  <c r="V27" i="21"/>
  <c r="X26" i="21"/>
  <c r="V26" i="21"/>
  <c r="X28" i="21"/>
  <c r="V28" i="21"/>
  <c r="V21" i="21"/>
  <c r="X29" i="21"/>
  <c r="V29" i="21"/>
  <c r="K23" i="21"/>
  <c r="I23" i="21"/>
  <c r="K56" i="20"/>
  <c r="K48" i="20"/>
  <c r="K88" i="20"/>
  <c r="K74" i="19"/>
  <c r="AC48" i="16" a="1"/>
  <c r="AC48" i="16" s="1"/>
  <c r="K27" i="16" a="1"/>
  <c r="K27" i="16" s="1"/>
  <c r="K58" i="19"/>
  <c r="K55" i="19"/>
  <c r="AC74" i="19"/>
  <c r="K57" i="19"/>
  <c r="AC56" i="19"/>
  <c r="AC55" i="19"/>
  <c r="K81" i="19"/>
  <c r="AC61" i="19"/>
  <c r="AC60" i="19"/>
  <c r="AC62" i="19"/>
  <c r="AC75" i="19"/>
  <c r="AC76" i="19"/>
  <c r="AC80" i="19"/>
  <c r="AC82" i="19"/>
  <c r="K56" i="19"/>
  <c r="AC77" i="19"/>
  <c r="K36" i="19"/>
  <c r="K41" i="19"/>
  <c r="K39" i="19"/>
  <c r="K37" i="19"/>
  <c r="K35" i="19"/>
  <c r="K33" i="19"/>
  <c r="K32" i="19"/>
  <c r="K40" i="19"/>
  <c r="K34" i="19"/>
  <c r="K38" i="19"/>
  <c r="AC39" i="19"/>
  <c r="K62" i="19"/>
  <c r="K76" i="19"/>
  <c r="AC32" i="19"/>
  <c r="K53" i="19"/>
  <c r="K78" i="19"/>
  <c r="AC38" i="19"/>
  <c r="E69" i="19"/>
  <c r="Q69" i="19"/>
  <c r="AC58" i="19"/>
  <c r="AC40" i="19"/>
  <c r="K61" i="19"/>
  <c r="AC34" i="19"/>
  <c r="K82" i="19"/>
  <c r="K59" i="19"/>
  <c r="AC53" i="19"/>
  <c r="AC41" i="19"/>
  <c r="E48" i="19"/>
  <c r="Q48" i="19"/>
  <c r="AC79" i="19"/>
  <c r="K80" i="19"/>
  <c r="AC36" i="19"/>
  <c r="AC33" i="19"/>
  <c r="AC57" i="19"/>
  <c r="N29" i="19" a="1"/>
  <c r="N29" i="19" s="1"/>
  <c r="N30" i="19" a="1"/>
  <c r="N30" i="19" s="1"/>
  <c r="N50" i="19" a="1"/>
  <c r="N50" i="19" s="1"/>
  <c r="N51" i="19" a="1"/>
  <c r="N51" i="19" s="1"/>
  <c r="AC81" i="19"/>
  <c r="Q27" i="19"/>
  <c r="E27" i="19"/>
  <c r="AC59" i="19"/>
  <c r="Q26" i="19"/>
  <c r="E25" i="19"/>
  <c r="Q47" i="19"/>
  <c r="E46" i="19"/>
  <c r="AC83" i="19"/>
  <c r="AC35" i="19"/>
  <c r="K77" i="19"/>
  <c r="K83" i="19"/>
  <c r="N71" i="19" a="1"/>
  <c r="N71" i="19" s="1"/>
  <c r="N72" i="19" a="1"/>
  <c r="N72" i="19" s="1"/>
  <c r="K75" i="19"/>
  <c r="T68" i="19"/>
  <c r="F67" i="19"/>
  <c r="K54" i="19"/>
  <c r="K79" i="19"/>
  <c r="AC28" i="16" a="1"/>
  <c r="AC28" i="16" s="1"/>
  <c r="K48" i="16" a="1"/>
  <c r="K48" i="16" s="1"/>
  <c r="K28" i="16" a="1"/>
  <c r="K28" i="16" s="1"/>
  <c r="N48" i="16" a="1"/>
  <c r="N48" i="16" s="1"/>
  <c r="R105" i="14"/>
  <c r="R44" i="14"/>
  <c r="N99" i="14"/>
  <c r="O99" i="14" s="1"/>
  <c r="Q99" i="14" s="1"/>
  <c r="R99" i="14" s="1"/>
  <c r="E97" i="14"/>
  <c r="F97" i="14" s="1"/>
  <c r="H97" i="14" s="1"/>
  <c r="I97" i="14" s="1"/>
  <c r="J97" i="14" s="1"/>
  <c r="N90" i="14"/>
  <c r="O90" i="14" s="1"/>
  <c r="Q90" i="14" s="1"/>
  <c r="R90" i="14" s="1"/>
  <c r="E70" i="14"/>
  <c r="F70" i="14" s="1"/>
  <c r="H70" i="14" s="1"/>
  <c r="I70" i="14" s="1"/>
  <c r="J70" i="14" s="1"/>
  <c r="N62" i="14"/>
  <c r="O62" i="14" s="1"/>
  <c r="Q62" i="14" s="1"/>
  <c r="R62" i="14" s="1"/>
  <c r="E44" i="14"/>
  <c r="F44" i="14" s="1"/>
  <c r="H44" i="14" s="1"/>
  <c r="I44" i="14" s="1"/>
  <c r="J44" i="14" s="1"/>
  <c r="N35" i="14"/>
  <c r="O35" i="14" s="1"/>
  <c r="Q35" i="14" s="1"/>
  <c r="R35" i="14" s="1"/>
  <c r="E103" i="14"/>
  <c r="F103" i="14" s="1"/>
  <c r="H103" i="14" s="1"/>
  <c r="I103" i="14" s="1"/>
  <c r="J103" i="14" s="1"/>
  <c r="N85" i="14"/>
  <c r="O85" i="14" s="1"/>
  <c r="Q85" i="14" s="1"/>
  <c r="E75" i="14"/>
  <c r="F75" i="14" s="1"/>
  <c r="H75" i="14" s="1"/>
  <c r="I75" i="14" s="1"/>
  <c r="J75" i="14" s="1"/>
  <c r="E57" i="14"/>
  <c r="F57" i="14" s="1"/>
  <c r="H57" i="14" s="1"/>
  <c r="I57" i="14" s="1"/>
  <c r="J57" i="14" s="1"/>
  <c r="R69" i="14"/>
  <c r="N102" i="14"/>
  <c r="O102" i="14" s="1"/>
  <c r="Q102" i="14" s="1"/>
  <c r="R102" i="14" s="1"/>
  <c r="N89" i="14"/>
  <c r="O89" i="14" s="1"/>
  <c r="Q89" i="14" s="1"/>
  <c r="E82" i="14"/>
  <c r="F82" i="14" s="1"/>
  <c r="H82" i="14" s="1"/>
  <c r="I82" i="14" s="1"/>
  <c r="J82" i="14" s="1"/>
  <c r="E59" i="14"/>
  <c r="F59" i="14" s="1"/>
  <c r="H59" i="14" s="1"/>
  <c r="I59" i="14" s="1"/>
  <c r="J59" i="14" s="1"/>
  <c r="N56" i="14"/>
  <c r="O56" i="14" s="1"/>
  <c r="Q56" i="14" s="1"/>
  <c r="R56" i="14" s="1"/>
  <c r="E38" i="14"/>
  <c r="F38" i="14" s="1"/>
  <c r="H38" i="14" s="1"/>
  <c r="I38" i="14" s="1"/>
  <c r="J38" i="14" s="1"/>
  <c r="N98" i="14"/>
  <c r="O98" i="14" s="1"/>
  <c r="Q98" i="14" s="1"/>
  <c r="R98" i="14" s="1"/>
  <c r="N96" i="14"/>
  <c r="O96" i="14" s="1"/>
  <c r="Q96" i="14" s="1"/>
  <c r="R96" i="14" s="1"/>
  <c r="E87" i="14"/>
  <c r="F87" i="14" s="1"/>
  <c r="H87" i="14" s="1"/>
  <c r="I87" i="14" s="1"/>
  <c r="J87" i="14" s="1"/>
  <c r="E54" i="14"/>
  <c r="F54" i="14" s="1"/>
  <c r="H54" i="14" s="1"/>
  <c r="I54" i="14" s="1"/>
  <c r="J54" i="14" s="1"/>
  <c r="E41" i="14"/>
  <c r="F41" i="14" s="1"/>
  <c r="H41" i="14" s="1"/>
  <c r="I41" i="14" s="1"/>
  <c r="J41" i="14" s="1"/>
  <c r="R88" i="14"/>
  <c r="R61" i="14"/>
  <c r="E105" i="14"/>
  <c r="F105" i="14" s="1"/>
  <c r="H105" i="14" s="1"/>
  <c r="I105" i="14" s="1"/>
  <c r="J105" i="14" s="1"/>
  <c r="N101" i="14"/>
  <c r="O101" i="14" s="1"/>
  <c r="Q101" i="14" s="1"/>
  <c r="R101" i="14" s="1"/>
  <c r="E96" i="14"/>
  <c r="H96" i="14" s="1"/>
  <c r="I96" i="14" s="1"/>
  <c r="J96" i="14" s="1"/>
  <c r="E89" i="14"/>
  <c r="F89" i="14" s="1"/>
  <c r="H89" i="14" s="1"/>
  <c r="I89" i="14" s="1"/>
  <c r="J89" i="14" s="1"/>
  <c r="N84" i="14"/>
  <c r="O84" i="14" s="1"/>
  <c r="Q84" i="14" s="1"/>
  <c r="R84" i="14" s="1"/>
  <c r="E77" i="14"/>
  <c r="F77" i="14" s="1"/>
  <c r="H77" i="14" s="1"/>
  <c r="I77" i="14" s="1"/>
  <c r="J77" i="14" s="1"/>
  <c r="E74" i="14"/>
  <c r="F74" i="14" s="1"/>
  <c r="H74" i="14" s="1"/>
  <c r="I74" i="14" s="1"/>
  <c r="J74" i="14" s="1"/>
  <c r="N68" i="14"/>
  <c r="O68" i="14" s="1"/>
  <c r="Q68" i="14" s="1"/>
  <c r="R68" i="14" s="1"/>
  <c r="E61" i="14"/>
  <c r="F61" i="14" s="1"/>
  <c r="H61" i="14" s="1"/>
  <c r="I61" i="14" s="1"/>
  <c r="J61" i="14" s="1"/>
  <c r="N53" i="14"/>
  <c r="O53" i="14" s="1"/>
  <c r="Q53" i="14" s="1"/>
  <c r="N40" i="14"/>
  <c r="O40" i="14" s="1"/>
  <c r="Q40" i="14" s="1"/>
  <c r="R40" i="14" s="1"/>
  <c r="N86" i="14"/>
  <c r="O86" i="14" s="1"/>
  <c r="Q86" i="14" s="1"/>
  <c r="R86" i="14" s="1"/>
  <c r="N71" i="14"/>
  <c r="O71" i="14" s="1"/>
  <c r="Q71" i="14" s="1"/>
  <c r="R71" i="14" s="1"/>
  <c r="N58" i="14"/>
  <c r="O58" i="14" s="1"/>
  <c r="Q58" i="14" s="1"/>
  <c r="R58" i="14" s="1"/>
  <c r="E37" i="14"/>
  <c r="F37" i="14" s="1"/>
  <c r="H37" i="14" s="1"/>
  <c r="I37" i="14" s="1"/>
  <c r="J37" i="14" s="1"/>
  <c r="R39" i="14"/>
  <c r="R97" i="14"/>
  <c r="E100" i="14"/>
  <c r="H100" i="14" s="1"/>
  <c r="I100" i="14" s="1"/>
  <c r="J100" i="14" s="1"/>
  <c r="E88" i="14"/>
  <c r="F88" i="14" s="1"/>
  <c r="H88" i="14" s="1"/>
  <c r="I88" i="14" s="1"/>
  <c r="J88" i="14" s="1"/>
  <c r="E86" i="14"/>
  <c r="F86" i="14" s="1"/>
  <c r="H86" i="14" s="1"/>
  <c r="I86" i="14" s="1"/>
  <c r="J86" i="14" s="1"/>
  <c r="N75" i="14"/>
  <c r="O75" i="14" s="1"/>
  <c r="Q75" i="14" s="1"/>
  <c r="R75" i="14" s="1"/>
  <c r="E73" i="14"/>
  <c r="F73" i="14" s="1"/>
  <c r="H73" i="14" s="1"/>
  <c r="I73" i="14" s="1"/>
  <c r="J73" i="14" s="1"/>
  <c r="N70" i="14"/>
  <c r="O70" i="14" s="1"/>
  <c r="Q70" i="14" s="1"/>
  <c r="E60" i="14"/>
  <c r="F60" i="14" s="1"/>
  <c r="H60" i="14" s="1"/>
  <c r="I60" i="14" s="1"/>
  <c r="J60" i="14" s="1"/>
  <c r="E36" i="14"/>
  <c r="F36" i="14" s="1"/>
  <c r="H36" i="14" s="1"/>
  <c r="I36" i="14" s="1"/>
  <c r="J36" i="14" s="1"/>
  <c r="N103" i="14"/>
  <c r="O103" i="14" s="1"/>
  <c r="Q103" i="14" s="1"/>
  <c r="R103" i="14" s="1"/>
  <c r="E83" i="14"/>
  <c r="F83" i="14" s="1"/>
  <c r="H83" i="14" s="1"/>
  <c r="I83" i="14" s="1"/>
  <c r="J83" i="14" s="1"/>
  <c r="N57" i="14"/>
  <c r="O57" i="14" s="1"/>
  <c r="Q57" i="14" s="1"/>
  <c r="R57" i="14" s="1"/>
  <c r="K70" i="16" a="1"/>
  <c r="K70" i="16" s="1"/>
  <c r="K76" i="16" s="1"/>
  <c r="K49" i="16" a="1"/>
  <c r="K49" i="16" s="1"/>
  <c r="AC49" i="16" a="1"/>
  <c r="AC49" i="16" s="1"/>
  <c r="AC54" i="16" s="1"/>
  <c r="AC27" i="16" a="1"/>
  <c r="AC27" i="16" s="1"/>
  <c r="N67" i="16"/>
  <c r="N49" i="16" a="1"/>
  <c r="N49" i="16" s="1"/>
  <c r="AC70" i="16" a="1"/>
  <c r="AC70" i="16" s="1"/>
  <c r="AC81" i="16" s="1"/>
  <c r="Q21" i="18"/>
  <c r="Q22" i="18" s="1"/>
  <c r="Q23" i="18" s="1"/>
  <c r="Q24" i="18" s="1"/>
  <c r="Q25" i="18" s="1"/>
  <c r="N25" i="16"/>
  <c r="D25" i="16"/>
  <c r="N24" i="16"/>
  <c r="D23" i="16"/>
  <c r="D65" i="16"/>
  <c r="Q67" i="16"/>
  <c r="E67" i="16"/>
  <c r="D44" i="16"/>
  <c r="Q45" i="16" s="1"/>
  <c r="D46" i="16"/>
  <c r="Q46" i="16" s="1"/>
  <c r="H8" i="16"/>
  <c r="R31" i="17"/>
  <c r="D34" i="17"/>
  <c r="D42" i="17"/>
  <c r="D38" i="17"/>
  <c r="E38" i="17" s="1"/>
  <c r="F38" i="17" s="1"/>
  <c r="G38" i="17" s="1"/>
  <c r="P32" i="17"/>
  <c r="R32" i="17"/>
  <c r="V31" i="17"/>
  <c r="T32" i="17"/>
  <c r="T31" i="17"/>
  <c r="E39" i="17"/>
  <c r="F39" i="17" s="1"/>
  <c r="G39" i="17" s="1"/>
  <c r="E41" i="17"/>
  <c r="F41" i="17" s="1"/>
  <c r="G41" i="17" s="1"/>
  <c r="E36" i="17"/>
  <c r="F36" i="17" s="1"/>
  <c r="G36" i="17" s="1"/>
  <c r="F35" i="17"/>
  <c r="G35" i="17" s="1"/>
  <c r="R53" i="14"/>
  <c r="R91" i="14"/>
  <c r="R76" i="14"/>
  <c r="R55" i="14"/>
  <c r="R85" i="14"/>
  <c r="R38" i="14"/>
  <c r="E43" i="17"/>
  <c r="F43" i="17" s="1"/>
  <c r="G43" i="17" s="1"/>
  <c r="E40" i="17"/>
  <c r="F40" i="17" s="1"/>
  <c r="G40" i="17" s="1"/>
  <c r="E37" i="17"/>
  <c r="F37" i="17" s="1"/>
  <c r="G37" i="17" s="1"/>
  <c r="F34" i="17"/>
  <c r="G34" i="17" s="1"/>
  <c r="E42" i="17"/>
  <c r="G42" i="17" s="1"/>
  <c r="E25" i="14"/>
  <c r="F25" i="14" s="1"/>
  <c r="H25" i="14" s="1"/>
  <c r="I25" i="14" s="1"/>
  <c r="J25" i="14" s="1"/>
  <c r="N26" i="14"/>
  <c r="O26" i="14" s="1"/>
  <c r="Q26" i="14" s="1"/>
  <c r="E27" i="14"/>
  <c r="F27" i="14" s="1"/>
  <c r="H27" i="14" s="1"/>
  <c r="I27" i="14" s="1"/>
  <c r="J27" i="14" s="1"/>
  <c r="N29" i="14"/>
  <c r="O29" i="14" s="1"/>
  <c r="Q29" i="14" s="1"/>
  <c r="E28" i="14"/>
  <c r="F28" i="14" s="1"/>
  <c r="H28" i="14" s="1"/>
  <c r="I28" i="14" s="1"/>
  <c r="J28" i="14" s="1"/>
  <c r="E20" i="14"/>
  <c r="F20" i="14" s="1"/>
  <c r="H20" i="14" s="1"/>
  <c r="I20" i="14" s="1"/>
  <c r="J20" i="14" s="1"/>
  <c r="N21" i="14"/>
  <c r="O21" i="14" s="1"/>
  <c r="Q21" i="14" s="1"/>
  <c r="N22" i="14"/>
  <c r="O22" i="14" s="1"/>
  <c r="Q22" i="14" s="1"/>
  <c r="E23" i="14"/>
  <c r="F23" i="14" s="1"/>
  <c r="H23" i="14" s="1"/>
  <c r="I23" i="14" s="1"/>
  <c r="J23" i="14" s="1"/>
  <c r="E24" i="14"/>
  <c r="F24" i="14" s="1"/>
  <c r="H24" i="14" s="1"/>
  <c r="I24" i="14" s="1"/>
  <c r="J24" i="14" s="1"/>
  <c r="N25" i="14"/>
  <c r="O25" i="14" s="1"/>
  <c r="Q25" i="14" s="1"/>
  <c r="E29" i="14"/>
  <c r="F29" i="14" s="1"/>
  <c r="N27" i="14"/>
  <c r="O27" i="14" s="1"/>
  <c r="Q27" i="14" s="1"/>
  <c r="N23" i="14"/>
  <c r="O23" i="14" s="1"/>
  <c r="Q23" i="14" s="1"/>
  <c r="E21" i="14"/>
  <c r="F21" i="14" s="1"/>
  <c r="N28" i="14"/>
  <c r="O28" i="14" s="1"/>
  <c r="Q28" i="14" s="1"/>
  <c r="E26" i="14"/>
  <c r="F26" i="14" s="1"/>
  <c r="H26" i="14" s="1"/>
  <c r="I26" i="14" s="1"/>
  <c r="J26" i="14" s="1"/>
  <c r="N24" i="14"/>
  <c r="O24" i="14" s="1"/>
  <c r="Q24" i="14" s="1"/>
  <c r="E22" i="14"/>
  <c r="F22" i="14" s="1"/>
  <c r="H22" i="14" s="1"/>
  <c r="I22" i="14" s="1"/>
  <c r="J22" i="14" s="1"/>
  <c r="N20" i="14"/>
  <c r="O20" i="14" s="1"/>
  <c r="Q20" i="14" s="1"/>
  <c r="O71" i="13"/>
  <c r="O70" i="13"/>
  <c r="O69" i="13"/>
  <c r="O68" i="13"/>
  <c r="O67" i="13"/>
  <c r="O66" i="13"/>
  <c r="O65" i="13"/>
  <c r="O64" i="13"/>
  <c r="O63" i="13"/>
  <c r="O62" i="13"/>
  <c r="O57" i="13"/>
  <c r="O56" i="13"/>
  <c r="O55" i="13"/>
  <c r="O54" i="13"/>
  <c r="O53" i="13"/>
  <c r="O52" i="13"/>
  <c r="O51" i="13"/>
  <c r="O50" i="13"/>
  <c r="O49" i="13"/>
  <c r="O48" i="13"/>
  <c r="O43" i="13"/>
  <c r="O42" i="13"/>
  <c r="O41" i="13"/>
  <c r="O40" i="13"/>
  <c r="O39" i="13"/>
  <c r="O38" i="13"/>
  <c r="O37" i="13"/>
  <c r="O36" i="13"/>
  <c r="O35" i="13"/>
  <c r="O34" i="13"/>
  <c r="G26" i="24" l="1" a="1"/>
  <c r="G26" i="24" s="1"/>
  <c r="G28" i="24" a="1"/>
  <c r="G28" i="24" s="1"/>
  <c r="G27" i="24" a="1"/>
  <c r="G27" i="24" s="1"/>
  <c r="F51" i="23"/>
  <c r="L51" i="23" s="1"/>
  <c r="M51" i="23" s="1"/>
  <c r="N51" i="23" s="1"/>
  <c r="O51" i="23" s="1"/>
  <c r="P51" i="23" s="1"/>
  <c r="F63" i="23"/>
  <c r="L63" i="23" s="1"/>
  <c r="M63" i="23" s="1"/>
  <c r="N63" i="23" s="1"/>
  <c r="O63" i="23" s="1"/>
  <c r="P63" i="23" s="1"/>
  <c r="F64" i="23"/>
  <c r="L64" i="23" s="1"/>
  <c r="M64" i="23" s="1"/>
  <c r="N64" i="23" s="1"/>
  <c r="O64" i="23" s="1"/>
  <c r="P64" i="23" s="1"/>
  <c r="F83" i="23"/>
  <c r="L83" i="23" s="1"/>
  <c r="M83" i="23" s="1"/>
  <c r="N83" i="23" s="1"/>
  <c r="O83" i="23" s="1"/>
  <c r="P83" i="23" s="1"/>
  <c r="F56" i="23"/>
  <c r="L56" i="23" s="1"/>
  <c r="M56" i="23" s="1"/>
  <c r="N56" i="23" s="1"/>
  <c r="O56" i="23" s="1"/>
  <c r="P56" i="23" s="1"/>
  <c r="F73" i="23"/>
  <c r="L73" i="23" s="1"/>
  <c r="M73" i="23" s="1"/>
  <c r="N73" i="23" s="1"/>
  <c r="O73" i="23" s="1"/>
  <c r="P73" i="23" s="1"/>
  <c r="F55" i="23"/>
  <c r="L55" i="23" s="1"/>
  <c r="M55" i="23" s="1"/>
  <c r="N55" i="23" s="1"/>
  <c r="O55" i="23" s="1"/>
  <c r="P55" i="23" s="1"/>
  <c r="F39" i="23"/>
  <c r="L39" i="23" s="1"/>
  <c r="M39" i="23" s="1"/>
  <c r="N39" i="23" s="1"/>
  <c r="O39" i="23" s="1"/>
  <c r="P39" i="23" s="1"/>
  <c r="F66" i="23"/>
  <c r="L66" i="23" s="1"/>
  <c r="M66" i="23" s="1"/>
  <c r="N66" i="23" s="1"/>
  <c r="O66" i="23" s="1"/>
  <c r="P66" i="23" s="1"/>
  <c r="F44" i="23"/>
  <c r="L44" i="23" s="1"/>
  <c r="M44" i="23" s="1"/>
  <c r="N44" i="23" s="1"/>
  <c r="O44" i="23" s="1"/>
  <c r="P44" i="23" s="1"/>
  <c r="F65" i="23"/>
  <c r="L65" i="23" s="1"/>
  <c r="M65" i="23" s="1"/>
  <c r="N65" i="23" s="1"/>
  <c r="O65" i="23" s="1"/>
  <c r="P65" i="23" s="1"/>
  <c r="F38" i="23"/>
  <c r="L38" i="23" s="1"/>
  <c r="M38" i="23" s="1"/>
  <c r="N38" i="23" s="1"/>
  <c r="O38" i="23" s="1"/>
  <c r="P38" i="23" s="1"/>
  <c r="F76" i="23"/>
  <c r="L76" i="23" s="1"/>
  <c r="M76" i="23" s="1"/>
  <c r="N76" i="23" s="1"/>
  <c r="O76" i="23" s="1"/>
  <c r="P76" i="23" s="1"/>
  <c r="F75" i="23"/>
  <c r="L75" i="23" s="1"/>
  <c r="M75" i="23" s="1"/>
  <c r="N75" i="23" s="1"/>
  <c r="O75" i="23" s="1"/>
  <c r="P75" i="23" s="1"/>
  <c r="F47" i="23"/>
  <c r="L47" i="23" s="1"/>
  <c r="M47" i="23" s="1"/>
  <c r="N47" i="23" s="1"/>
  <c r="O47" i="23" s="1"/>
  <c r="P47" i="23" s="1"/>
  <c r="F36" i="23"/>
  <c r="L36" i="23" s="1"/>
  <c r="M36" i="23" s="1"/>
  <c r="N36" i="23" s="1"/>
  <c r="T37" i="23" s="1"/>
  <c r="F72" i="23"/>
  <c r="L72" i="23" s="1"/>
  <c r="M72" i="23" s="1"/>
  <c r="N72" i="23" s="1"/>
  <c r="T42" i="23" s="1"/>
  <c r="F46" i="23"/>
  <c r="L46" i="23" s="1"/>
  <c r="M46" i="23" s="1"/>
  <c r="N46" i="23" s="1"/>
  <c r="O46" i="23" s="1"/>
  <c r="P46" i="23" s="1"/>
  <c r="F42" i="23"/>
  <c r="L42" i="23" s="1"/>
  <c r="M42" i="23" s="1"/>
  <c r="N42" i="23" s="1"/>
  <c r="F53" i="23"/>
  <c r="L53" i="23" s="1"/>
  <c r="M53" i="23" s="1"/>
  <c r="N53" i="23" s="1"/>
  <c r="O53" i="23" s="1"/>
  <c r="P53" i="23" s="1"/>
  <c r="F58" i="23"/>
  <c r="L58" i="23" s="1"/>
  <c r="M58" i="23" s="1"/>
  <c r="N58" i="23" s="1"/>
  <c r="O58" i="23" s="1"/>
  <c r="P58" i="23" s="1"/>
  <c r="F33" i="23"/>
  <c r="L33" i="23" s="1"/>
  <c r="M33" i="23" s="1"/>
  <c r="N33" i="23" s="1"/>
  <c r="T34" i="23" s="1"/>
  <c r="F67" i="23"/>
  <c r="L67" i="23" s="1"/>
  <c r="M67" i="23" s="1"/>
  <c r="N67" i="23" s="1"/>
  <c r="O67" i="23" s="1"/>
  <c r="P67" i="23" s="1"/>
  <c r="F81" i="23"/>
  <c r="L81" i="23" s="1"/>
  <c r="M81" i="23" s="1"/>
  <c r="N81" i="23" s="1"/>
  <c r="O81" i="23" s="1"/>
  <c r="P81" i="23" s="1"/>
  <c r="F78" i="23"/>
  <c r="L78" i="23" s="1"/>
  <c r="M78" i="23" s="1"/>
  <c r="N78" i="23" s="1"/>
  <c r="O78" i="23" s="1"/>
  <c r="P78" i="23" s="1"/>
  <c r="F43" i="23"/>
  <c r="L43" i="23" s="1"/>
  <c r="M43" i="23" s="1"/>
  <c r="N43" i="23" s="1"/>
  <c r="O43" i="23" s="1"/>
  <c r="P43" i="23" s="1"/>
  <c r="F68" i="23"/>
  <c r="L68" i="23" s="1"/>
  <c r="M68" i="23" s="1"/>
  <c r="N68" i="23" s="1"/>
  <c r="O68" i="23" s="1"/>
  <c r="P68" i="23" s="1"/>
  <c r="F50" i="23"/>
  <c r="L50" i="23" s="1"/>
  <c r="M50" i="23" s="1"/>
  <c r="N50" i="23" s="1"/>
  <c r="O50" i="23" s="1"/>
  <c r="P50" i="23" s="1"/>
  <c r="F37" i="23"/>
  <c r="L37" i="23" s="1"/>
  <c r="M37" i="23" s="1"/>
  <c r="N37" i="23" s="1"/>
  <c r="O37" i="23" s="1"/>
  <c r="P37" i="23" s="1"/>
  <c r="U38" i="23" s="1"/>
  <c r="F45" i="23"/>
  <c r="L45" i="23" s="1"/>
  <c r="M45" i="23" s="1"/>
  <c r="N45" i="23" s="1"/>
  <c r="O45" i="23" s="1"/>
  <c r="P45" i="23" s="1"/>
  <c r="F80" i="23"/>
  <c r="L80" i="23" s="1"/>
  <c r="M80" i="23" s="1"/>
  <c r="N80" i="23" s="1"/>
  <c r="O80" i="23" s="1"/>
  <c r="P80" i="23" s="1"/>
  <c r="F82" i="23"/>
  <c r="L82" i="23" s="1"/>
  <c r="M82" i="23" s="1"/>
  <c r="N82" i="23" s="1"/>
  <c r="O82" i="23" s="1"/>
  <c r="P82" i="23" s="1"/>
  <c r="U43" i="23" s="1"/>
  <c r="F60" i="23"/>
  <c r="L60" i="23" s="1"/>
  <c r="M60" i="23" s="1"/>
  <c r="N60" i="23" s="1"/>
  <c r="O60" i="23" s="1"/>
  <c r="P60" i="23" s="1"/>
  <c r="F77" i="23"/>
  <c r="L77" i="23" s="1"/>
  <c r="M77" i="23" s="1"/>
  <c r="N77" i="23" s="1"/>
  <c r="O77" i="23" s="1"/>
  <c r="P77" i="23" s="1"/>
  <c r="F57" i="23"/>
  <c r="L57" i="23" s="1"/>
  <c r="M57" i="23" s="1"/>
  <c r="N57" i="23" s="1"/>
  <c r="O57" i="23" s="1"/>
  <c r="P57" i="23" s="1"/>
  <c r="F48" i="23"/>
  <c r="L48" i="23" s="1"/>
  <c r="M48" i="23" s="1"/>
  <c r="N48" i="23" s="1"/>
  <c r="O48" i="23" s="1"/>
  <c r="P48" i="23" s="1"/>
  <c r="F59" i="23"/>
  <c r="L59" i="23" s="1"/>
  <c r="M59" i="23" s="1"/>
  <c r="N59" i="23" s="1"/>
  <c r="O59" i="23" s="1"/>
  <c r="P59" i="23" s="1"/>
  <c r="F41" i="23"/>
  <c r="L41" i="23" s="1"/>
  <c r="M41" i="23" s="1"/>
  <c r="N41" i="23" s="1"/>
  <c r="O41" i="23" s="1"/>
  <c r="P41" i="23" s="1"/>
  <c r="F70" i="23"/>
  <c r="L70" i="23" s="1"/>
  <c r="M70" i="23" s="1"/>
  <c r="N70" i="23" s="1"/>
  <c r="O70" i="23" s="1"/>
  <c r="P70" i="23" s="1"/>
  <c r="F35" i="23"/>
  <c r="L35" i="23" s="1"/>
  <c r="M35" i="23" s="1"/>
  <c r="N35" i="23" s="1"/>
  <c r="O35" i="23" s="1"/>
  <c r="P35" i="23" s="1"/>
  <c r="U36" i="23" s="1"/>
  <c r="F52" i="23"/>
  <c r="L52" i="23" s="1"/>
  <c r="M52" i="23" s="1"/>
  <c r="N52" i="23" s="1"/>
  <c r="T40" i="23" s="1"/>
  <c r="F69" i="23"/>
  <c r="L69" i="23" s="1"/>
  <c r="M69" i="23" s="1"/>
  <c r="N69" i="23" s="1"/>
  <c r="O69" i="23" s="1"/>
  <c r="P69" i="23" s="1"/>
  <c r="F79" i="23"/>
  <c r="L79" i="23" s="1"/>
  <c r="M79" i="23" s="1"/>
  <c r="N79" i="23" s="1"/>
  <c r="O79" i="23" s="1"/>
  <c r="P79" i="23" s="1"/>
  <c r="F34" i="23"/>
  <c r="L34" i="23" s="1"/>
  <c r="M34" i="23" s="1"/>
  <c r="N34" i="23" s="1"/>
  <c r="F40" i="23"/>
  <c r="L40" i="23" s="1"/>
  <c r="M40" i="23" s="1"/>
  <c r="N40" i="23" s="1"/>
  <c r="O40" i="23" s="1"/>
  <c r="P40" i="23" s="1"/>
  <c r="F49" i="23"/>
  <c r="L49" i="23" s="1"/>
  <c r="M49" i="23" s="1"/>
  <c r="N49" i="23" s="1"/>
  <c r="O49" i="23" s="1"/>
  <c r="P49" i="23" s="1"/>
  <c r="F61" i="23"/>
  <c r="L61" i="23" s="1"/>
  <c r="M61" i="23" s="1"/>
  <c r="N61" i="23" s="1"/>
  <c r="O61" i="23" s="1"/>
  <c r="P61" i="23" s="1"/>
  <c r="F62" i="23"/>
  <c r="L62" i="23" s="1"/>
  <c r="M62" i="23" s="1"/>
  <c r="N62" i="23" s="1"/>
  <c r="T41" i="23" s="1"/>
  <c r="F74" i="23"/>
  <c r="L74" i="23" s="1"/>
  <c r="M74" i="23" s="1"/>
  <c r="N74" i="23" s="1"/>
  <c r="O74" i="23" s="1"/>
  <c r="P74" i="23" s="1"/>
  <c r="F54" i="23"/>
  <c r="L54" i="23" s="1"/>
  <c r="M54" i="23" s="1"/>
  <c r="N54" i="23" s="1"/>
  <c r="O54" i="23" s="1"/>
  <c r="P54" i="23" s="1"/>
  <c r="F71" i="23"/>
  <c r="L71" i="23" s="1"/>
  <c r="M71" i="23" s="1"/>
  <c r="N71" i="23" s="1"/>
  <c r="O71" i="23" s="1"/>
  <c r="P71" i="23" s="1"/>
  <c r="K55" i="16"/>
  <c r="N61" i="19"/>
  <c r="N59" i="19"/>
  <c r="N57" i="19"/>
  <c r="N55" i="19"/>
  <c r="N53" i="19"/>
  <c r="N62" i="19"/>
  <c r="N60" i="19"/>
  <c r="N58" i="19"/>
  <c r="N56" i="19"/>
  <c r="N54" i="19"/>
  <c r="N40" i="19"/>
  <c r="N34" i="19"/>
  <c r="N41" i="19"/>
  <c r="N39" i="19"/>
  <c r="N37" i="19"/>
  <c r="N35" i="19"/>
  <c r="N33" i="19"/>
  <c r="N36" i="19"/>
  <c r="N32" i="19"/>
  <c r="N38" i="19"/>
  <c r="Q71" i="19" a="1"/>
  <c r="Q71" i="19" s="1"/>
  <c r="Q72" i="19" a="1"/>
  <c r="Q72" i="19" s="1"/>
  <c r="T47" i="19"/>
  <c r="F46" i="19"/>
  <c r="F69" i="19"/>
  <c r="T69" i="19"/>
  <c r="T71" i="19" s="1" a="1"/>
  <c r="T71" i="19" s="1"/>
  <c r="N82" i="19"/>
  <c r="N80" i="19"/>
  <c r="N78" i="19"/>
  <c r="N76" i="19"/>
  <c r="N74" i="19"/>
  <c r="N83" i="19"/>
  <c r="N81" i="19"/>
  <c r="N79" i="19"/>
  <c r="N77" i="19"/>
  <c r="N75" i="19"/>
  <c r="Q50" i="19" a="1"/>
  <c r="Q50" i="19" s="1"/>
  <c r="Q51" i="19" a="1"/>
  <c r="Q51" i="19" s="1"/>
  <c r="G67" i="19"/>
  <c r="Z68" i="19" s="1"/>
  <c r="W68" i="19"/>
  <c r="Q29" i="19" a="1"/>
  <c r="Q29" i="19" s="1"/>
  <c r="Q30" i="19" a="1"/>
  <c r="Q30" i="19" s="1"/>
  <c r="F25" i="19"/>
  <c r="T26" i="19"/>
  <c r="F27" i="19"/>
  <c r="T27" i="19"/>
  <c r="T48" i="19"/>
  <c r="F48" i="19"/>
  <c r="AC30" i="16"/>
  <c r="N51" i="16"/>
  <c r="K32" i="16"/>
  <c r="K80" i="16"/>
  <c r="AC32" i="16"/>
  <c r="K31" i="16"/>
  <c r="K75" i="16"/>
  <c r="K34" i="16"/>
  <c r="K78" i="16"/>
  <c r="AC34" i="16"/>
  <c r="K77" i="16"/>
  <c r="K36" i="16"/>
  <c r="K35" i="16"/>
  <c r="K37" i="16"/>
  <c r="K73" i="16"/>
  <c r="K38" i="16"/>
  <c r="K72" i="16"/>
  <c r="K39" i="16"/>
  <c r="K79" i="16"/>
  <c r="K74" i="16"/>
  <c r="K30" i="16"/>
  <c r="K81" i="16"/>
  <c r="AE81" i="16" s="1"/>
  <c r="R37" i="14"/>
  <c r="R70" i="14"/>
  <c r="R82" i="14"/>
  <c r="R60" i="14"/>
  <c r="R89" i="14"/>
  <c r="R83" i="14"/>
  <c r="R59" i="14"/>
  <c r="R41" i="14"/>
  <c r="R73" i="14"/>
  <c r="R54" i="14"/>
  <c r="R100" i="14"/>
  <c r="R36" i="14"/>
  <c r="R77" i="14"/>
  <c r="R74" i="14"/>
  <c r="R87" i="14"/>
  <c r="AC80" i="16"/>
  <c r="AC73" i="16"/>
  <c r="AC75" i="16"/>
  <c r="AE75" i="16" s="1"/>
  <c r="AC51" i="16"/>
  <c r="K51" i="16"/>
  <c r="AC58" i="16"/>
  <c r="K58" i="16"/>
  <c r="AC56" i="16"/>
  <c r="K56" i="16"/>
  <c r="K53" i="16"/>
  <c r="K60" i="16"/>
  <c r="K54" i="16"/>
  <c r="AE54" i="16" s="1"/>
  <c r="AC52" i="16"/>
  <c r="AC55" i="16"/>
  <c r="AE55" i="16" s="1"/>
  <c r="N55" i="16"/>
  <c r="AC59" i="16"/>
  <c r="N57" i="16"/>
  <c r="AC53" i="16"/>
  <c r="N53" i="16"/>
  <c r="N59" i="16"/>
  <c r="AC57" i="16"/>
  <c r="AC60" i="16"/>
  <c r="N52" i="16"/>
  <c r="K52" i="16"/>
  <c r="K59" i="16"/>
  <c r="K57" i="16"/>
  <c r="AC36" i="16"/>
  <c r="AC77" i="16"/>
  <c r="AC38" i="16"/>
  <c r="N60" i="16"/>
  <c r="AC33" i="16"/>
  <c r="AC31" i="16"/>
  <c r="N58" i="16"/>
  <c r="AC35" i="16"/>
  <c r="AC79" i="16"/>
  <c r="N56" i="16"/>
  <c r="AC37" i="16"/>
  <c r="AC39" i="16"/>
  <c r="K33" i="16"/>
  <c r="AE33" i="16" s="1"/>
  <c r="AC72" i="16"/>
  <c r="AC74" i="16"/>
  <c r="AE74" i="16" s="1"/>
  <c r="AC76" i="16"/>
  <c r="AE76" i="16" s="1"/>
  <c r="N54" i="16"/>
  <c r="AC78" i="16"/>
  <c r="Q49" i="16" a="1"/>
  <c r="Q49" i="16" s="1"/>
  <c r="Q48" i="16" a="1"/>
  <c r="Q48" i="16" s="1"/>
  <c r="Q24" i="16"/>
  <c r="E23" i="16"/>
  <c r="N28" i="16" a="1"/>
  <c r="N28" i="16" s="1"/>
  <c r="N27" i="16" a="1"/>
  <c r="N27" i="16" s="1"/>
  <c r="Q25" i="16"/>
  <c r="E25" i="16"/>
  <c r="T67" i="16"/>
  <c r="F67" i="16"/>
  <c r="E65" i="16"/>
  <c r="T66" i="16" s="1"/>
  <c r="N70" i="16" a="1"/>
  <c r="N70" i="16" s="1"/>
  <c r="N69" i="16" a="1"/>
  <c r="N69" i="16" s="1"/>
  <c r="E46" i="16"/>
  <c r="T46" i="16" s="1"/>
  <c r="E44" i="16"/>
  <c r="T45" i="16" s="1"/>
  <c r="R28" i="14"/>
  <c r="R27" i="14"/>
  <c r="R21" i="14"/>
  <c r="R23" i="14"/>
  <c r="R20" i="14"/>
  <c r="R24" i="14"/>
  <c r="H21" i="14"/>
  <c r="I21" i="14" s="1"/>
  <c r="J21" i="14" s="1"/>
  <c r="H29" i="14"/>
  <c r="I29" i="14" s="1"/>
  <c r="J29" i="14" s="1"/>
  <c r="R22" i="14"/>
  <c r="R25" i="14"/>
  <c r="R26" i="14"/>
  <c r="R29" i="14"/>
  <c r="F85" i="13"/>
  <c r="F84" i="13"/>
  <c r="F83" i="13"/>
  <c r="F82" i="13"/>
  <c r="F81" i="13"/>
  <c r="F80" i="13"/>
  <c r="F79" i="13"/>
  <c r="F78" i="13"/>
  <c r="F77" i="13"/>
  <c r="F76" i="13"/>
  <c r="F71" i="13"/>
  <c r="F70" i="13"/>
  <c r="F69" i="13"/>
  <c r="F68" i="13"/>
  <c r="F67" i="13"/>
  <c r="F66" i="13"/>
  <c r="F65" i="13"/>
  <c r="F64" i="13"/>
  <c r="F63" i="13"/>
  <c r="F62" i="13"/>
  <c r="F57" i="13"/>
  <c r="F56" i="13"/>
  <c r="F55" i="13"/>
  <c r="F54" i="13"/>
  <c r="F53" i="13"/>
  <c r="F52" i="13"/>
  <c r="F51" i="13"/>
  <c r="F50" i="13"/>
  <c r="F49" i="13"/>
  <c r="F48" i="13"/>
  <c r="F43" i="13"/>
  <c r="F42" i="13"/>
  <c r="F41" i="13"/>
  <c r="F40" i="13"/>
  <c r="F39" i="13"/>
  <c r="F38" i="13"/>
  <c r="F37" i="13"/>
  <c r="F36" i="13"/>
  <c r="F35" i="13"/>
  <c r="F34" i="13"/>
  <c r="G90" i="13"/>
  <c r="F90" i="13"/>
  <c r="E90" i="13"/>
  <c r="D90" i="13"/>
  <c r="B10" i="13"/>
  <c r="D19" i="13" s="1"/>
  <c r="E19" i="13" s="1"/>
  <c r="G19" i="13" s="1"/>
  <c r="H19" i="13" s="1"/>
  <c r="I81" i="23" l="1"/>
  <c r="R42" i="23"/>
  <c r="S31" i="23"/>
  <c r="F35" i="24"/>
  <c r="F39" i="24"/>
  <c r="F33" i="24"/>
  <c r="F42" i="24"/>
  <c r="F36" i="24"/>
  <c r="F83" i="24"/>
  <c r="F81" i="24"/>
  <c r="F79" i="24"/>
  <c r="F77" i="24"/>
  <c r="F75" i="24"/>
  <c r="F73" i="24"/>
  <c r="F71" i="24"/>
  <c r="F69" i="24"/>
  <c r="F67" i="24"/>
  <c r="F65" i="24"/>
  <c r="F63" i="24"/>
  <c r="F61" i="24"/>
  <c r="F59" i="24"/>
  <c r="F57" i="24"/>
  <c r="F55" i="24"/>
  <c r="F53" i="24"/>
  <c r="F51" i="24"/>
  <c r="F49" i="24"/>
  <c r="F47" i="24"/>
  <c r="F45" i="24"/>
  <c r="F40" i="24"/>
  <c r="F43" i="24"/>
  <c r="F34" i="24"/>
  <c r="F37" i="24"/>
  <c r="F41" i="24"/>
  <c r="F82" i="24"/>
  <c r="F80" i="24"/>
  <c r="F78" i="24"/>
  <c r="F76" i="24"/>
  <c r="F74" i="24"/>
  <c r="F72" i="24"/>
  <c r="F70" i="24"/>
  <c r="F68" i="24"/>
  <c r="F66" i="24"/>
  <c r="F64" i="24"/>
  <c r="F62" i="24"/>
  <c r="F60" i="24"/>
  <c r="F58" i="24"/>
  <c r="F56" i="24"/>
  <c r="F54" i="24"/>
  <c r="F52" i="24"/>
  <c r="F50" i="24"/>
  <c r="F48" i="24"/>
  <c r="F46" i="24"/>
  <c r="F44" i="24"/>
  <c r="F38" i="24"/>
  <c r="I83" i="23"/>
  <c r="I39" i="23"/>
  <c r="I38" i="23"/>
  <c r="I58" i="23"/>
  <c r="O52" i="23"/>
  <c r="P52" i="23" s="1"/>
  <c r="U40" i="23" s="1"/>
  <c r="I68" i="23"/>
  <c r="I65" i="23"/>
  <c r="I35" i="23"/>
  <c r="I50" i="23"/>
  <c r="I33" i="23"/>
  <c r="I80" i="23"/>
  <c r="I41" i="23"/>
  <c r="I64" i="23"/>
  <c r="I73" i="23"/>
  <c r="I79" i="23"/>
  <c r="O36" i="23"/>
  <c r="P36" i="23" s="1"/>
  <c r="U37" i="23" s="1"/>
  <c r="I78" i="23"/>
  <c r="O33" i="23"/>
  <c r="P33" i="23" s="1"/>
  <c r="U34" i="23" s="1"/>
  <c r="T36" i="23"/>
  <c r="I42" i="23"/>
  <c r="I46" i="23"/>
  <c r="I57" i="23"/>
  <c r="I76" i="23"/>
  <c r="I72" i="23"/>
  <c r="I44" i="23"/>
  <c r="I71" i="23"/>
  <c r="I74" i="23"/>
  <c r="I63" i="23"/>
  <c r="I51" i="23"/>
  <c r="I77" i="23"/>
  <c r="I54" i="23"/>
  <c r="I34" i="23"/>
  <c r="I48" i="23"/>
  <c r="I52" i="23"/>
  <c r="I36" i="23"/>
  <c r="I66" i="23"/>
  <c r="T38" i="23"/>
  <c r="I45" i="23"/>
  <c r="O72" i="23"/>
  <c r="P72" i="23" s="1"/>
  <c r="U42" i="23" s="1"/>
  <c r="I40" i="23"/>
  <c r="I70" i="23"/>
  <c r="O62" i="23"/>
  <c r="P62" i="23" s="1"/>
  <c r="U41" i="23" s="1"/>
  <c r="I67" i="23"/>
  <c r="I75" i="23"/>
  <c r="I55" i="23"/>
  <c r="I53" i="23"/>
  <c r="I69" i="23"/>
  <c r="I37" i="23"/>
  <c r="I62" i="23"/>
  <c r="I60" i="23"/>
  <c r="T43" i="23"/>
  <c r="I56" i="23"/>
  <c r="I43" i="23"/>
  <c r="I59" i="23"/>
  <c r="I49" i="23"/>
  <c r="I61" i="23"/>
  <c r="I47" i="23"/>
  <c r="I82" i="23"/>
  <c r="O42" i="23"/>
  <c r="P42" i="23" s="1"/>
  <c r="U39" i="23" s="1"/>
  <c r="T39" i="23"/>
  <c r="T35" i="23"/>
  <c r="O34" i="23"/>
  <c r="P34" i="23" s="1"/>
  <c r="U35" i="23" s="1"/>
  <c r="AE32" i="16"/>
  <c r="AE36" i="16"/>
  <c r="AE60" i="16"/>
  <c r="T72" i="19" a="1"/>
  <c r="T72" i="19" s="1"/>
  <c r="T79" i="19" s="1"/>
  <c r="G27" i="19"/>
  <c r="Z27" i="19" s="1"/>
  <c r="W27" i="19"/>
  <c r="T29" i="19" a="1"/>
  <c r="T29" i="19" s="1"/>
  <c r="T30" i="19" a="1"/>
  <c r="T30" i="19" s="1"/>
  <c r="G25" i="19"/>
  <c r="Z26" i="19" s="1"/>
  <c r="W26" i="19"/>
  <c r="Q40" i="19"/>
  <c r="Q38" i="19"/>
  <c r="Q36" i="19"/>
  <c r="Q34" i="19"/>
  <c r="Q32" i="19"/>
  <c r="Q41" i="19"/>
  <c r="Q39" i="19"/>
  <c r="Q37" i="19"/>
  <c r="Q35" i="19"/>
  <c r="Q33" i="19"/>
  <c r="W69" i="19"/>
  <c r="W71" i="19" s="1" a="1"/>
  <c r="W71" i="19" s="1"/>
  <c r="G69" i="19"/>
  <c r="Z69" i="19" s="1"/>
  <c r="Z72" i="19" a="1"/>
  <c r="Z72" i="19" s="1"/>
  <c r="Z71" i="19" a="1"/>
  <c r="Z71" i="19" s="1"/>
  <c r="G46" i="19"/>
  <c r="Z47" i="19" s="1"/>
  <c r="W47" i="19"/>
  <c r="Q83" i="19"/>
  <c r="Q81" i="19"/>
  <c r="Q75" i="19"/>
  <c r="Q79" i="19"/>
  <c r="Q82" i="19"/>
  <c r="Q80" i="19"/>
  <c r="Q78" i="19"/>
  <c r="Q76" i="19"/>
  <c r="Q74" i="19"/>
  <c r="Q77" i="19"/>
  <c r="W48" i="19"/>
  <c r="G48" i="19"/>
  <c r="Z48" i="19" s="1"/>
  <c r="Q56" i="19"/>
  <c r="Q54" i="19"/>
  <c r="Q58" i="19"/>
  <c r="Q62" i="19"/>
  <c r="Q61" i="19"/>
  <c r="Q59" i="19"/>
  <c r="Q57" i="19"/>
  <c r="Q55" i="19"/>
  <c r="Q53" i="19"/>
  <c r="Q60" i="19"/>
  <c r="T51" i="19" a="1"/>
  <c r="T51" i="19" s="1"/>
  <c r="T50" i="19" a="1"/>
  <c r="T50" i="19" s="1"/>
  <c r="AE30" i="16"/>
  <c r="AE31" i="16"/>
  <c r="AE58" i="16"/>
  <c r="AE56" i="16"/>
  <c r="AE35" i="16"/>
  <c r="AE38" i="16"/>
  <c r="AE52" i="16"/>
  <c r="AE78" i="16"/>
  <c r="AE77" i="16"/>
  <c r="AE34" i="16"/>
  <c r="AE79" i="16"/>
  <c r="AE73" i="16"/>
  <c r="AE80" i="16"/>
  <c r="AE39" i="16"/>
  <c r="AE57" i="16"/>
  <c r="N61" i="16"/>
  <c r="AE37" i="16"/>
  <c r="AE72" i="16"/>
  <c r="AE53" i="16"/>
  <c r="AE59" i="16"/>
  <c r="AE51" i="16"/>
  <c r="T49" i="16" a="1"/>
  <c r="T49" i="16" s="1"/>
  <c r="T48" i="16" a="1"/>
  <c r="T48" i="16" s="1"/>
  <c r="Q54" i="16"/>
  <c r="Q59" i="16"/>
  <c r="Q61" i="16" s="1"/>
  <c r="Q52" i="16"/>
  <c r="Q56" i="16"/>
  <c r="Q58" i="16"/>
  <c r="Q60" i="16"/>
  <c r="Q57" i="16"/>
  <c r="Q51" i="16"/>
  <c r="Q53" i="16"/>
  <c r="Q55" i="16"/>
  <c r="T25" i="16"/>
  <c r="F25" i="16"/>
  <c r="N38" i="16"/>
  <c r="N40" i="16" s="1"/>
  <c r="N36" i="16"/>
  <c r="N34" i="16"/>
  <c r="N32" i="16"/>
  <c r="N30" i="16"/>
  <c r="N39" i="16"/>
  <c r="N37" i="16"/>
  <c r="N35" i="16"/>
  <c r="N33" i="16"/>
  <c r="N31" i="16"/>
  <c r="T24" i="16"/>
  <c r="F23" i="16"/>
  <c r="Q27" i="16" a="1"/>
  <c r="Q27" i="16" s="1"/>
  <c r="Q28" i="16" a="1"/>
  <c r="Q28" i="16" s="1"/>
  <c r="F65" i="16"/>
  <c r="W66" i="16" s="1"/>
  <c r="N80" i="16"/>
  <c r="N82" i="16" s="1"/>
  <c r="N78" i="16"/>
  <c r="N76" i="16"/>
  <c r="N74" i="16"/>
  <c r="N72" i="16"/>
  <c r="N81" i="16"/>
  <c r="N79" i="16"/>
  <c r="N77" i="16"/>
  <c r="N75" i="16"/>
  <c r="N73" i="16"/>
  <c r="Q69" i="16" a="1"/>
  <c r="Q69" i="16" s="1"/>
  <c r="Q70" i="16" a="1"/>
  <c r="Q70" i="16" s="1"/>
  <c r="G67" i="16"/>
  <c r="Z67" i="16" s="1"/>
  <c r="W67" i="16"/>
  <c r="F44" i="16"/>
  <c r="W45" i="16" s="1"/>
  <c r="F46" i="16"/>
  <c r="W46" i="16" s="1"/>
  <c r="D21" i="13"/>
  <c r="E21" i="13" s="1"/>
  <c r="G21" i="13" s="1"/>
  <c r="H21" i="13" s="1"/>
  <c r="I21" i="13" s="1"/>
  <c r="C94" i="13" s="1"/>
  <c r="D23" i="13"/>
  <c r="E23" i="13" s="1"/>
  <c r="G23" i="13" s="1"/>
  <c r="H23" i="13" s="1"/>
  <c r="I23" i="13" s="1"/>
  <c r="D27" i="13"/>
  <c r="E27" i="13" s="1"/>
  <c r="G27" i="13" s="1"/>
  <c r="H27" i="13" s="1"/>
  <c r="I27" i="13" s="1"/>
  <c r="C100" i="13" s="1"/>
  <c r="D20" i="13"/>
  <c r="E20" i="13" s="1"/>
  <c r="G20" i="13" s="1"/>
  <c r="H20" i="13" s="1"/>
  <c r="I20" i="13" s="1"/>
  <c r="C93" i="13" s="1"/>
  <c r="D26" i="13"/>
  <c r="E26" i="13" s="1"/>
  <c r="G26" i="13" s="1"/>
  <c r="H26" i="13" s="1"/>
  <c r="I26" i="13" s="1"/>
  <c r="C99" i="13" s="1"/>
  <c r="M21" i="13"/>
  <c r="N21" i="13" s="1"/>
  <c r="P21" i="13" s="1"/>
  <c r="D22" i="13"/>
  <c r="E22" i="13" s="1"/>
  <c r="G22" i="13" s="1"/>
  <c r="H22" i="13" s="1"/>
  <c r="I22" i="13" s="1"/>
  <c r="C95" i="13" s="1"/>
  <c r="D25" i="13"/>
  <c r="E25" i="13" s="1"/>
  <c r="G25" i="13" s="1"/>
  <c r="H25" i="13" s="1"/>
  <c r="I25" i="13" s="1"/>
  <c r="C98" i="13" s="1"/>
  <c r="D24" i="13"/>
  <c r="E24" i="13" s="1"/>
  <c r="G24" i="13" s="1"/>
  <c r="H24" i="13" s="1"/>
  <c r="I24" i="13" s="1"/>
  <c r="C97" i="13" s="1"/>
  <c r="M27" i="13"/>
  <c r="N27" i="13" s="1"/>
  <c r="P27" i="13" s="1"/>
  <c r="D28" i="13"/>
  <c r="E28" i="13" s="1"/>
  <c r="G28" i="13" s="1"/>
  <c r="H28" i="13" s="1"/>
  <c r="I28" i="13" s="1"/>
  <c r="C101" i="13" s="1"/>
  <c r="D62" i="13"/>
  <c r="E62" i="13" s="1"/>
  <c r="G62" i="13" s="1"/>
  <c r="H62" i="13" s="1"/>
  <c r="I62" i="13" s="1"/>
  <c r="F92" i="13" s="1"/>
  <c r="D85" i="13"/>
  <c r="E85" i="13" s="1"/>
  <c r="G85" i="13" s="1"/>
  <c r="H85" i="13" s="1"/>
  <c r="I85" i="13" s="1"/>
  <c r="G101" i="13" s="1"/>
  <c r="D35" i="13"/>
  <c r="E35" i="13" s="1"/>
  <c r="D53" i="13"/>
  <c r="E53" i="13" s="1"/>
  <c r="D34" i="13"/>
  <c r="E34" i="13" s="1"/>
  <c r="G34" i="13" s="1"/>
  <c r="H34" i="13" s="1"/>
  <c r="I34" i="13" s="1"/>
  <c r="D92" i="13" s="1"/>
  <c r="D37" i="13"/>
  <c r="E37" i="13" s="1"/>
  <c r="D38" i="13"/>
  <c r="E38" i="13" s="1"/>
  <c r="G38" i="13" s="1"/>
  <c r="H38" i="13" s="1"/>
  <c r="I38" i="13" s="1"/>
  <c r="D96" i="13" s="1"/>
  <c r="D48" i="13"/>
  <c r="E48" i="13" s="1"/>
  <c r="G48" i="13" s="1"/>
  <c r="H48" i="13" s="1"/>
  <c r="I48" i="13" s="1"/>
  <c r="E92" i="13" s="1"/>
  <c r="D52" i="13"/>
  <c r="E52" i="13" s="1"/>
  <c r="G52" i="13" s="1"/>
  <c r="H52" i="13" s="1"/>
  <c r="I52" i="13" s="1"/>
  <c r="E96" i="13" s="1"/>
  <c r="D54" i="13"/>
  <c r="E54" i="13" s="1"/>
  <c r="G54" i="13" s="1"/>
  <c r="H54" i="13" s="1"/>
  <c r="I54" i="13" s="1"/>
  <c r="E98" i="13" s="1"/>
  <c r="D70" i="13"/>
  <c r="E70" i="13" s="1"/>
  <c r="G70" i="13" s="1"/>
  <c r="H70" i="13" s="1"/>
  <c r="I70" i="13" s="1"/>
  <c r="F100" i="13" s="1"/>
  <c r="D83" i="13"/>
  <c r="E83" i="13" s="1"/>
  <c r="D79" i="13"/>
  <c r="E79" i="13" s="1"/>
  <c r="G79" i="13" s="1"/>
  <c r="H79" i="13" s="1"/>
  <c r="I79" i="13" s="1"/>
  <c r="G95" i="13" s="1"/>
  <c r="D71" i="13"/>
  <c r="E71" i="13" s="1"/>
  <c r="D67" i="13"/>
  <c r="E67" i="13" s="1"/>
  <c r="G67" i="13" s="1"/>
  <c r="H67" i="13" s="1"/>
  <c r="I67" i="13" s="1"/>
  <c r="F97" i="13" s="1"/>
  <c r="D63" i="13"/>
  <c r="E63" i="13" s="1"/>
  <c r="D55" i="13"/>
  <c r="E55" i="13" s="1"/>
  <c r="G55" i="13" s="1"/>
  <c r="H55" i="13" s="1"/>
  <c r="I55" i="13" s="1"/>
  <c r="E99" i="13" s="1"/>
  <c r="D51" i="13"/>
  <c r="E51" i="13" s="1"/>
  <c r="G51" i="13" s="1"/>
  <c r="H51" i="13" s="1"/>
  <c r="I51" i="13" s="1"/>
  <c r="E95" i="13" s="1"/>
  <c r="D43" i="13"/>
  <c r="E43" i="13" s="1"/>
  <c r="G43" i="13" s="1"/>
  <c r="H43" i="13" s="1"/>
  <c r="I43" i="13" s="1"/>
  <c r="D101" i="13" s="1"/>
  <c r="D39" i="13"/>
  <c r="E39" i="13" s="1"/>
  <c r="G39" i="13" s="1"/>
  <c r="H39" i="13" s="1"/>
  <c r="I39" i="13" s="1"/>
  <c r="D97" i="13" s="1"/>
  <c r="D84" i="13"/>
  <c r="E84" i="13" s="1"/>
  <c r="G84" i="13" s="1"/>
  <c r="H84" i="13" s="1"/>
  <c r="I84" i="13" s="1"/>
  <c r="G100" i="13" s="1"/>
  <c r="D80" i="13"/>
  <c r="E80" i="13" s="1"/>
  <c r="G80" i="13" s="1"/>
  <c r="H80" i="13" s="1"/>
  <c r="I80" i="13" s="1"/>
  <c r="G96" i="13" s="1"/>
  <c r="D76" i="13"/>
  <c r="E76" i="13" s="1"/>
  <c r="G76" i="13" s="1"/>
  <c r="H76" i="13" s="1"/>
  <c r="I76" i="13" s="1"/>
  <c r="G92" i="13" s="1"/>
  <c r="D68" i="13"/>
  <c r="E68" i="13" s="1"/>
  <c r="G68" i="13" s="1"/>
  <c r="H68" i="13" s="1"/>
  <c r="I68" i="13" s="1"/>
  <c r="F98" i="13" s="1"/>
  <c r="D66" i="13"/>
  <c r="E66" i="13" s="1"/>
  <c r="G66" i="13" s="1"/>
  <c r="H66" i="13" s="1"/>
  <c r="I66" i="13" s="1"/>
  <c r="F96" i="13" s="1"/>
  <c r="D57" i="13"/>
  <c r="E57" i="13" s="1"/>
  <c r="G57" i="13" s="1"/>
  <c r="H57" i="13" s="1"/>
  <c r="I57" i="13" s="1"/>
  <c r="E101" i="13" s="1"/>
  <c r="D56" i="13"/>
  <c r="E56" i="13" s="1"/>
  <c r="G56" i="13" s="1"/>
  <c r="H56" i="13" s="1"/>
  <c r="I56" i="13" s="1"/>
  <c r="E100" i="13" s="1"/>
  <c r="D42" i="13"/>
  <c r="E42" i="13" s="1"/>
  <c r="G42" i="13" s="1"/>
  <c r="H42" i="13" s="1"/>
  <c r="I42" i="13" s="1"/>
  <c r="D100" i="13" s="1"/>
  <c r="D81" i="13"/>
  <c r="E81" i="13" s="1"/>
  <c r="G81" i="13" s="1"/>
  <c r="H81" i="13" s="1"/>
  <c r="I81" i="13" s="1"/>
  <c r="G97" i="13" s="1"/>
  <c r="D78" i="13"/>
  <c r="E78" i="13" s="1"/>
  <c r="G78" i="13" s="1"/>
  <c r="H78" i="13" s="1"/>
  <c r="I78" i="13" s="1"/>
  <c r="G94" i="13" s="1"/>
  <c r="D69" i="13"/>
  <c r="E69" i="13" s="1"/>
  <c r="G69" i="13" s="1"/>
  <c r="H69" i="13" s="1"/>
  <c r="I69" i="13" s="1"/>
  <c r="F99" i="13" s="1"/>
  <c r="D65" i="13"/>
  <c r="E65" i="13" s="1"/>
  <c r="G65" i="13" s="1"/>
  <c r="H65" i="13" s="1"/>
  <c r="I65" i="13" s="1"/>
  <c r="F95" i="13" s="1"/>
  <c r="D64" i="13"/>
  <c r="E64" i="13" s="1"/>
  <c r="G64" i="13" s="1"/>
  <c r="H64" i="13" s="1"/>
  <c r="I64" i="13" s="1"/>
  <c r="F94" i="13" s="1"/>
  <c r="D50" i="13"/>
  <c r="E50" i="13" s="1"/>
  <c r="G50" i="13" s="1"/>
  <c r="H50" i="13" s="1"/>
  <c r="I50" i="13" s="1"/>
  <c r="E94" i="13" s="1"/>
  <c r="D41" i="13"/>
  <c r="E41" i="13" s="1"/>
  <c r="G41" i="13" s="1"/>
  <c r="H41" i="13" s="1"/>
  <c r="I41" i="13" s="1"/>
  <c r="D99" i="13" s="1"/>
  <c r="D40" i="13"/>
  <c r="E40" i="13" s="1"/>
  <c r="G40" i="13" s="1"/>
  <c r="H40" i="13" s="1"/>
  <c r="I40" i="13" s="1"/>
  <c r="D98" i="13" s="1"/>
  <c r="D36" i="13"/>
  <c r="E36" i="13" s="1"/>
  <c r="G36" i="13" s="1"/>
  <c r="H36" i="13" s="1"/>
  <c r="I36" i="13" s="1"/>
  <c r="D94" i="13" s="1"/>
  <c r="D49" i="13"/>
  <c r="E49" i="13" s="1"/>
  <c r="M67" i="13"/>
  <c r="N67" i="13" s="1"/>
  <c r="D77" i="13"/>
  <c r="E77" i="13" s="1"/>
  <c r="G77" i="13" s="1"/>
  <c r="H77" i="13" s="1"/>
  <c r="I77" i="13" s="1"/>
  <c r="G93" i="13" s="1"/>
  <c r="D82" i="13"/>
  <c r="E82" i="13" s="1"/>
  <c r="G82" i="13" s="1"/>
  <c r="H82" i="13" s="1"/>
  <c r="I82" i="13" s="1"/>
  <c r="G98" i="13" s="1"/>
  <c r="R38" i="23" l="1"/>
  <c r="S30" i="23"/>
  <c r="R35" i="23"/>
  <c r="S29" i="23"/>
  <c r="L48" i="24"/>
  <c r="M48" i="24" s="1"/>
  <c r="N48" i="24" s="1"/>
  <c r="O48" i="24" s="1"/>
  <c r="P48" i="24" s="1"/>
  <c r="I48" i="24"/>
  <c r="L80" i="24"/>
  <c r="M80" i="24" s="1"/>
  <c r="N80" i="24" s="1"/>
  <c r="O80" i="24" s="1"/>
  <c r="P80" i="24" s="1"/>
  <c r="I80" i="24"/>
  <c r="L63" i="24"/>
  <c r="M63" i="24" s="1"/>
  <c r="N63" i="24" s="1"/>
  <c r="O63" i="24" s="1"/>
  <c r="P63" i="24" s="1"/>
  <c r="I63" i="24"/>
  <c r="L71" i="24"/>
  <c r="M71" i="24" s="1"/>
  <c r="N71" i="24" s="1"/>
  <c r="O71" i="24" s="1"/>
  <c r="P71" i="24" s="1"/>
  <c r="I71" i="24"/>
  <c r="L40" i="24"/>
  <c r="M40" i="24" s="1"/>
  <c r="N40" i="24" s="1"/>
  <c r="O40" i="24" s="1"/>
  <c r="P40" i="24" s="1"/>
  <c r="I40" i="24"/>
  <c r="L75" i="24"/>
  <c r="M75" i="24" s="1"/>
  <c r="N75" i="24" s="1"/>
  <c r="O75" i="24" s="1"/>
  <c r="P75" i="24" s="1"/>
  <c r="I75" i="24"/>
  <c r="L52" i="24"/>
  <c r="M52" i="24" s="1"/>
  <c r="N52" i="24" s="1"/>
  <c r="I52" i="24"/>
  <c r="L62" i="24"/>
  <c r="M62" i="24" s="1"/>
  <c r="N62" i="24" s="1"/>
  <c r="I62" i="24"/>
  <c r="L45" i="24"/>
  <c r="M45" i="24" s="1"/>
  <c r="N45" i="24" s="1"/>
  <c r="O45" i="24" s="1"/>
  <c r="P45" i="24" s="1"/>
  <c r="I45" i="24"/>
  <c r="L77" i="24"/>
  <c r="M77" i="24" s="1"/>
  <c r="N77" i="24" s="1"/>
  <c r="O77" i="24" s="1"/>
  <c r="P77" i="24" s="1"/>
  <c r="I77" i="24"/>
  <c r="L41" i="24"/>
  <c r="M41" i="24" s="1"/>
  <c r="N41" i="24" s="1"/>
  <c r="O41" i="24" s="1"/>
  <c r="P41" i="24" s="1"/>
  <c r="I41" i="24"/>
  <c r="L34" i="24"/>
  <c r="M34" i="24" s="1"/>
  <c r="N34" i="24" s="1"/>
  <c r="I34" i="24"/>
  <c r="L64" i="24"/>
  <c r="M64" i="24" s="1"/>
  <c r="N64" i="24" s="1"/>
  <c r="O64" i="24" s="1"/>
  <c r="P64" i="24" s="1"/>
  <c r="I64" i="24"/>
  <c r="L47" i="24"/>
  <c r="M47" i="24" s="1"/>
  <c r="N47" i="24" s="1"/>
  <c r="O47" i="24" s="1"/>
  <c r="P47" i="24" s="1"/>
  <c r="I47" i="24"/>
  <c r="L79" i="24"/>
  <c r="M79" i="24" s="1"/>
  <c r="N79" i="24" s="1"/>
  <c r="O79" i="24" s="1"/>
  <c r="P79" i="24" s="1"/>
  <c r="I79" i="24"/>
  <c r="L66" i="24"/>
  <c r="M66" i="24" s="1"/>
  <c r="N66" i="24" s="1"/>
  <c r="O66" i="24" s="1"/>
  <c r="P66" i="24" s="1"/>
  <c r="I66" i="24"/>
  <c r="L49" i="24"/>
  <c r="M49" i="24" s="1"/>
  <c r="N49" i="24" s="1"/>
  <c r="O49" i="24" s="1"/>
  <c r="P49" i="24" s="1"/>
  <c r="I49" i="24"/>
  <c r="L81" i="24"/>
  <c r="M81" i="24" s="1"/>
  <c r="N81" i="24" s="1"/>
  <c r="O81" i="24" s="1"/>
  <c r="P81" i="24" s="1"/>
  <c r="I81" i="24"/>
  <c r="L82" i="24"/>
  <c r="M82" i="24" s="1"/>
  <c r="N82" i="24" s="1"/>
  <c r="I82" i="24"/>
  <c r="L69" i="24"/>
  <c r="M69" i="24" s="1"/>
  <c r="N69" i="24" s="1"/>
  <c r="O69" i="24" s="1"/>
  <c r="P69" i="24" s="1"/>
  <c r="I69" i="24"/>
  <c r="L43" i="24"/>
  <c r="M43" i="24" s="1"/>
  <c r="N43" i="24" s="1"/>
  <c r="O43" i="24" s="1"/>
  <c r="P43" i="24" s="1"/>
  <c r="I43" i="24"/>
  <c r="L68" i="24"/>
  <c r="M68" i="24" s="1"/>
  <c r="N68" i="24" s="1"/>
  <c r="O68" i="24" s="1"/>
  <c r="P68" i="24" s="1"/>
  <c r="I68" i="24"/>
  <c r="L51" i="24"/>
  <c r="M51" i="24" s="1"/>
  <c r="N51" i="24" s="1"/>
  <c r="O51" i="24" s="1"/>
  <c r="P51" i="24" s="1"/>
  <c r="I51" i="24"/>
  <c r="L83" i="24"/>
  <c r="M83" i="24" s="1"/>
  <c r="N83" i="24" s="1"/>
  <c r="O83" i="24" s="1"/>
  <c r="P83" i="24" s="1"/>
  <c r="I83" i="24"/>
  <c r="L50" i="24"/>
  <c r="M50" i="24" s="1"/>
  <c r="N50" i="24" s="1"/>
  <c r="O50" i="24" s="1"/>
  <c r="P50" i="24" s="1"/>
  <c r="I50" i="24"/>
  <c r="L37" i="24"/>
  <c r="M37" i="24" s="1"/>
  <c r="N37" i="24" s="1"/>
  <c r="I37" i="24"/>
  <c r="L58" i="24"/>
  <c r="M58" i="24" s="1"/>
  <c r="N58" i="24" s="1"/>
  <c r="O58" i="24" s="1"/>
  <c r="P58" i="24" s="1"/>
  <c r="I58" i="24"/>
  <c r="L70" i="24"/>
  <c r="M70" i="24" s="1"/>
  <c r="N70" i="24" s="1"/>
  <c r="O70" i="24" s="1"/>
  <c r="P70" i="24" s="1"/>
  <c r="I70" i="24"/>
  <c r="L53" i="24"/>
  <c r="M53" i="24" s="1"/>
  <c r="N53" i="24" s="1"/>
  <c r="O53" i="24" s="1"/>
  <c r="P53" i="24" s="1"/>
  <c r="I53" i="24"/>
  <c r="L36" i="24"/>
  <c r="M36" i="24" s="1"/>
  <c r="N36" i="24" s="1"/>
  <c r="I36" i="24"/>
  <c r="L73" i="24"/>
  <c r="M73" i="24" s="1"/>
  <c r="N73" i="24" s="1"/>
  <c r="O73" i="24" s="1"/>
  <c r="P73" i="24" s="1"/>
  <c r="I73" i="24"/>
  <c r="L72" i="24"/>
  <c r="M72" i="24" s="1"/>
  <c r="N72" i="24" s="1"/>
  <c r="I72" i="24"/>
  <c r="L55" i="24"/>
  <c r="M55" i="24" s="1"/>
  <c r="N55" i="24" s="1"/>
  <c r="O55" i="24" s="1"/>
  <c r="P55" i="24" s="1"/>
  <c r="I55" i="24"/>
  <c r="L42" i="24"/>
  <c r="M42" i="24" s="1"/>
  <c r="N42" i="24" s="1"/>
  <c r="I42" i="24"/>
  <c r="L67" i="24"/>
  <c r="M67" i="24" s="1"/>
  <c r="N67" i="24" s="1"/>
  <c r="O67" i="24" s="1"/>
  <c r="P67" i="24" s="1"/>
  <c r="I67" i="24"/>
  <c r="L56" i="24"/>
  <c r="M56" i="24" s="1"/>
  <c r="N56" i="24" s="1"/>
  <c r="O56" i="24" s="1"/>
  <c r="P56" i="24" s="1"/>
  <c r="I56" i="24"/>
  <c r="L38" i="24"/>
  <c r="M38" i="24" s="1"/>
  <c r="N38" i="24" s="1"/>
  <c r="O38" i="24" s="1"/>
  <c r="P38" i="24" s="1"/>
  <c r="I38" i="24"/>
  <c r="L74" i="24"/>
  <c r="M74" i="24" s="1"/>
  <c r="N74" i="24" s="1"/>
  <c r="O74" i="24" s="1"/>
  <c r="P74" i="24" s="1"/>
  <c r="I74" i="24"/>
  <c r="L57" i="24"/>
  <c r="M57" i="24" s="1"/>
  <c r="N57" i="24" s="1"/>
  <c r="O57" i="24" s="1"/>
  <c r="P57" i="24" s="1"/>
  <c r="I57" i="24"/>
  <c r="L33" i="24"/>
  <c r="M33" i="24" s="1"/>
  <c r="N33" i="24" s="1"/>
  <c r="I33" i="24"/>
  <c r="L65" i="24"/>
  <c r="M65" i="24" s="1"/>
  <c r="N65" i="24" s="1"/>
  <c r="O65" i="24" s="1"/>
  <c r="P65" i="24" s="1"/>
  <c r="I65" i="24"/>
  <c r="L54" i="24"/>
  <c r="M54" i="24" s="1"/>
  <c r="N54" i="24" s="1"/>
  <c r="O54" i="24" s="1"/>
  <c r="P54" i="24" s="1"/>
  <c r="I54" i="24"/>
  <c r="L60" i="24"/>
  <c r="M60" i="24" s="1"/>
  <c r="N60" i="24" s="1"/>
  <c r="O60" i="24" s="1"/>
  <c r="P60" i="24" s="1"/>
  <c r="I60" i="24"/>
  <c r="L44" i="24"/>
  <c r="M44" i="24" s="1"/>
  <c r="N44" i="24" s="1"/>
  <c r="O44" i="24" s="1"/>
  <c r="P44" i="24" s="1"/>
  <c r="I44" i="24"/>
  <c r="L76" i="24"/>
  <c r="M76" i="24" s="1"/>
  <c r="N76" i="24" s="1"/>
  <c r="O76" i="24" s="1"/>
  <c r="P76" i="24" s="1"/>
  <c r="I76" i="24"/>
  <c r="L59" i="24"/>
  <c r="M59" i="24" s="1"/>
  <c r="N59" i="24" s="1"/>
  <c r="O59" i="24" s="1"/>
  <c r="P59" i="24" s="1"/>
  <c r="I59" i="24"/>
  <c r="L39" i="24"/>
  <c r="M39" i="24" s="1"/>
  <c r="N39" i="24" s="1"/>
  <c r="O39" i="24" s="1"/>
  <c r="P39" i="24" s="1"/>
  <c r="I39" i="24"/>
  <c r="L46" i="24"/>
  <c r="M46" i="24" s="1"/>
  <c r="N46" i="24" s="1"/>
  <c r="O46" i="24" s="1"/>
  <c r="P46" i="24" s="1"/>
  <c r="I46" i="24"/>
  <c r="L78" i="24"/>
  <c r="M78" i="24" s="1"/>
  <c r="N78" i="24" s="1"/>
  <c r="O78" i="24" s="1"/>
  <c r="P78" i="24" s="1"/>
  <c r="I78" i="24"/>
  <c r="L61" i="24"/>
  <c r="M61" i="24" s="1"/>
  <c r="N61" i="24" s="1"/>
  <c r="O61" i="24" s="1"/>
  <c r="P61" i="24" s="1"/>
  <c r="I61" i="24"/>
  <c r="L35" i="24"/>
  <c r="M35" i="24" s="1"/>
  <c r="N35" i="24" s="1"/>
  <c r="I35" i="24"/>
  <c r="T77" i="19"/>
  <c r="T75" i="19"/>
  <c r="T78" i="19"/>
  <c r="T80" i="19"/>
  <c r="T74" i="19"/>
  <c r="T76" i="19"/>
  <c r="T82" i="19"/>
  <c r="T81" i="19"/>
  <c r="T83" i="19"/>
  <c r="W72" i="19" a="1"/>
  <c r="W72" i="19" s="1"/>
  <c r="W81" i="19" s="1"/>
  <c r="Z79" i="19"/>
  <c r="Z75" i="19"/>
  <c r="Z83" i="19"/>
  <c r="Z82" i="19"/>
  <c r="Z80" i="19"/>
  <c r="Z78" i="19"/>
  <c r="Z76" i="19"/>
  <c r="Z74" i="19"/>
  <c r="Z81" i="19"/>
  <c r="Z77" i="19"/>
  <c r="T62" i="19"/>
  <c r="T54" i="19"/>
  <c r="T56" i="19"/>
  <c r="T58" i="19"/>
  <c r="T61" i="19"/>
  <c r="T59" i="19"/>
  <c r="T57" i="19"/>
  <c r="T55" i="19"/>
  <c r="T53" i="19"/>
  <c r="T60" i="19"/>
  <c r="W30" i="19" a="1"/>
  <c r="W30" i="19" s="1"/>
  <c r="W29" i="19" a="1"/>
  <c r="W29" i="19" s="1"/>
  <c r="Z29" i="19" a="1"/>
  <c r="Z29" i="19" s="1"/>
  <c r="Z30" i="19" a="1"/>
  <c r="Z30" i="19" s="1"/>
  <c r="T37" i="19"/>
  <c r="T39" i="19"/>
  <c r="T35" i="19"/>
  <c r="T41" i="19"/>
  <c r="T33" i="19"/>
  <c r="T40" i="19"/>
  <c r="T38" i="19"/>
  <c r="T36" i="19"/>
  <c r="T34" i="19"/>
  <c r="T32" i="19"/>
  <c r="W51" i="19" a="1"/>
  <c r="W51" i="19" s="1"/>
  <c r="W50" i="19" a="1"/>
  <c r="W50" i="19" s="1"/>
  <c r="Z51" i="19" a="1"/>
  <c r="Z51" i="19" s="1"/>
  <c r="Z50" i="19" a="1"/>
  <c r="Z50" i="19" s="1"/>
  <c r="T55" i="16"/>
  <c r="T58" i="16"/>
  <c r="T51" i="16"/>
  <c r="T60" i="16"/>
  <c r="T53" i="16"/>
  <c r="T57" i="16"/>
  <c r="T59" i="16"/>
  <c r="T56" i="16"/>
  <c r="T52" i="16"/>
  <c r="T54" i="16"/>
  <c r="W49" i="16" a="1"/>
  <c r="W49" i="16" s="1"/>
  <c r="W48" i="16" a="1"/>
  <c r="W48" i="16" s="1"/>
  <c r="Q38" i="16"/>
  <c r="Q40" i="16" s="1"/>
  <c r="Q36" i="16"/>
  <c r="Q34" i="16"/>
  <c r="Q32" i="16"/>
  <c r="Q30" i="16"/>
  <c r="Q39" i="16"/>
  <c r="Q37" i="16"/>
  <c r="Q35" i="16"/>
  <c r="Q33" i="16"/>
  <c r="Q31" i="16"/>
  <c r="G25" i="16"/>
  <c r="Z25" i="16" s="1"/>
  <c r="W25" i="16"/>
  <c r="T27" i="16" a="1"/>
  <c r="T27" i="16" s="1"/>
  <c r="T28" i="16" a="1"/>
  <c r="T28" i="16" s="1"/>
  <c r="W24" i="16"/>
  <c r="G23" i="16"/>
  <c r="Z24" i="16" s="1"/>
  <c r="T69" i="16" a="1"/>
  <c r="T69" i="16" s="1"/>
  <c r="T70" i="16" a="1"/>
  <c r="T70" i="16" s="1"/>
  <c r="G65" i="16"/>
  <c r="Z66" i="16" s="1"/>
  <c r="Q80" i="16"/>
  <c r="Q82" i="16" s="1"/>
  <c r="Q78" i="16"/>
  <c r="Q76" i="16"/>
  <c r="Q74" i="16"/>
  <c r="Q72" i="16"/>
  <c r="Q81" i="16"/>
  <c r="Q79" i="16"/>
  <c r="Q77" i="16"/>
  <c r="Q75" i="16"/>
  <c r="Q73" i="16"/>
  <c r="G46" i="16"/>
  <c r="Z46" i="16" s="1"/>
  <c r="G44" i="16"/>
  <c r="Z45" i="16" s="1"/>
  <c r="M52" i="13"/>
  <c r="N52" i="13" s="1"/>
  <c r="P52" i="13" s="1"/>
  <c r="Q52" i="13" s="1"/>
  <c r="M50" i="13"/>
  <c r="N50" i="13" s="1"/>
  <c r="P50" i="13" s="1"/>
  <c r="Q50" i="13" s="1"/>
  <c r="M80" i="13"/>
  <c r="N80" i="13" s="1"/>
  <c r="P80" i="13" s="1"/>
  <c r="Q80" i="13" s="1"/>
  <c r="M51" i="13"/>
  <c r="N51" i="13" s="1"/>
  <c r="P51" i="13" s="1"/>
  <c r="Q51" i="13" s="1"/>
  <c r="M68" i="13"/>
  <c r="N68" i="13" s="1"/>
  <c r="P68" i="13" s="1"/>
  <c r="Q68" i="13" s="1"/>
  <c r="M70" i="13"/>
  <c r="N70" i="13" s="1"/>
  <c r="P70" i="13" s="1"/>
  <c r="Q70" i="13" s="1"/>
  <c r="Q27" i="13"/>
  <c r="M85" i="13"/>
  <c r="N85" i="13" s="1"/>
  <c r="P85" i="13" s="1"/>
  <c r="Q85" i="13" s="1"/>
  <c r="M54" i="13"/>
  <c r="N54" i="13" s="1"/>
  <c r="P54" i="13" s="1"/>
  <c r="Q54" i="13" s="1"/>
  <c r="M82" i="13"/>
  <c r="N82" i="13" s="1"/>
  <c r="P82" i="13" s="1"/>
  <c r="Q82" i="13" s="1"/>
  <c r="M79" i="13"/>
  <c r="N79" i="13" s="1"/>
  <c r="P79" i="13" s="1"/>
  <c r="Q79" i="13" s="1"/>
  <c r="M66" i="13"/>
  <c r="N66" i="13" s="1"/>
  <c r="P66" i="13" s="1"/>
  <c r="Q66" i="13" s="1"/>
  <c r="M55" i="13"/>
  <c r="N55" i="13" s="1"/>
  <c r="P55" i="13" s="1"/>
  <c r="Q55" i="13" s="1"/>
  <c r="M56" i="13"/>
  <c r="N56" i="13" s="1"/>
  <c r="P56" i="13" s="1"/>
  <c r="Q56" i="13" s="1"/>
  <c r="N36" i="13"/>
  <c r="P36" i="13" s="1"/>
  <c r="Q36" i="13" s="1"/>
  <c r="M38" i="13"/>
  <c r="N38" i="13" s="1"/>
  <c r="P38" i="13" s="1"/>
  <c r="Q38" i="13" s="1"/>
  <c r="M41" i="13"/>
  <c r="N41" i="13" s="1"/>
  <c r="P41" i="13" s="1"/>
  <c r="Q41" i="13" s="1"/>
  <c r="M65" i="13"/>
  <c r="N65" i="13" s="1"/>
  <c r="P65" i="13" s="1"/>
  <c r="Q65" i="13" s="1"/>
  <c r="M77" i="13"/>
  <c r="N77" i="13" s="1"/>
  <c r="P77" i="13" s="1"/>
  <c r="Q77" i="13" s="1"/>
  <c r="M23" i="13"/>
  <c r="N23" i="13" s="1"/>
  <c r="P23" i="13" s="1"/>
  <c r="Q23" i="13" s="1"/>
  <c r="C96" i="13"/>
  <c r="M40" i="13"/>
  <c r="N40" i="13" s="1"/>
  <c r="P40" i="13" s="1"/>
  <c r="Q40" i="13" s="1"/>
  <c r="M43" i="13"/>
  <c r="N43" i="13" s="1"/>
  <c r="P43" i="13" s="1"/>
  <c r="Q43" i="13" s="1"/>
  <c r="M48" i="13"/>
  <c r="N48" i="13" s="1"/>
  <c r="P48" i="13" s="1"/>
  <c r="Q48" i="13" s="1"/>
  <c r="M28" i="13"/>
  <c r="N28" i="13" s="1"/>
  <c r="P28" i="13" s="1"/>
  <c r="Q28" i="13" s="1"/>
  <c r="M22" i="13"/>
  <c r="N22" i="13" s="1"/>
  <c r="P22" i="13" s="1"/>
  <c r="Q22" i="13" s="1"/>
  <c r="M34" i="13"/>
  <c r="N34" i="13" s="1"/>
  <c r="P34" i="13" s="1"/>
  <c r="Q34" i="13" s="1"/>
  <c r="M78" i="13"/>
  <c r="N78" i="13" s="1"/>
  <c r="P78" i="13" s="1"/>
  <c r="Q78" i="13" s="1"/>
  <c r="M57" i="13"/>
  <c r="N57" i="13" s="1"/>
  <c r="P57" i="13" s="1"/>
  <c r="Q57" i="13" s="1"/>
  <c r="M69" i="13"/>
  <c r="N69" i="13" s="1"/>
  <c r="P69" i="13" s="1"/>
  <c r="Q69" i="13" s="1"/>
  <c r="M81" i="13"/>
  <c r="N81" i="13" s="1"/>
  <c r="P81" i="13" s="1"/>
  <c r="Q81" i="13" s="1"/>
  <c r="M42" i="13"/>
  <c r="N42" i="13" s="1"/>
  <c r="P42" i="13" s="1"/>
  <c r="Q42" i="13" s="1"/>
  <c r="M84" i="13"/>
  <c r="N84" i="13" s="1"/>
  <c r="P84" i="13" s="1"/>
  <c r="Q84" i="13" s="1"/>
  <c r="M64" i="13"/>
  <c r="N64" i="13" s="1"/>
  <c r="P64" i="13" s="1"/>
  <c r="Q64" i="13" s="1"/>
  <c r="M76" i="13"/>
  <c r="N76" i="13" s="1"/>
  <c r="P76" i="13" s="1"/>
  <c r="Q76" i="13" s="1"/>
  <c r="M39" i="13"/>
  <c r="N39" i="13" s="1"/>
  <c r="P39" i="13" s="1"/>
  <c r="Q39" i="13" s="1"/>
  <c r="M62" i="13"/>
  <c r="N62" i="13" s="1"/>
  <c r="P62" i="13" s="1"/>
  <c r="Q62" i="13" s="1"/>
  <c r="M24" i="13"/>
  <c r="N24" i="13" s="1"/>
  <c r="P24" i="13" s="1"/>
  <c r="Q24" i="13" s="1"/>
  <c r="M25" i="13"/>
  <c r="N25" i="13" s="1"/>
  <c r="P25" i="13" s="1"/>
  <c r="Q25" i="13" s="1"/>
  <c r="M26" i="13"/>
  <c r="N26" i="13" s="1"/>
  <c r="P26" i="13" s="1"/>
  <c r="Q26" i="13" s="1"/>
  <c r="M20" i="13"/>
  <c r="N20" i="13" s="1"/>
  <c r="P20" i="13" s="1"/>
  <c r="Q20" i="13" s="1"/>
  <c r="I19" i="13"/>
  <c r="Q21" i="13"/>
  <c r="P67" i="13"/>
  <c r="Q67" i="13" s="1"/>
  <c r="G63" i="13"/>
  <c r="H63" i="13" s="1"/>
  <c r="I63" i="13" s="1"/>
  <c r="G71" i="13"/>
  <c r="H71" i="13" s="1"/>
  <c r="I71" i="13" s="1"/>
  <c r="G83" i="13"/>
  <c r="H83" i="13" s="1"/>
  <c r="I83" i="13" s="1"/>
  <c r="G35" i="13"/>
  <c r="H35" i="13" s="1"/>
  <c r="I35" i="13" s="1"/>
  <c r="G49" i="13"/>
  <c r="H49" i="13" s="1"/>
  <c r="I49" i="13" s="1"/>
  <c r="G37" i="13"/>
  <c r="H37" i="13" s="1"/>
  <c r="I37" i="13" s="1"/>
  <c r="G53" i="13"/>
  <c r="H53" i="13" s="1"/>
  <c r="I53" i="13" s="1"/>
  <c r="T41" i="24" l="1"/>
  <c r="O62" i="24"/>
  <c r="P62" i="24" s="1"/>
  <c r="U41" i="24" s="1"/>
  <c r="T40" i="24"/>
  <c r="O52" i="24"/>
  <c r="P52" i="24" s="1"/>
  <c r="U40" i="24" s="1"/>
  <c r="T37" i="24"/>
  <c r="O36" i="24"/>
  <c r="P36" i="24" s="1"/>
  <c r="U37" i="24" s="1"/>
  <c r="T34" i="24"/>
  <c r="O33" i="24"/>
  <c r="P33" i="24" s="1"/>
  <c r="U34" i="24" s="1"/>
  <c r="O72" i="24"/>
  <c r="P72" i="24" s="1"/>
  <c r="U42" i="24" s="1"/>
  <c r="T42" i="24"/>
  <c r="T43" i="24"/>
  <c r="O82" i="24"/>
  <c r="P82" i="24" s="1"/>
  <c r="U43" i="24" s="1"/>
  <c r="O34" i="24"/>
  <c r="P34" i="24" s="1"/>
  <c r="U35" i="24" s="1"/>
  <c r="T35" i="24"/>
  <c r="O35" i="24"/>
  <c r="P35" i="24" s="1"/>
  <c r="U36" i="24" s="1"/>
  <c r="T36" i="24"/>
  <c r="T39" i="24"/>
  <c r="O42" i="24"/>
  <c r="P42" i="24" s="1"/>
  <c r="U39" i="24" s="1"/>
  <c r="O37" i="24"/>
  <c r="P37" i="24" s="1"/>
  <c r="U38" i="24" s="1"/>
  <c r="T38" i="24"/>
  <c r="W74" i="19"/>
  <c r="W76" i="19"/>
  <c r="W78" i="19"/>
  <c r="W82" i="19"/>
  <c r="W80" i="19"/>
  <c r="W75" i="19"/>
  <c r="W83" i="19"/>
  <c r="W77" i="19"/>
  <c r="W79" i="19"/>
  <c r="Z33" i="19"/>
  <c r="Z37" i="19"/>
  <c r="Z40" i="19"/>
  <c r="Z38" i="19"/>
  <c r="Z36" i="19"/>
  <c r="Z34" i="19"/>
  <c r="Z32" i="19"/>
  <c r="Z41" i="19"/>
  <c r="Z35" i="19"/>
  <c r="Z39" i="19"/>
  <c r="Z62" i="19"/>
  <c r="Z54" i="19"/>
  <c r="Z56" i="19"/>
  <c r="Z61" i="19"/>
  <c r="Z59" i="19"/>
  <c r="Z57" i="19"/>
  <c r="Z55" i="19"/>
  <c r="Z53" i="19"/>
  <c r="Z60" i="19"/>
  <c r="Z58" i="19"/>
  <c r="W39" i="19"/>
  <c r="W33" i="19"/>
  <c r="W41" i="19"/>
  <c r="W37" i="19"/>
  <c r="W40" i="19"/>
  <c r="W38" i="19"/>
  <c r="W36" i="19"/>
  <c r="W34" i="19"/>
  <c r="W32" i="19"/>
  <c r="W35" i="19"/>
  <c r="W58" i="19"/>
  <c r="W56" i="19"/>
  <c r="W61" i="19"/>
  <c r="W59" i="19"/>
  <c r="W57" i="19"/>
  <c r="W55" i="19"/>
  <c r="W53" i="19"/>
  <c r="W60" i="19"/>
  <c r="W54" i="19"/>
  <c r="W62" i="19"/>
  <c r="T61" i="16"/>
  <c r="Z48" i="16" a="1"/>
  <c r="Z48" i="16" s="1"/>
  <c r="Z49" i="16" a="1"/>
  <c r="Z49" i="16" s="1"/>
  <c r="W57" i="16"/>
  <c r="W56" i="16"/>
  <c r="W59" i="16"/>
  <c r="W61" i="16" s="1"/>
  <c r="W52" i="16"/>
  <c r="W54" i="16"/>
  <c r="W55" i="16"/>
  <c r="W53" i="16"/>
  <c r="W58" i="16"/>
  <c r="W51" i="16"/>
  <c r="W60" i="16"/>
  <c r="T38" i="16"/>
  <c r="T40" i="16" s="1"/>
  <c r="T36" i="16"/>
  <c r="T34" i="16"/>
  <c r="T85" i="16" s="1"/>
  <c r="T32" i="16"/>
  <c r="T30" i="16"/>
  <c r="T39" i="16"/>
  <c r="T37" i="16"/>
  <c r="T35" i="16"/>
  <c r="T87" i="16" s="1"/>
  <c r="T33" i="16"/>
  <c r="T31" i="16"/>
  <c r="Z27" i="16" a="1"/>
  <c r="Z27" i="16" s="1"/>
  <c r="Z28" i="16" a="1"/>
  <c r="Z28" i="16" s="1"/>
  <c r="W27" i="16" a="1"/>
  <c r="W27" i="16" s="1"/>
  <c r="W28" i="16" a="1"/>
  <c r="W28" i="16" s="1"/>
  <c r="T80" i="16"/>
  <c r="T78" i="16"/>
  <c r="T76" i="16"/>
  <c r="T86" i="16" s="1"/>
  <c r="T74" i="16"/>
  <c r="T72" i="16"/>
  <c r="T81" i="16"/>
  <c r="T79" i="16"/>
  <c r="T77" i="16"/>
  <c r="T88" i="16" s="1"/>
  <c r="T75" i="16"/>
  <c r="T73" i="16"/>
  <c r="W69" i="16" a="1"/>
  <c r="W69" i="16" s="1"/>
  <c r="W70" i="16" a="1"/>
  <c r="W70" i="16" s="1"/>
  <c r="Z69" i="16" a="1"/>
  <c r="Z69" i="16" s="1"/>
  <c r="Z70" i="16" a="1"/>
  <c r="Z70" i="16" s="1"/>
  <c r="G99" i="13"/>
  <c r="M83" i="13"/>
  <c r="N83" i="13" s="1"/>
  <c r="P83" i="13" s="1"/>
  <c r="Q83" i="13" s="1"/>
  <c r="D95" i="13"/>
  <c r="M37" i="13"/>
  <c r="N37" i="13" s="1"/>
  <c r="P37" i="13" s="1"/>
  <c r="Q37" i="13" s="1"/>
  <c r="F101" i="13"/>
  <c r="M71" i="13"/>
  <c r="N71" i="13" s="1"/>
  <c r="P71" i="13" s="1"/>
  <c r="Q71" i="13" s="1"/>
  <c r="D93" i="13"/>
  <c r="M35" i="13"/>
  <c r="N35" i="13" s="1"/>
  <c r="P35" i="13" s="1"/>
  <c r="Q35" i="13" s="1"/>
  <c r="E97" i="13"/>
  <c r="M53" i="13"/>
  <c r="N53" i="13" s="1"/>
  <c r="P53" i="13" s="1"/>
  <c r="Q53" i="13" s="1"/>
  <c r="E93" i="13"/>
  <c r="M49" i="13"/>
  <c r="N49" i="13" s="1"/>
  <c r="P49" i="13" s="1"/>
  <c r="Q49" i="13" s="1"/>
  <c r="F93" i="13"/>
  <c r="M63" i="13"/>
  <c r="N63" i="13" s="1"/>
  <c r="P63" i="13" s="1"/>
  <c r="Q63" i="13" s="1"/>
  <c r="N19" i="13"/>
  <c r="P19" i="13" s="1"/>
  <c r="Q19" i="13" s="1"/>
  <c r="C92" i="13"/>
  <c r="R42" i="24" l="1"/>
  <c r="S31" i="24"/>
  <c r="R35" i="24"/>
  <c r="S29" i="24"/>
  <c r="R38" i="24"/>
  <c r="S30" i="24"/>
  <c r="T82" i="16"/>
  <c r="T90" i="16"/>
  <c r="T89" i="16"/>
  <c r="Z60" i="16"/>
  <c r="Z53" i="16"/>
  <c r="Z55" i="16"/>
  <c r="Z57" i="16"/>
  <c r="Z59" i="16"/>
  <c r="Z52" i="16"/>
  <c r="Z54" i="16"/>
  <c r="Z56" i="16"/>
  <c r="Z58" i="16"/>
  <c r="Z51" i="16"/>
  <c r="W38" i="16"/>
  <c r="W40" i="16" s="1"/>
  <c r="W36" i="16"/>
  <c r="W34" i="16"/>
  <c r="W32" i="16"/>
  <c r="W30" i="16"/>
  <c r="W39" i="16"/>
  <c r="W37" i="16"/>
  <c r="W35" i="16"/>
  <c r="W33" i="16"/>
  <c r="W31" i="16"/>
  <c r="Z38" i="16"/>
  <c r="Z36" i="16"/>
  <c r="Z34" i="16"/>
  <c r="Z32" i="16"/>
  <c r="Z30" i="16"/>
  <c r="Z39" i="16"/>
  <c r="Z37" i="16"/>
  <c r="Z35" i="16"/>
  <c r="Z33" i="16"/>
  <c r="Z31" i="16"/>
  <c r="Z80" i="16"/>
  <c r="Z78" i="16"/>
  <c r="Z76" i="16"/>
  <c r="Z74" i="16"/>
  <c r="Z72" i="16"/>
  <c r="Z81" i="16"/>
  <c r="Z79" i="16"/>
  <c r="Z77" i="16"/>
  <c r="Z75" i="16"/>
  <c r="Z73" i="16"/>
  <c r="W80" i="16"/>
  <c r="W82" i="16" s="1"/>
  <c r="W78" i="16"/>
  <c r="W76" i="16"/>
  <c r="W74" i="16"/>
  <c r="W72" i="16"/>
  <c r="W81" i="16"/>
  <c r="W79" i="16"/>
  <c r="W77" i="16"/>
  <c r="W75" i="16"/>
  <c r="W73" i="16"/>
  <c r="G10" i="6"/>
  <c r="G11" i="6" s="1"/>
  <c r="U25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34" i="6"/>
  <c r="B17" i="6"/>
  <c r="D16" i="6"/>
  <c r="Z61" i="16" l="1"/>
  <c r="AC61" i="16"/>
  <c r="Z40" i="16"/>
  <c r="AC40" i="16"/>
  <c r="Z82" i="16"/>
  <c r="AC82" i="16"/>
  <c r="C5" i="9"/>
  <c r="B26" i="6"/>
  <c r="P96" i="6" l="1"/>
  <c r="P95" i="6"/>
  <c r="P94" i="6"/>
  <c r="P93" i="6"/>
  <c r="P92" i="6"/>
  <c r="P91" i="6"/>
  <c r="P90" i="6"/>
  <c r="P89" i="6"/>
  <c r="P88" i="6"/>
  <c r="P87" i="6"/>
  <c r="K96" i="6"/>
  <c r="K95" i="6"/>
  <c r="K94" i="6"/>
  <c r="K93" i="6"/>
  <c r="K92" i="6"/>
  <c r="K91" i="6"/>
  <c r="K90" i="6"/>
  <c r="K89" i="6"/>
  <c r="K88" i="6"/>
  <c r="K87" i="6"/>
  <c r="U80" i="6"/>
  <c r="U79" i="6"/>
  <c r="U78" i="6"/>
  <c r="U77" i="6"/>
  <c r="U76" i="6"/>
  <c r="U75" i="6"/>
  <c r="U74" i="6"/>
  <c r="U73" i="6"/>
  <c r="U72" i="6"/>
  <c r="U71" i="6"/>
  <c r="P80" i="6"/>
  <c r="P79" i="6"/>
  <c r="P78" i="6"/>
  <c r="P77" i="6"/>
  <c r="P76" i="6"/>
  <c r="P75" i="6"/>
  <c r="P74" i="6"/>
  <c r="P73" i="6"/>
  <c r="P72" i="6"/>
  <c r="P71" i="6"/>
  <c r="K80" i="6"/>
  <c r="K79" i="6"/>
  <c r="K78" i="6"/>
  <c r="K77" i="6"/>
  <c r="K76" i="6"/>
  <c r="K75" i="6"/>
  <c r="K74" i="6"/>
  <c r="K73" i="6"/>
  <c r="K72" i="6"/>
  <c r="K71" i="6"/>
  <c r="U64" i="6"/>
  <c r="U63" i="6"/>
  <c r="U62" i="6"/>
  <c r="U61" i="6"/>
  <c r="U60" i="6"/>
  <c r="U59" i="6"/>
  <c r="U58" i="6"/>
  <c r="U57" i="6"/>
  <c r="U56" i="6"/>
  <c r="U55" i="6"/>
  <c r="P64" i="6"/>
  <c r="P63" i="6"/>
  <c r="P62" i="6"/>
  <c r="P61" i="6"/>
  <c r="P60" i="6"/>
  <c r="P59" i="6"/>
  <c r="P58" i="6"/>
  <c r="P57" i="6"/>
  <c r="P56" i="6"/>
  <c r="P55" i="6"/>
  <c r="K64" i="6"/>
  <c r="K63" i="6"/>
  <c r="K62" i="6"/>
  <c r="K61" i="6"/>
  <c r="K60" i="6"/>
  <c r="K59" i="6"/>
  <c r="K58" i="6"/>
  <c r="K57" i="6"/>
  <c r="K56" i="6"/>
  <c r="K55" i="6"/>
  <c r="U48" i="6"/>
  <c r="U47" i="6"/>
  <c r="U46" i="6"/>
  <c r="U45" i="6"/>
  <c r="U44" i="6"/>
  <c r="U43" i="6"/>
  <c r="U42" i="6"/>
  <c r="U41" i="6"/>
  <c r="U40" i="6"/>
  <c r="U39" i="6"/>
  <c r="P48" i="6"/>
  <c r="P47" i="6"/>
  <c r="P46" i="6"/>
  <c r="P45" i="6"/>
  <c r="P44" i="6"/>
  <c r="P43" i="6"/>
  <c r="P42" i="6"/>
  <c r="P41" i="6"/>
  <c r="P40" i="6"/>
  <c r="P39" i="6"/>
  <c r="K48" i="6"/>
  <c r="K47" i="6"/>
  <c r="K46" i="6"/>
  <c r="K45" i="6"/>
  <c r="K44" i="6"/>
  <c r="K43" i="6"/>
  <c r="K42" i="6"/>
  <c r="K41" i="6"/>
  <c r="K40" i="6"/>
  <c r="K39" i="6"/>
  <c r="U32" i="6"/>
  <c r="U31" i="6"/>
  <c r="U30" i="6"/>
  <c r="U29" i="6"/>
  <c r="U28" i="6"/>
  <c r="U27" i="6"/>
  <c r="U26" i="6"/>
  <c r="U24" i="6"/>
  <c r="U23" i="6"/>
  <c r="P32" i="6"/>
  <c r="P31" i="6"/>
  <c r="P30" i="6"/>
  <c r="P29" i="6"/>
  <c r="P28" i="6"/>
  <c r="P27" i="6"/>
  <c r="P26" i="6"/>
  <c r="P25" i="6"/>
  <c r="P24" i="6"/>
  <c r="P23" i="6"/>
  <c r="K32" i="6"/>
  <c r="K24" i="6"/>
  <c r="K25" i="6"/>
  <c r="K26" i="6"/>
  <c r="K27" i="6"/>
  <c r="K28" i="6"/>
  <c r="K29" i="6"/>
  <c r="K30" i="6"/>
  <c r="K31" i="6"/>
  <c r="K23" i="6"/>
  <c r="AB80" i="6" l="1"/>
  <c r="AB79" i="6"/>
  <c r="AB78" i="6"/>
  <c r="AB77" i="6"/>
  <c r="AB76" i="6"/>
  <c r="AB75" i="6"/>
  <c r="AB74" i="6"/>
  <c r="AB73" i="6"/>
  <c r="AB72" i="6"/>
  <c r="AB71" i="6"/>
  <c r="AL64" i="6"/>
  <c r="AG64" i="6"/>
  <c r="AB64" i="6"/>
  <c r="AL63" i="6"/>
  <c r="AG63" i="6"/>
  <c r="AB63" i="6"/>
  <c r="AL62" i="6"/>
  <c r="AG62" i="6"/>
  <c r="AB62" i="6"/>
  <c r="AL61" i="6"/>
  <c r="AG61" i="6"/>
  <c r="AB61" i="6"/>
  <c r="AL60" i="6"/>
  <c r="AG60" i="6"/>
  <c r="AB60" i="6"/>
  <c r="AL59" i="6"/>
  <c r="AG59" i="6"/>
  <c r="AB59" i="6"/>
  <c r="AL58" i="6"/>
  <c r="AG58" i="6"/>
  <c r="AB58" i="6"/>
  <c r="AL57" i="6"/>
  <c r="AG57" i="6"/>
  <c r="AB57" i="6"/>
  <c r="AL56" i="6"/>
  <c r="AG56" i="6"/>
  <c r="AB56" i="6"/>
  <c r="AL55" i="6"/>
  <c r="AG55" i="6"/>
  <c r="AB55" i="6"/>
  <c r="AL48" i="6"/>
  <c r="AG48" i="6"/>
  <c r="AB48" i="6"/>
  <c r="AL47" i="6"/>
  <c r="AG47" i="6"/>
  <c r="AB47" i="6"/>
  <c r="AL46" i="6"/>
  <c r="AG46" i="6"/>
  <c r="AB46" i="6"/>
  <c r="AL45" i="6"/>
  <c r="AG45" i="6"/>
  <c r="AB45" i="6"/>
  <c r="AL44" i="6"/>
  <c r="AG44" i="6"/>
  <c r="AB44" i="6"/>
  <c r="AL43" i="6"/>
  <c r="AG43" i="6"/>
  <c r="AB43" i="6"/>
  <c r="AL42" i="6"/>
  <c r="AG42" i="6"/>
  <c r="AB42" i="6"/>
  <c r="AL41" i="6"/>
  <c r="AG41" i="6"/>
  <c r="AB41" i="6"/>
  <c r="AL40" i="6"/>
  <c r="AG40" i="6"/>
  <c r="AB40" i="6"/>
  <c r="AL39" i="6"/>
  <c r="AG39" i="6"/>
  <c r="AB39" i="6"/>
  <c r="AL32" i="6"/>
  <c r="AG32" i="6"/>
  <c r="AB32" i="6"/>
  <c r="AL31" i="6"/>
  <c r="AG31" i="6"/>
  <c r="AB31" i="6"/>
  <c r="AL30" i="6"/>
  <c r="AG30" i="6"/>
  <c r="AB30" i="6"/>
  <c r="AL29" i="6"/>
  <c r="AG29" i="6"/>
  <c r="AB29" i="6"/>
  <c r="AL28" i="6"/>
  <c r="AG28" i="6"/>
  <c r="AB28" i="6"/>
  <c r="AL27" i="6"/>
  <c r="AG27" i="6"/>
  <c r="AB27" i="6"/>
  <c r="AL26" i="6"/>
  <c r="AG26" i="6"/>
  <c r="AB26" i="6"/>
  <c r="AL25" i="6"/>
  <c r="AG25" i="6"/>
  <c r="AB25" i="6"/>
  <c r="AL24" i="6"/>
  <c r="AG24" i="6"/>
  <c r="AB24" i="6"/>
  <c r="AL23" i="6"/>
  <c r="AG23" i="6"/>
  <c r="AB23" i="6"/>
  <c r="D25" i="6" l="1"/>
  <c r="E25" i="6" s="1"/>
  <c r="F25" i="6" s="1"/>
  <c r="H25" i="6" s="1"/>
  <c r="D24" i="6"/>
  <c r="E24" i="6" s="1"/>
  <c r="F24" i="6" s="1"/>
  <c r="H24" i="6" s="1"/>
  <c r="D23" i="6"/>
  <c r="E23" i="6" s="1"/>
  <c r="F23" i="6" s="1"/>
  <c r="H23" i="6" s="1"/>
  <c r="D22" i="6"/>
  <c r="E22" i="6" s="1"/>
  <c r="F22" i="6" s="1"/>
  <c r="H22" i="6" s="1"/>
  <c r="D21" i="6"/>
  <c r="E21" i="6" s="1"/>
  <c r="F21" i="6" s="1"/>
  <c r="H21" i="6" s="1"/>
  <c r="D20" i="6"/>
  <c r="E20" i="6" s="1"/>
  <c r="F20" i="6" s="1"/>
  <c r="H20" i="6" s="1"/>
  <c r="D19" i="6"/>
  <c r="E19" i="6" s="1"/>
  <c r="F19" i="6" s="1"/>
  <c r="H19" i="6" s="1"/>
  <c r="D18" i="6"/>
  <c r="E18" i="6" s="1"/>
  <c r="F18" i="6" s="1"/>
  <c r="H18" i="6" s="1"/>
  <c r="D17" i="6"/>
  <c r="E17" i="6" s="1"/>
  <c r="F17" i="6" s="1"/>
  <c r="H17" i="6" s="1"/>
  <c r="E16" i="6"/>
  <c r="F16" i="6" s="1"/>
  <c r="H16" i="6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<sst xmlns="http://schemas.openxmlformats.org/spreadsheetml/2006/main" count="1209" uniqueCount="266">
  <si>
    <t xml:space="preserve"> lev ratio</t>
  </si>
  <si>
    <t xml:space="preserve"> spr rate</t>
  </si>
  <si>
    <t>lev ratio</t>
  </si>
  <si>
    <t xml:space="preserve"> spr</t>
  </si>
  <si>
    <t xml:space="preserve"> prel</t>
  </si>
  <si>
    <t>zeta_shr_per_rdyno_spr_levratio.xlsx</t>
  </si>
  <si>
    <t xml:space="preserve"> 8-20-17</t>
  </si>
  <si>
    <t xml:space="preserve"> Calculate the reb dyno force needed to get ideal r-zeta values for each lev ratio and corrosponding suggested spring rate</t>
  </si>
  <si>
    <t xml:space="preserve"> mWheel</t>
  </si>
  <si>
    <t xml:space="preserve"> ips</t>
  </si>
  <si>
    <t>ro</t>
  </si>
  <si>
    <t>r zeta</t>
  </si>
  <si>
    <t>r coeff</t>
  </si>
  <si>
    <t>copy</t>
  </si>
  <si>
    <t xml:space="preserve"> copy</t>
  </si>
  <si>
    <t xml:space="preserve"> ar lb</t>
  </si>
  <si>
    <t xml:space="preserve"> 40.10</t>
  </si>
  <si>
    <t xml:space="preserve">  Compared to stock rebound, this rebound is much less progressive and has</t>
  </si>
  <si>
    <t xml:space="preserve">  more low speed reb damping.  </t>
  </si>
  <si>
    <t xml:space="preserve">     current reb range [4.1 / 4.4 / 4.7]</t>
  </si>
  <si>
    <t xml:space="preserve"> 1)  Spring rate for apx 160 - 185 lb rider.  Since these are our calculated 'sugested rates', it doesn't really fit spring rate charts.</t>
  </si>
  <si>
    <t xml:space="preserve">  _01 is with ideal r-zeta as:  .70 all the way thru</t>
  </si>
  <si>
    <t>end</t>
  </si>
  <si>
    <t xml:space="preserve">  Compared to stock rebound, this rebound is less progressive [40.10 = 4.0]</t>
  </si>
  <si>
    <t xml:space="preserve">  due to increased reb numbers at 10 - 20 - 30ips.  </t>
  </si>
  <si>
    <t xml:space="preserve">   AND reb force at 2ips is less than our original fkr target nu series.</t>
  </si>
  <si>
    <t xml:space="preserve"> this page done</t>
  </si>
  <si>
    <t xml:space="preserve"> x 1.04</t>
  </si>
  <si>
    <t>assuming</t>
  </si>
  <si>
    <t>this to be</t>
  </si>
  <si>
    <t>good reb</t>
  </si>
  <si>
    <t>curve</t>
  </si>
  <si>
    <t>adjust with factor</t>
  </si>
  <si>
    <t>factor used</t>
  </si>
  <si>
    <t xml:space="preserve"> We get the spring rates used below from   springRate_shock_per_levratio.xlsx</t>
  </si>
  <si>
    <t xml:space="preserve">   lev ratio and matching spring rate</t>
  </si>
  <si>
    <t xml:space="preserve"> linear spr</t>
  </si>
  <si>
    <t xml:space="preserve"> lev ratio at 100tr</t>
  </si>
  <si>
    <t xml:space="preserve"> divide</t>
  </si>
  <si>
    <t xml:space="preserve"> levratio start</t>
  </si>
  <si>
    <t xml:space="preserve"> levratio new</t>
  </si>
  <si>
    <t xml:space="preserve"> start spr</t>
  </si>
  <si>
    <t xml:space="preserve"> x start spr</t>
  </si>
  <si>
    <t xml:space="preserve"> zeta_backwards_shr_spr_per_levratio.xlsx</t>
  </si>
  <si>
    <t xml:space="preserve"> 5-12-19</t>
  </si>
  <si>
    <t xml:space="preserve"> We need to remove drag, calculate reb force for spring rate increate, then add back drag.</t>
  </si>
  <si>
    <t xml:space="preserve"> Currently we do not do this, and when we scale for a stiffer spring the r/c ratio changes, and it should not.</t>
  </si>
  <si>
    <t>r-zeta</t>
  </si>
  <si>
    <t xml:space="preserve">  $r_damp1_targ = ($r_zeta1_targ * 1.0) * $lrfoal * sqrt( 4 * $mWheel * $kspring_coef / 32.2 ) / 12;</t>
  </si>
  <si>
    <t xml:space="preserve"> kspring coeff</t>
  </si>
  <si>
    <t>target</t>
  </si>
  <si>
    <t>reb</t>
  </si>
  <si>
    <t xml:space="preserve"> first work it backward as per vdb</t>
  </si>
  <si>
    <t xml:space="preserve"> second, remove drag force and recalculate r-zeta forward</t>
  </si>
  <si>
    <t>drag</t>
  </si>
  <si>
    <t>less drag</t>
  </si>
  <si>
    <t xml:space="preserve"> r_damp_bkwd</t>
  </si>
  <si>
    <t xml:space="preserve"> r_damp_fwd</t>
  </si>
  <si>
    <t xml:space="preserve"> double check above new r-zeta</t>
  </si>
  <si>
    <t>+ drag</t>
  </si>
  <si>
    <t xml:space="preserve">target </t>
  </si>
  <si>
    <t xml:space="preserve"> 100_74_70</t>
  </si>
  <si>
    <t xml:space="preserve"> diff</t>
  </si>
  <si>
    <t>bkwd to fwd</t>
  </si>
  <si>
    <t xml:space="preserve"> 93_73_70</t>
  </si>
  <si>
    <t xml:space="preserve"> 86_72_70</t>
  </si>
  <si>
    <t xml:space="preserve"> 78_71_70</t>
  </si>
  <si>
    <t xml:space="preserve"> 70_70_70</t>
  </si>
  <si>
    <t xml:space="preserve"> Use the same drag force as per co-zeta target       see    zeta_bbackwards_shc.xlsx</t>
  </si>
  <si>
    <t xml:space="preserve"> we picked middle spr rate between 120 and 260 lb rider, which = 4.6</t>
  </si>
  <si>
    <t xml:space="preserve"> r-zeta, less drag =  </t>
  </si>
  <si>
    <t xml:space="preserve">                 copy and paste as values</t>
  </si>
  <si>
    <t xml:space="preserve"> see  zeta_fkr_drag_force.xlsx  for new linear drag force</t>
  </si>
  <si>
    <t xml:space="preserve"> 93_63_70</t>
  </si>
  <si>
    <t xml:space="preserve"> 5-29-22 </t>
  </si>
  <si>
    <t xml:space="preserve"> We created a quick new r-zeta target   93_63_70    based on 4084s.</t>
  </si>
  <si>
    <t xml:space="preserve"> These numbers are entered in  zeta_targut_sh_reb  TABLE.</t>
  </si>
  <si>
    <t xml:space="preserve"> Use them awhile and adjust as needed</t>
  </si>
  <si>
    <t xml:space="preserve"> 6-15-22</t>
  </si>
  <si>
    <t xml:space="preserve"> We used restackor to find r-zeta curves that were linear / parrallel to the zeta .70 baseline</t>
  </si>
  <si>
    <t xml:space="preserve"> </t>
  </si>
  <si>
    <t xml:space="preserve"> 94_72_64</t>
  </si>
  <si>
    <t xml:space="preserve"> adjust spr rate --&gt; </t>
  </si>
  <si>
    <t xml:space="preserve"> [4.55 spr for 200 lb rider]</t>
  </si>
  <si>
    <t xml:space="preserve"> We also used restackor    01_sh_3783s_bert.xls   </t>
  </si>
  <si>
    <t xml:space="preserve"> zeta_backwards_shr.xlsx</t>
  </si>
  <si>
    <t>in  zeta_targetnu_sh_reb  TABLE</t>
  </si>
  <si>
    <t xml:space="preserve"> enter good</t>
  </si>
  <si>
    <t xml:space="preserve"> rebound</t>
  </si>
  <si>
    <t xml:space="preserve"> here</t>
  </si>
  <si>
    <t>this is the r-zeta curve numbers</t>
  </si>
  <si>
    <t xml:space="preserve">that get entered </t>
  </si>
  <si>
    <t>should</t>
  </si>
  <si>
    <t xml:space="preserve"> be 1.00</t>
  </si>
  <si>
    <t>final 4.55</t>
  </si>
  <si>
    <t xml:space="preserve"> 2ips range</t>
  </si>
  <si>
    <t xml:space="preserve"> 55-65</t>
  </si>
  <si>
    <t>.69-.70</t>
  </si>
  <si>
    <t xml:space="preserve">  .67-.69</t>
  </si>
  <si>
    <t>.66-.67</t>
  </si>
  <si>
    <t xml:space="preserve"> .64-.65</t>
  </si>
  <si>
    <t xml:space="preserve"> .63-.64</t>
  </si>
  <si>
    <t xml:space="preserve"> .61-.62</t>
  </si>
  <si>
    <t xml:space="preserve"> .59-.60</t>
  </si>
  <si>
    <t xml:space="preserve"> .58-.59</t>
  </si>
  <si>
    <t xml:space="preserve"> .56-.57</t>
  </si>
  <si>
    <t xml:space="preserve"> .55-.56</t>
  </si>
  <si>
    <t xml:space="preserve"> .53-.54</t>
  </si>
  <si>
    <t xml:space="preserve"> 94_74_68</t>
  </si>
  <si>
    <t xml:space="preserve"> 92_70_61</t>
  </si>
  <si>
    <t xml:space="preserve"> 89_68_58</t>
  </si>
  <si>
    <t xml:space="preserve"> 87_66_55</t>
  </si>
  <si>
    <t xml:space="preserve"> 84_65_52</t>
  </si>
  <si>
    <t xml:space="preserve"> r_damp</t>
  </si>
  <si>
    <t>bkwd</t>
  </si>
  <si>
    <t xml:space="preserve"> 6-15-22   </t>
  </si>
  <si>
    <t xml:space="preserve">  We used restackor to smooth out zetaC and get rid of dip at 3" stroke.</t>
  </si>
  <si>
    <t xml:space="preserve">  See restackor    01_sh_3783s_bert.xls   </t>
  </si>
  <si>
    <t xml:space="preserve">  Then added these new r-zeta curves to VDB    zeta_targetnu_sh_reb    TABLE.</t>
  </si>
  <si>
    <t xml:space="preserve"> restackor rzeta at .5" stroke =</t>
  </si>
  <si>
    <t xml:space="preserve"> 97_74_68</t>
  </si>
  <si>
    <t xml:space="preserve"> 8-4-22</t>
  </si>
  <si>
    <t xml:space="preserve"> It looks like these have to much emphasis on keeping 2ips above 55 lbs, we might want 50?</t>
  </si>
  <si>
    <t>ips</t>
  </si>
  <si>
    <t>linear</t>
  </si>
  <si>
    <t xml:space="preserve"> x 1.06</t>
  </si>
  <si>
    <t xml:space="preserve"> baseline</t>
  </si>
  <si>
    <t xml:space="preserve"> / 1.06</t>
  </si>
  <si>
    <t>This is the same at 2ips as baseline, but stiffer at 50ips</t>
  </si>
  <si>
    <t>This is the same at 2ips as baseline, but softer at 50ips</t>
  </si>
  <si>
    <t>We created these numbers and plugged them right into restackor    01_sh_WP_s50oval_3783s_bert.xlsm</t>
  </si>
  <si>
    <t xml:space="preserve"> 8-4-22 See NEW_zeta_restackor02 tab for newest</t>
  </si>
  <si>
    <t xml:space="preserve"> WP Link Shock</t>
  </si>
  <si>
    <t xml:space="preserve"> 4.55 kg</t>
  </si>
  <si>
    <r>
      <t xml:space="preserve">  Reb range from   </t>
    </r>
    <r>
      <rPr>
        <i/>
        <sz val="11"/>
        <color theme="1"/>
        <rFont val="Calibri"/>
        <family val="2"/>
        <scheme val="minor"/>
      </rPr>
      <t>openDynoSh_press_a_target.php</t>
    </r>
    <r>
      <rPr>
        <sz val="10"/>
        <color theme="1"/>
        <rFont val="Arial"/>
        <family val="2"/>
      </rPr>
      <t xml:space="preserve">  &gt;  </t>
    </r>
    <r>
      <rPr>
        <i/>
        <sz val="11"/>
        <color theme="1"/>
        <rFont val="Calibri"/>
        <family val="2"/>
        <scheme val="minor"/>
      </rPr>
      <t>quickLookSh_dynoshock_reb_wsort.php</t>
    </r>
  </si>
  <si>
    <t>This is reb range for 4.55 kg spr</t>
  </si>
  <si>
    <t>We just eyeballed the high and low  for each velocity, and thru out those with extreme/unreasonable r-zeta.</t>
  </si>
  <si>
    <t xml:space="preserve"> adj percent</t>
  </si>
  <si>
    <t xml:space="preserve">       - - - range - - - - </t>
  </si>
  <si>
    <t>final</t>
  </si>
  <si>
    <t>low</t>
  </si>
  <si>
    <t>high</t>
  </si>
  <si>
    <t>aver</t>
  </si>
  <si>
    <t>low zeta</t>
  </si>
  <si>
    <t>high zeta</t>
  </si>
  <si>
    <t>low aver</t>
  </si>
  <si>
    <t>high aver</t>
  </si>
  <si>
    <t>Also see  NEW_zeta_restackor02a tab for reb range at 2 - 5 - 40ips</t>
  </si>
  <si>
    <t xml:space="preserve"> 8-6-24</t>
  </si>
  <si>
    <t xml:space="preserve"> Compare reb force curve</t>
  </si>
  <si>
    <t>This page</t>
  </si>
  <si>
    <t xml:space="preserve"> 74_64_59</t>
  </si>
  <si>
    <t xml:space="preserve"> 74_67_62</t>
  </si>
  <si>
    <t xml:space="preserve"> 74_69_66</t>
  </si>
  <si>
    <t xml:space="preserve"> 83_74_70</t>
  </si>
  <si>
    <t xml:space="preserve"> 78_73_74</t>
  </si>
  <si>
    <t xml:space="preserve"> 74_71_70</t>
  </si>
  <si>
    <t xml:space="preserve"> rzeta_bkwd_less_compdrag</t>
  </si>
  <si>
    <t xml:space="preserve"> 8-9-22</t>
  </si>
  <si>
    <t>We noticed  73_64_59  had higher r-zeta at 1ips than 73_69_66, where, if anything, it should be lower</t>
  </si>
  <si>
    <t>call it .73</t>
  </si>
  <si>
    <t>We changed target designation to 2-5-40ips</t>
  </si>
  <si>
    <r>
      <t xml:space="preserve">To keep it simple, we will just </t>
    </r>
    <r>
      <rPr>
        <b/>
        <sz val="10"/>
        <color rgb="FFC00000"/>
        <rFont val="Arial"/>
        <family val="2"/>
      </rPr>
      <t>change  ztnshr_rzeta_1 to .813</t>
    </r>
    <r>
      <rPr>
        <sz val="10"/>
        <color theme="1"/>
        <rFont val="Arial"/>
        <family val="2"/>
      </rPr>
      <t>, same as 73_69_66  [zeta_targetnu_sh_reb TABLE]</t>
    </r>
  </si>
  <si>
    <t>As per zeta_backwards_shr.xlsx</t>
  </si>
  <si>
    <t>WP Link Shock</t>
  </si>
  <si>
    <t xml:space="preserve"> 4.55 kg spr</t>
  </si>
  <si>
    <t>reb range</t>
  </si>
  <si>
    <t xml:space="preserve"> 115 - 129 - 144</t>
  </si>
  <si>
    <t xml:space="preserve"> 50 - 56 - 63</t>
  </si>
  <si>
    <t xml:space="preserve"> 839 - 940 - 1053</t>
  </si>
  <si>
    <t>r-zeta range</t>
  </si>
  <si>
    <t xml:space="preserve"> .66 - .74 - .84</t>
  </si>
  <si>
    <t xml:space="preserve"> .61 - .68 - .76</t>
  </si>
  <si>
    <t xml:space="preserve"> .56 - .625 - .70</t>
  </si>
  <si>
    <t xml:space="preserve"> 8-11-22</t>
  </si>
  <si>
    <t xml:space="preserve"> We are going to redo  r-zeta target  93_63_70  that dips at 5-10ips from small dia and/or two small dia sep shims.</t>
  </si>
  <si>
    <t xml:space="preserve"> 93_63_70 was pretty sloppy.  We'll engineer a nice new one.</t>
  </si>
  <si>
    <t>coeff</t>
  </si>
  <si>
    <t xml:space="preserve"> 10-50ips</t>
  </si>
  <si>
    <t xml:space="preserve"> 1-10ips</t>
  </si>
  <si>
    <t>THIS CREATED RZETA WITH DIP AT 5IPS BASED ON ABOVE</t>
  </si>
  <si>
    <t>copied as numbers</t>
  </si>
  <si>
    <t>diff from curve</t>
  </si>
  <si>
    <t>copy before playing</t>
  </si>
  <si>
    <t>poly 2</t>
  </si>
  <si>
    <t>poly 3</t>
  </si>
  <si>
    <t>diff from</t>
  </si>
  <si>
    <t>to recreate the curve,</t>
  </si>
  <si>
    <t>subtract poly curve from</t>
  </si>
  <si>
    <t>recreated</t>
  </si>
  <si>
    <t>use zeta to</t>
  </si>
  <si>
    <t xml:space="preserve">create </t>
  </si>
  <si>
    <t>reb coeff</t>
  </si>
  <si>
    <t>get reb force</t>
  </si>
  <si>
    <t>now multiply to</t>
  </si>
  <si>
    <t>copy over rzeta from column AL</t>
  </si>
  <si>
    <t>these zeta numbers</t>
  </si>
  <si>
    <t xml:space="preserve">would go in </t>
  </si>
  <si>
    <t>SQLyog</t>
  </si>
  <si>
    <t>BUT NOW WE WANT TO REDESING THE TARGET</t>
  </si>
  <si>
    <t>HOW???</t>
  </si>
  <si>
    <t>ro wogas</t>
  </si>
  <si>
    <t xml:space="preserve"> lb diff</t>
  </si>
  <si>
    <t xml:space="preserve">  e.g.  Similar to 93_63_70</t>
  </si>
  <si>
    <t>reb force</t>
  </si>
  <si>
    <t xml:space="preserve"> With 1 - 51ips, 26ips is the middle. </t>
  </si>
  <si>
    <t>(linear - poly)</t>
  </si>
  <si>
    <t xml:space="preserve"> middle reb number</t>
  </si>
  <si>
    <t xml:space="preserve"> dip / curve</t>
  </si>
  <si>
    <t>dished reb curve</t>
  </si>
  <si>
    <t>difference shows curve</t>
  </si>
  <si>
    <t>SPARE</t>
  </si>
  <si>
    <t xml:space="preserve">Create a reb force curve with r-zet that dips at 5ips.  </t>
  </si>
  <si>
    <t>reverse</t>
  </si>
  <si>
    <t xml:space="preserve">engineer </t>
  </si>
  <si>
    <t>as well</t>
  </si>
  <si>
    <t>might</t>
  </si>
  <si>
    <t>coeff x vel</t>
  </si>
  <si>
    <t>to get</t>
  </si>
  <si>
    <t>this is same</t>
  </si>
  <si>
    <t>as column F</t>
  </si>
  <si>
    <t xml:space="preserve"> multiply</t>
  </si>
  <si>
    <t>This curve doesn't look right, get it entered and see.</t>
  </si>
  <si>
    <t>WE WILL CREATE NEW TAB FOR EACH TARGET</t>
  </si>
  <si>
    <t xml:space="preserve">Not sure if we will use this tab, but we are calculation new r-zeta on     nonlinear_zeta_66_58_62   </t>
  </si>
  <si>
    <t xml:space="preserve">    66_58_62</t>
  </si>
  <si>
    <t xml:space="preserve"> Not sure we will use it because reb is 61 lbs at 2ips.</t>
  </si>
  <si>
    <t xml:space="preserve">    We're thinking  52 - 55 - 58 lbf reb at 2ips, but undecided.</t>
  </si>
  <si>
    <t xml:space="preserve">  This is the first attempt at      nonlinear reb target with reduced reb at 5-10ips</t>
  </si>
  <si>
    <t xml:space="preserve">  We created it using poly 3 curve to create dip.</t>
  </si>
  <si>
    <t xml:space="preserve">  We are using poly 3 curve to create the nonlinear reb curve.</t>
  </si>
  <si>
    <t xml:space="preserve">     Create linear curve with desired reb force for 1 and 50ips.</t>
  </si>
  <si>
    <t xml:space="preserve">     The linear trendline will fill in the middle.</t>
  </si>
  <si>
    <t xml:space="preserve">         Then reduce the 26ips number the desired amount and run poly 3 trendline. </t>
  </si>
  <si>
    <t xml:space="preserve">         The poly 3 trendline creates a nice gradual curve/slope.</t>
  </si>
  <si>
    <t xml:space="preserve">    METHOD:</t>
  </si>
  <si>
    <t xml:space="preserve">             Finally, subtract the poly reb nubers from the linear curve.  This gives a different perspective on the nonlinear curve.</t>
  </si>
  <si>
    <t xml:space="preserve"> We may want to run this nonlinear target at a full range of reb increments, as per our 'current thinking'</t>
  </si>
  <si>
    <t xml:space="preserve"> min and max reb force range.</t>
  </si>
  <si>
    <t xml:space="preserve">        55 / 1.07 = 51.4</t>
  </si>
  <si>
    <t xml:space="preserve">        55 x 1.07 = 59</t>
  </si>
  <si>
    <t xml:space="preserve">    2ips range = 55 +/- 7%     [55 lbs is  made up / averaged / best guess baseline]</t>
  </si>
  <si>
    <t>Current incremental range for 2ips:</t>
  </si>
  <si>
    <t xml:space="preserve"> 8-12-22</t>
  </si>
  <si>
    <t xml:space="preserve"> On the first attempt designing r-zeta curve for nonlinear reb with reduced reb at 5-10ips, we ended up with -50 reb force at 2ips.  </t>
  </si>
  <si>
    <t xml:space="preserve"> For now keep it in the 'theoretical range' of 51 - 55 - 59 lbf at 2ips.</t>
  </si>
  <si>
    <t xml:space="preserve"> 2nd </t>
  </si>
  <si>
    <t xml:space="preserve"> 1st </t>
  </si>
  <si>
    <t xml:space="preserve"> Our r-zeta relationship between 1 and 2 is not linear</t>
  </si>
  <si>
    <t xml:space="preserve"> To get this page to match 96_63_70 we need to tweak 1ips</t>
  </si>
  <si>
    <t>We took our original 96_63_70 and recreated with the algorithm from this page.</t>
  </si>
  <si>
    <t>If we tweak 35 at 1ips to 40 it turns out pretty close.</t>
  </si>
  <si>
    <r>
      <t xml:space="preserve">THEREFORE it think we can use this method to develop the new  </t>
    </r>
    <r>
      <rPr>
        <i/>
        <sz val="10"/>
        <color rgb="FFC00000"/>
        <rFont val="Arial"/>
        <family val="2"/>
      </rPr>
      <t>nonlinear reb target with reduced reb at 5-10ips</t>
    </r>
  </si>
  <si>
    <r>
      <t xml:space="preserve">  This is our second attempt at   </t>
    </r>
    <r>
      <rPr>
        <i/>
        <sz val="10"/>
        <color rgb="FFC00000"/>
        <rFont val="Arial"/>
        <family val="2"/>
      </rPr>
      <t>new nonlinear reb target with reduced reb at 5-10ips</t>
    </r>
  </si>
  <si>
    <t xml:space="preserve"> Remember, 50ips  will be less</t>
  </si>
  <si>
    <t xml:space="preserve"> Tweak 51 to get desired 50ips</t>
  </si>
  <si>
    <t>ADDITIONAL COMMENTS</t>
  </si>
  <si>
    <t>GUIDELINES</t>
  </si>
  <si>
    <t xml:space="preserve">   40ips reb range   887 - 940 - 997 - 1054</t>
  </si>
  <si>
    <t xml:space="preserve">     2ips reb range            51 - 55 - 59</t>
  </si>
  <si>
    <t xml:space="preserve">  First create the linear curve.</t>
  </si>
  <si>
    <t xml:space="preserve">    Tweak 51 to get target reb at 40ips [U42]</t>
  </si>
  <si>
    <t xml:space="preserve">    Tweak 1 to get target reb at 2ips [U35]</t>
  </si>
  <si>
    <t>&lt;- match using C26</t>
  </si>
  <si>
    <t>&lt;- match using C27</t>
  </si>
  <si>
    <t>DELETE THIS AFTER SURE WE DON'T NEED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</si>
</sst>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"/>
    <numFmt numFmtId="166" formatCode="0.0000"/>
    <numFmt numFmtId="167" formatCode="0.000000"/>
    <numFmt numFmtId="168" formatCode="0.0%"/>
    <numFmt numFmtId="169" formatCode="0.00000"/>
  </numFmts>
  <fonts count="7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008000"/>
      <name val="Arial"/>
      <family val="2"/>
    </font>
    <font>
      <u/>
      <sz val="10"/>
      <color theme="1"/>
      <name val="Arial"/>
      <family val="2"/>
    </font>
    <font>
      <u/>
      <sz val="10"/>
      <color rgb="FF008000"/>
      <name val="Arial"/>
      <family val="2"/>
    </font>
    <font>
      <sz val="10"/>
      <color rgb="FF0070C0"/>
      <name val="Arial"/>
      <family val="2"/>
    </font>
    <font>
      <sz val="10"/>
      <color theme="5" tint="-0.249977111117893"/>
      <name val="Trebuchet MS"/>
      <family val="2"/>
    </font>
    <font>
      <sz val="10"/>
      <color theme="9" tint="-0.249977111117893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9" tint="-0.249977111117893"/>
      <name val="Trebuchet MS"/>
      <family val="2"/>
    </font>
    <font>
      <u/>
      <sz val="10"/>
      <color theme="9" tint="-0.249977111117893"/>
      <name val="Arial"/>
      <family val="2"/>
    </font>
    <font>
      <sz val="8"/>
      <color rgb="FF0070C0"/>
      <name val="Arial"/>
      <family val="2"/>
    </font>
    <font>
      <sz val="10"/>
      <color theme="5"/>
      <name val="Arial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C00000"/>
      <name val="Arial"/>
      <family val="2"/>
    </font>
    <font>
      <sz val="11"/>
      <color theme="1" tint="0.249977111117893"/>
      <name val="Calibri"/>
      <family val="2"/>
      <scheme val="minor"/>
    </font>
    <font>
      <u/>
      <sz val="10"/>
      <color theme="1" tint="0.249977111117893"/>
      <name val="Arial"/>
      <family val="2"/>
    </font>
    <font>
      <sz val="10"/>
      <color theme="1" tint="0.249977111117893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rgb="FFC00000"/>
      <name val="Calibri"/>
      <family val="2"/>
    </font>
    <font>
      <sz val="10"/>
      <color theme="1" tint="0.499984740745262"/>
      <name val="Calibri"/>
      <family val="2"/>
      <scheme val="minor"/>
    </font>
    <font>
      <sz val="10"/>
      <color theme="1" tint="0.499984740745262"/>
      <name val="Arial"/>
      <family val="2"/>
    </font>
    <font>
      <sz val="8"/>
      <color indexed="17"/>
      <name val="Arial"/>
      <family val="2"/>
    </font>
    <font>
      <i/>
      <sz val="9"/>
      <color theme="1"/>
      <name val="Arial"/>
      <family val="2"/>
    </font>
    <font>
      <sz val="9"/>
      <color theme="5"/>
      <name val="Arial"/>
      <family val="2"/>
    </font>
    <font>
      <sz val="10"/>
      <color rgb="FFC35D09"/>
      <name val="Arial"/>
      <family val="2"/>
    </font>
    <font>
      <b/>
      <sz val="10"/>
      <color rgb="FFC35D09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theme="8" tint="-0.249977111117893"/>
      <name val="Arial"/>
      <family val="2"/>
    </font>
    <font>
      <sz val="9"/>
      <color theme="5" tint="0.39997558519241921"/>
      <name val="Arial"/>
      <family val="2"/>
    </font>
    <font>
      <b/>
      <sz val="10"/>
      <color rgb="FFC00000"/>
      <name val="Arial"/>
      <family val="2"/>
    </font>
    <font>
      <strike/>
      <sz val="10"/>
      <color theme="1"/>
      <name val="Arial"/>
      <family val="2"/>
    </font>
    <font>
      <sz val="9"/>
      <color rgb="FF000000"/>
      <name val="Trebuchet MS"/>
      <family val="2"/>
    </font>
    <font>
      <sz val="11"/>
      <color rgb="FF008000"/>
      <name val="Calibri"/>
      <family val="2"/>
      <scheme val="minor"/>
    </font>
    <font>
      <sz val="9"/>
      <color indexed="17"/>
      <name val="Arial"/>
      <family val="2"/>
    </font>
    <font>
      <b/>
      <u/>
      <sz val="10"/>
      <color rgb="FF0070C0"/>
      <name val="Arial"/>
      <family val="2"/>
    </font>
    <font>
      <b/>
      <u/>
      <sz val="10"/>
      <color rgb="FFC00000"/>
      <name val="Arial"/>
      <family val="2"/>
    </font>
    <font>
      <sz val="10"/>
      <color indexed="17"/>
      <name val="Arial"/>
      <family val="2"/>
    </font>
    <font>
      <u/>
      <sz val="10"/>
      <color theme="8" tint="0.39997558519241921"/>
      <name val="Arial"/>
      <family val="2"/>
    </font>
    <font>
      <sz val="10"/>
      <color theme="8" tint="0.39997558519241921"/>
      <name val="Arial"/>
      <family val="2"/>
    </font>
    <font>
      <sz val="10"/>
      <color rgb="FF0070C0"/>
      <name val="Trebuchet MS"/>
      <family val="2"/>
    </font>
    <font>
      <sz val="8"/>
      <color rgb="FF000000"/>
      <name val="Trebuchet MS"/>
      <family val="2"/>
    </font>
    <font>
      <sz val="9"/>
      <color theme="8" tint="-0.249977111117893"/>
      <name val="Arial"/>
      <family val="2"/>
    </font>
    <font>
      <sz val="10"/>
      <color theme="8" tint="-0.249977111117893"/>
      <name val="Arial"/>
      <family val="2"/>
    </font>
    <font>
      <sz val="12"/>
      <color rgb="FFC00000"/>
      <name val="Arial"/>
      <family val="2"/>
    </font>
    <font>
      <b/>
      <sz val="14"/>
      <color rgb="FFFF0000"/>
      <name val="Arial"/>
      <family val="2"/>
    </font>
    <font>
      <i/>
      <sz val="10"/>
      <color rgb="FFC00000"/>
      <name val="Arial"/>
      <family val="2"/>
    </font>
    <font>
      <sz val="10"/>
      <color theme="0" tint="-0.499984740745262"/>
      <name val="Arial"/>
      <family val="2"/>
    </font>
    <font>
      <b/>
      <sz val="18"/>
      <color theme="7" tint="0.3999755851924192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B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/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66B4D9"/>
      </left>
      <right style="thin">
        <color rgb="FF66B4D9"/>
      </right>
      <top style="thin">
        <color rgb="FFE4E4E4"/>
      </top>
      <bottom style="thin">
        <color rgb="FFE4E4E4"/>
      </bottom>
      <diagonal/>
    </border>
    <border>
      <left style="thin">
        <color rgb="FF66B4D9"/>
      </left>
      <right style="thin">
        <color rgb="FF66B4D9"/>
      </right>
      <top style="thin">
        <color rgb="FFE4E4E4"/>
      </top>
      <bottom style="thin">
        <color rgb="FF66B4D9"/>
      </bottom>
      <diagonal/>
    </border>
    <border>
      <left style="thin">
        <color rgb="FF66B4D9"/>
      </left>
      <right style="thin">
        <color rgb="FF66B4D9"/>
      </right>
      <top style="thin">
        <color rgb="FF66B4D9"/>
      </top>
      <bottom style="thin">
        <color rgb="FFE4E4E4"/>
      </bottom>
      <diagonal/>
    </border>
    <border>
      <left/>
      <right/>
      <top style="thin">
        <color rgb="FF66B4D9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 style="thin">
        <color rgb="FF008000"/>
      </right>
      <top/>
      <bottom/>
      <diagonal/>
    </border>
    <border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>
      <left/>
      <right/>
      <top/>
      <bottom style="thin">
        <color rgb="FF008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425">
    <xf numFmtId="0" fontId="0" fillId="0" borderId="0" xfId="0"/>
    <xf numFmtId="0" fontId="0" fillId="0" borderId="0" xfId="0" quotePrefix="1" applyAlignment="1">
      <alignment horizontal="left"/>
    </xf>
    <xf numFmtId="0" fontId="8" fillId="0" borderId="0" xfId="0" applyFont="1" applyAlignment="1">
      <alignment horizontal="center"/>
    </xf>
    <xf numFmtId="0" fontId="0" fillId="0" borderId="1" xfId="0" applyBorder="1"/>
    <xf numFmtId="0" fontId="7" fillId="0" borderId="0" xfId="0" applyFont="1" applyFill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165" fontId="7" fillId="0" borderId="0" xfId="0" applyNumberFormat="1" applyFont="1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quotePrefix="1" applyBorder="1" applyAlignment="1">
      <alignment horizontal="left"/>
    </xf>
    <xf numFmtId="0" fontId="0" fillId="0" borderId="6" xfId="0" applyBorder="1"/>
    <xf numFmtId="0" fontId="0" fillId="0" borderId="0" xfId="0" applyBorder="1" applyAlignment="1">
      <alignment horizontal="center"/>
    </xf>
    <xf numFmtId="0" fontId="10" fillId="0" borderId="0" xfId="0" applyFont="1" applyBorder="1"/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3" fillId="0" borderId="0" xfId="0" quotePrefix="1" applyFont="1" applyAlignment="1">
      <alignment horizontal="left"/>
    </xf>
    <xf numFmtId="2" fontId="0" fillId="2" borderId="0" xfId="0" applyNumberFormat="1" applyFill="1" applyBorder="1" applyAlignment="1">
      <alignment horizontal="center"/>
    </xf>
    <xf numFmtId="0" fontId="14" fillId="0" borderId="0" xfId="0" applyFont="1" applyBorder="1"/>
    <xf numFmtId="0" fontId="12" fillId="0" borderId="0" xfId="0" applyFont="1" applyBorder="1" applyAlignment="1">
      <alignment horizontal="center"/>
    </xf>
    <xf numFmtId="0" fontId="8" fillId="0" borderId="0" xfId="0" quotePrefix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1" fontId="0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0" fontId="0" fillId="0" borderId="0" xfId="0" applyBorder="1" applyAlignment="1">
      <alignment horizontal="right"/>
    </xf>
    <xf numFmtId="2" fontId="14" fillId="0" borderId="0" xfId="0" applyNumberFormat="1" applyFont="1" applyBorder="1"/>
    <xf numFmtId="0" fontId="6" fillId="0" borderId="0" xfId="0" applyFont="1" applyBorder="1" applyAlignment="1">
      <alignment horizontal="center"/>
    </xf>
    <xf numFmtId="0" fontId="13" fillId="0" borderId="3" xfId="0" quotePrefix="1" applyFont="1" applyBorder="1" applyAlignment="1">
      <alignment horizontal="left"/>
    </xf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3" fillId="0" borderId="0" xfId="0" quotePrefix="1" applyFont="1" applyBorder="1" applyAlignment="1">
      <alignment horizontal="left"/>
    </xf>
    <xf numFmtId="1" fontId="0" fillId="0" borderId="0" xfId="0" applyNumberFormat="1" applyBorder="1"/>
    <xf numFmtId="0" fontId="0" fillId="0" borderId="5" xfId="0" quotePrefix="1" applyBorder="1" applyAlignment="1">
      <alignment horizontal="left"/>
    </xf>
    <xf numFmtId="0" fontId="13" fillId="0" borderId="5" xfId="0" quotePrefix="1" applyFont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164" fontId="17" fillId="0" borderId="1" xfId="0" applyNumberFormat="1" applyFont="1" applyFill="1" applyBorder="1" applyAlignment="1">
      <alignment horizontal="center"/>
    </xf>
    <xf numFmtId="1" fontId="14" fillId="0" borderId="0" xfId="0" applyNumberFormat="1" applyFont="1" applyBorder="1" applyAlignment="1">
      <alignment horizontal="center"/>
    </xf>
    <xf numFmtId="1" fontId="14" fillId="2" borderId="0" xfId="0" applyNumberFormat="1" applyFont="1" applyFill="1" applyBorder="1" applyAlignment="1">
      <alignment horizontal="center"/>
    </xf>
    <xf numFmtId="1" fontId="17" fillId="3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" fontId="17" fillId="0" borderId="0" xfId="0" applyNumberFormat="1" applyFont="1" applyFill="1" applyBorder="1" applyAlignment="1">
      <alignment horizontal="center"/>
    </xf>
    <xf numFmtId="0" fontId="18" fillId="0" borderId="5" xfId="0" quotePrefix="1" applyFont="1" applyBorder="1" applyAlignment="1">
      <alignment horizontal="left"/>
    </xf>
    <xf numFmtId="0" fontId="10" fillId="0" borderId="5" xfId="0" quotePrefix="1" applyFont="1" applyBorder="1" applyAlignment="1">
      <alignment horizontal="left"/>
    </xf>
    <xf numFmtId="0" fontId="12" fillId="0" borderId="0" xfId="0" quotePrefix="1" applyFont="1" applyAlignment="1">
      <alignment horizontal="left"/>
    </xf>
    <xf numFmtId="0" fontId="10" fillId="0" borderId="0" xfId="0" applyFont="1"/>
    <xf numFmtId="0" fontId="7" fillId="0" borderId="0" xfId="0" applyFont="1" applyAlignment="1">
      <alignment horizontal="center"/>
    </xf>
    <xf numFmtId="0" fontId="19" fillId="0" borderId="0" xfId="0" applyFont="1"/>
    <xf numFmtId="1" fontId="10" fillId="2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165" fontId="0" fillId="0" borderId="0" xfId="0" applyNumberFormat="1" applyBorder="1"/>
    <xf numFmtId="0" fontId="10" fillId="3" borderId="1" xfId="0" applyFont="1" applyFill="1" applyBorder="1" applyAlignment="1">
      <alignment horizontal="center"/>
    </xf>
    <xf numFmtId="0" fontId="0" fillId="0" borderId="9" xfId="0" applyBorder="1"/>
    <xf numFmtId="0" fontId="10" fillId="0" borderId="11" xfId="0" applyFont="1" applyBorder="1" applyAlignment="1">
      <alignment horizontal="center"/>
    </xf>
    <xf numFmtId="0" fontId="0" fillId="0" borderId="10" xfId="0" applyBorder="1"/>
    <xf numFmtId="0" fontId="13" fillId="0" borderId="0" xfId="0" applyFont="1"/>
    <xf numFmtId="2" fontId="13" fillId="0" borderId="0" xfId="0" applyNumberFormat="1" applyFont="1" applyAlignment="1">
      <alignment horizontal="center"/>
    </xf>
    <xf numFmtId="0" fontId="21" fillId="0" borderId="2" xfId="0" quotePrefix="1" applyFont="1" applyBorder="1" applyAlignment="1">
      <alignment horizontal="left"/>
    </xf>
    <xf numFmtId="1" fontId="0" fillId="0" borderId="5" xfId="0" applyNumberFormat="1" applyBorder="1"/>
    <xf numFmtId="2" fontId="10" fillId="0" borderId="0" xfId="0" applyNumberFormat="1" applyFont="1" applyBorder="1" applyAlignment="1">
      <alignment horizontal="center"/>
    </xf>
    <xf numFmtId="2" fontId="10" fillId="2" borderId="0" xfId="0" applyNumberFormat="1" applyFont="1" applyFill="1" applyBorder="1" applyAlignment="1">
      <alignment horizontal="center"/>
    </xf>
    <xf numFmtId="166" fontId="11" fillId="0" borderId="0" xfId="0" applyNumberFormat="1" applyFont="1" applyBorder="1" applyAlignment="1">
      <alignment horizontal="center" vertical="center" wrapText="1"/>
    </xf>
    <xf numFmtId="166" fontId="11" fillId="2" borderId="0" xfId="0" applyNumberFormat="1" applyFont="1" applyFill="1" applyBorder="1" applyAlignment="1">
      <alignment horizontal="center" vertical="center" wrapText="1"/>
    </xf>
    <xf numFmtId="166" fontId="15" fillId="0" borderId="0" xfId="0" applyNumberFormat="1" applyFont="1" applyBorder="1" applyAlignment="1">
      <alignment horizontal="center" vertical="center" wrapText="1"/>
    </xf>
    <xf numFmtId="166" fontId="15" fillId="2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0" fontId="0" fillId="0" borderId="0" xfId="0" quotePrefix="1" applyFill="1" applyBorder="1" applyAlignment="1">
      <alignment horizontal="left"/>
    </xf>
    <xf numFmtId="0" fontId="20" fillId="0" borderId="0" xfId="0" quotePrefix="1" applyFont="1" applyAlignment="1">
      <alignment horizontal="left"/>
    </xf>
    <xf numFmtId="0" fontId="22" fillId="0" borderId="0" xfId="0" applyFont="1"/>
    <xf numFmtId="0" fontId="22" fillId="0" borderId="0" xfId="0" quotePrefix="1" applyFont="1" applyAlignment="1">
      <alignment horizontal="left"/>
    </xf>
    <xf numFmtId="0" fontId="23" fillId="0" borderId="0" xfId="0" quotePrefix="1" applyFont="1" applyAlignment="1">
      <alignment horizontal="left"/>
    </xf>
    <xf numFmtId="0" fontId="24" fillId="0" borderId="0" xfId="0" applyFont="1" applyBorder="1"/>
    <xf numFmtId="0" fontId="22" fillId="0" borderId="0" xfId="0" applyFont="1" applyBorder="1"/>
    <xf numFmtId="164" fontId="22" fillId="0" borderId="0" xfId="0" applyNumberFormat="1" applyFont="1" applyBorder="1" applyAlignment="1">
      <alignment horizontal="center"/>
    </xf>
    <xf numFmtId="0" fontId="22" fillId="3" borderId="0" xfId="0" applyFont="1" applyFill="1" applyBorder="1" applyAlignment="1">
      <alignment horizontal="center"/>
    </xf>
    <xf numFmtId="2" fontId="22" fillId="0" borderId="0" xfId="0" applyNumberFormat="1" applyFont="1" applyBorder="1" applyAlignment="1">
      <alignment horizontal="center"/>
    </xf>
    <xf numFmtId="2" fontId="22" fillId="2" borderId="0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6" fillId="0" borderId="0" xfId="0" quotePrefix="1" applyFont="1" applyBorder="1" applyAlignment="1">
      <alignment horizontal="left"/>
    </xf>
    <xf numFmtId="0" fontId="26" fillId="0" borderId="0" xfId="0" applyFont="1" applyFill="1" applyBorder="1"/>
    <xf numFmtId="2" fontId="22" fillId="4" borderId="0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quotePrefix="1" applyFont="1" applyAlignment="1">
      <alignment horizontal="left"/>
    </xf>
    <xf numFmtId="0" fontId="26" fillId="3" borderId="0" xfId="0" applyFont="1" applyFill="1" applyAlignment="1">
      <alignment horizontal="center"/>
    </xf>
    <xf numFmtId="0" fontId="26" fillId="5" borderId="0" xfId="0" applyFont="1" applyFill="1" applyAlignment="1">
      <alignment horizontal="center"/>
    </xf>
    <xf numFmtId="0" fontId="26" fillId="3" borderId="0" xfId="0" applyFont="1" applyFill="1" applyBorder="1" applyAlignment="1">
      <alignment horizontal="center"/>
    </xf>
    <xf numFmtId="0" fontId="26" fillId="3" borderId="0" xfId="0" quotePrefix="1" applyFont="1" applyFill="1" applyAlignment="1">
      <alignment horizontal="center"/>
    </xf>
    <xf numFmtId="0" fontId="26" fillId="5" borderId="0" xfId="0" quotePrefix="1" applyFont="1" applyFill="1" applyAlignment="1">
      <alignment horizontal="center"/>
    </xf>
    <xf numFmtId="0" fontId="27" fillId="5" borderId="0" xfId="0" quotePrefix="1" applyFont="1" applyFill="1" applyAlignment="1">
      <alignment horizontal="center"/>
    </xf>
    <xf numFmtId="166" fontId="28" fillId="4" borderId="0" xfId="0" applyNumberFormat="1" applyFont="1" applyFill="1" applyBorder="1" applyAlignment="1">
      <alignment horizontal="center"/>
    </xf>
    <xf numFmtId="166" fontId="28" fillId="2" borderId="0" xfId="0" applyNumberFormat="1" applyFont="1" applyFill="1" applyBorder="1" applyAlignment="1">
      <alignment horizontal="center"/>
    </xf>
    <xf numFmtId="166" fontId="28" fillId="0" borderId="0" xfId="0" applyNumberFormat="1" applyFont="1" applyBorder="1" applyAlignment="1">
      <alignment horizontal="center"/>
    </xf>
    <xf numFmtId="167" fontId="22" fillId="0" borderId="0" xfId="0" applyNumberFormat="1" applyFont="1"/>
    <xf numFmtId="166" fontId="24" fillId="4" borderId="0" xfId="0" applyNumberFormat="1" applyFont="1" applyFill="1" applyBorder="1" applyAlignment="1">
      <alignment horizontal="center"/>
    </xf>
    <xf numFmtId="166" fontId="24" fillId="2" borderId="0" xfId="0" applyNumberFormat="1" applyFont="1" applyFill="1" applyBorder="1" applyAlignment="1">
      <alignment horizontal="center"/>
    </xf>
    <xf numFmtId="166" fontId="24" fillId="0" borderId="0" xfId="0" applyNumberFormat="1" applyFont="1" applyBorder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/>
    </xf>
    <xf numFmtId="165" fontId="22" fillId="0" borderId="0" xfId="0" applyNumberFormat="1" applyFont="1" applyAlignment="1">
      <alignment horizontal="center"/>
    </xf>
    <xf numFmtId="0" fontId="30" fillId="3" borderId="0" xfId="0" quotePrefix="1" applyFont="1" applyFill="1" applyAlignment="1">
      <alignment horizontal="center"/>
    </xf>
    <xf numFmtId="0" fontId="29" fillId="3" borderId="0" xfId="0" quotePrefix="1" applyFont="1" applyFill="1" applyAlignment="1">
      <alignment horizontal="center"/>
    </xf>
    <xf numFmtId="166" fontId="23" fillId="4" borderId="0" xfId="0" applyNumberFormat="1" applyFont="1" applyFill="1" applyBorder="1" applyAlignment="1">
      <alignment horizontal="center"/>
    </xf>
    <xf numFmtId="166" fontId="23" fillId="2" borderId="0" xfId="0" applyNumberFormat="1" applyFont="1" applyFill="1" applyBorder="1" applyAlignment="1">
      <alignment horizontal="center"/>
    </xf>
    <xf numFmtId="166" fontId="23" fillId="0" borderId="0" xfId="0" applyNumberFormat="1" applyFont="1" applyBorder="1" applyAlignment="1">
      <alignment horizontal="center"/>
    </xf>
    <xf numFmtId="2" fontId="24" fillId="0" borderId="0" xfId="0" applyNumberFormat="1" applyFont="1" applyBorder="1" applyAlignment="1">
      <alignment horizontal="center"/>
    </xf>
    <xf numFmtId="2" fontId="24" fillId="2" borderId="0" xfId="0" applyNumberFormat="1" applyFont="1" applyFill="1" applyBorder="1" applyAlignment="1">
      <alignment horizontal="center"/>
    </xf>
    <xf numFmtId="2" fontId="24" fillId="4" borderId="0" xfId="0" applyNumberFormat="1" applyFont="1" applyFill="1" applyBorder="1" applyAlignment="1">
      <alignment horizontal="center"/>
    </xf>
    <xf numFmtId="0" fontId="31" fillId="0" borderId="0" xfId="0" quotePrefix="1" applyFont="1" applyBorder="1" applyAlignment="1">
      <alignment horizontal="left"/>
    </xf>
    <xf numFmtId="0" fontId="32" fillId="0" borderId="0" xfId="0" applyFont="1" applyAlignment="1">
      <alignment horizontal="center"/>
    </xf>
    <xf numFmtId="0" fontId="22" fillId="0" borderId="2" xfId="0" applyFont="1" applyBorder="1"/>
    <xf numFmtId="0" fontId="22" fillId="0" borderId="3" xfId="0" applyFont="1" applyBorder="1"/>
    <xf numFmtId="0" fontId="22" fillId="0" borderId="4" xfId="0" applyFont="1" applyBorder="1"/>
    <xf numFmtId="0" fontId="22" fillId="0" borderId="5" xfId="0" applyFont="1" applyBorder="1"/>
    <xf numFmtId="0" fontId="22" fillId="0" borderId="0" xfId="0" quotePrefix="1" applyFont="1" applyBorder="1" applyAlignment="1">
      <alignment horizontal="right"/>
    </xf>
    <xf numFmtId="0" fontId="25" fillId="0" borderId="0" xfId="0" quotePrefix="1" applyFont="1" applyBorder="1" applyAlignment="1">
      <alignment horizontal="left"/>
    </xf>
    <xf numFmtId="0" fontId="22" fillId="0" borderId="6" xfId="0" applyFont="1" applyBorder="1"/>
    <xf numFmtId="0" fontId="26" fillId="3" borderId="5" xfId="0" applyFont="1" applyFill="1" applyBorder="1" applyAlignment="1">
      <alignment horizontal="center"/>
    </xf>
    <xf numFmtId="0" fontId="30" fillId="3" borderId="0" xfId="0" quotePrefix="1" applyFont="1" applyFill="1" applyBorder="1" applyAlignment="1">
      <alignment horizontal="center"/>
    </xf>
    <xf numFmtId="166" fontId="30" fillId="3" borderId="0" xfId="0" quotePrefix="1" applyNumberFormat="1" applyFont="1" applyFill="1" applyBorder="1" applyAlignment="1">
      <alignment horizontal="center"/>
    </xf>
    <xf numFmtId="0" fontId="30" fillId="3" borderId="6" xfId="0" quotePrefix="1" applyFont="1" applyFill="1" applyBorder="1" applyAlignment="1">
      <alignment horizontal="center"/>
    </xf>
    <xf numFmtId="0" fontId="26" fillId="3" borderId="6" xfId="0" applyFont="1" applyFill="1" applyBorder="1" applyAlignment="1">
      <alignment horizontal="center"/>
    </xf>
    <xf numFmtId="0" fontId="22" fillId="3" borderId="5" xfId="0" applyFont="1" applyFill="1" applyBorder="1" applyAlignment="1">
      <alignment horizontal="center"/>
    </xf>
    <xf numFmtId="166" fontId="23" fillId="4" borderId="6" xfId="0" applyNumberFormat="1" applyFont="1" applyFill="1" applyBorder="1" applyAlignment="1">
      <alignment horizontal="center"/>
    </xf>
    <xf numFmtId="166" fontId="23" fillId="2" borderId="6" xfId="0" applyNumberFormat="1" applyFont="1" applyFill="1" applyBorder="1" applyAlignment="1">
      <alignment horizontal="center"/>
    </xf>
    <xf numFmtId="166" fontId="23" fillId="0" borderId="6" xfId="0" applyNumberFormat="1" applyFont="1" applyBorder="1" applyAlignment="1">
      <alignment horizontal="center"/>
    </xf>
    <xf numFmtId="0" fontId="22" fillId="0" borderId="7" xfId="0" applyFont="1" applyBorder="1"/>
    <xf numFmtId="0" fontId="23" fillId="0" borderId="1" xfId="0" applyFont="1" applyBorder="1"/>
    <xf numFmtId="0" fontId="22" fillId="0" borderId="8" xfId="0" applyFont="1" applyBorder="1"/>
    <xf numFmtId="166" fontId="22" fillId="4" borderId="0" xfId="0" applyNumberFormat="1" applyFont="1" applyFill="1" applyBorder="1" applyAlignment="1">
      <alignment horizontal="center"/>
    </xf>
    <xf numFmtId="166" fontId="22" fillId="2" borderId="0" xfId="0" applyNumberFormat="1" applyFont="1" applyFill="1" applyBorder="1" applyAlignment="1">
      <alignment horizontal="center"/>
    </xf>
    <xf numFmtId="166" fontId="22" fillId="0" borderId="0" xfId="0" applyNumberFormat="1" applyFont="1" applyBorder="1" applyAlignment="1">
      <alignment horizontal="center"/>
    </xf>
    <xf numFmtId="0" fontId="5" fillId="0" borderId="0" xfId="0" applyFont="1"/>
    <xf numFmtId="0" fontId="24" fillId="0" borderId="0" xfId="0" quotePrefix="1" applyFont="1" applyAlignment="1">
      <alignment horizontal="center" vertical="top"/>
    </xf>
    <xf numFmtId="0" fontId="33" fillId="0" borderId="0" xfId="0" applyFont="1"/>
    <xf numFmtId="164" fontId="22" fillId="0" borderId="0" xfId="0" applyNumberFormat="1" applyFont="1"/>
    <xf numFmtId="0" fontId="24" fillId="0" borderId="0" xfId="0" applyFont="1"/>
    <xf numFmtId="165" fontId="24" fillId="0" borderId="0" xfId="0" applyNumberFormat="1" applyFont="1" applyBorder="1" applyAlignment="1">
      <alignment horizontal="center"/>
    </xf>
    <xf numFmtId="165" fontId="24" fillId="2" borderId="0" xfId="0" applyNumberFormat="1" applyFont="1" applyFill="1" applyBorder="1" applyAlignment="1">
      <alignment horizontal="center"/>
    </xf>
    <xf numFmtId="0" fontId="35" fillId="0" borderId="0" xfId="0" applyFont="1"/>
    <xf numFmtId="164" fontId="22" fillId="4" borderId="0" xfId="0" applyNumberFormat="1" applyFont="1" applyFill="1" applyBorder="1" applyAlignment="1">
      <alignment horizontal="center"/>
    </xf>
    <xf numFmtId="164" fontId="22" fillId="2" borderId="0" xfId="0" applyNumberFormat="1" applyFont="1" applyFill="1" applyBorder="1" applyAlignment="1">
      <alignment horizontal="center"/>
    </xf>
    <xf numFmtId="0" fontId="18" fillId="0" borderId="0" xfId="0" applyFont="1"/>
    <xf numFmtId="0" fontId="0" fillId="0" borderId="0" xfId="0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164" fontId="22" fillId="0" borderId="12" xfId="0" applyNumberFormat="1" applyFont="1" applyFill="1" applyBorder="1" applyAlignment="1">
      <alignment horizontal="center"/>
    </xf>
    <xf numFmtId="164" fontId="22" fillId="2" borderId="13" xfId="0" applyNumberFormat="1" applyFont="1" applyFill="1" applyBorder="1" applyAlignment="1">
      <alignment horizontal="center"/>
    </xf>
    <xf numFmtId="164" fontId="22" fillId="0" borderId="13" xfId="0" applyNumberFormat="1" applyFont="1" applyBorder="1" applyAlignment="1">
      <alignment horizontal="center"/>
    </xf>
    <xf numFmtId="164" fontId="22" fillId="0" borderId="14" xfId="0" applyNumberFormat="1" applyFont="1" applyBorder="1" applyAlignment="1">
      <alignment horizontal="center"/>
    </xf>
    <xf numFmtId="0" fontId="37" fillId="0" borderId="0" xfId="0" applyFont="1"/>
    <xf numFmtId="0" fontId="4" fillId="0" borderId="0" xfId="0" applyFont="1" applyAlignment="1">
      <alignment horizontal="right"/>
    </xf>
    <xf numFmtId="0" fontId="38" fillId="0" borderId="0" xfId="0" quotePrefix="1" applyFont="1" applyBorder="1" applyAlignment="1">
      <alignment horizontal="left"/>
    </xf>
    <xf numFmtId="0" fontId="26" fillId="0" borderId="0" xfId="0" quotePrefix="1" applyFont="1" applyAlignment="1">
      <alignment horizontal="left"/>
    </xf>
    <xf numFmtId="0" fontId="18" fillId="0" borderId="0" xfId="0" applyFont="1" applyBorder="1"/>
    <xf numFmtId="0" fontId="18" fillId="0" borderId="0" xfId="0" quotePrefix="1" applyFont="1" applyBorder="1" applyAlignment="1">
      <alignment horizontal="left"/>
    </xf>
    <xf numFmtId="0" fontId="0" fillId="0" borderId="0" xfId="0" applyFill="1" applyBorder="1"/>
    <xf numFmtId="2" fontId="0" fillId="0" borderId="0" xfId="0" applyNumberFormat="1" applyFill="1" applyBorder="1" applyAlignment="1">
      <alignment horizontal="center"/>
    </xf>
    <xf numFmtId="2" fontId="13" fillId="0" borderId="0" xfId="0" applyNumberFormat="1" applyFont="1"/>
    <xf numFmtId="0" fontId="26" fillId="3" borderId="0" xfId="0" applyFont="1" applyFill="1" applyAlignment="1">
      <alignment horizontal="right"/>
    </xf>
    <xf numFmtId="0" fontId="26" fillId="3" borderId="0" xfId="0" quotePrefix="1" applyFont="1" applyFill="1" applyAlignment="1">
      <alignment horizontal="right"/>
    </xf>
    <xf numFmtId="164" fontId="0" fillId="0" borderId="15" xfId="0" applyNumberFormat="1" applyBorder="1" applyAlignment="1">
      <alignment horizontal="center" vertical="center" wrapText="1"/>
    </xf>
    <xf numFmtId="164" fontId="0" fillId="6" borderId="15" xfId="0" applyNumberFormat="1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39" fillId="0" borderId="0" xfId="0" quotePrefix="1" applyFont="1" applyAlignment="1">
      <alignment horizontal="center"/>
    </xf>
    <xf numFmtId="0" fontId="0" fillId="0" borderId="0" xfId="0" quotePrefix="1" applyAlignment="1">
      <alignment horizontal="right"/>
    </xf>
    <xf numFmtId="164" fontId="0" fillId="0" borderId="17" xfId="0" applyNumberFormat="1" applyBorder="1" applyAlignment="1">
      <alignment horizontal="center" vertical="center" wrapText="1"/>
    </xf>
    <xf numFmtId="2" fontId="10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38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 vertical="center" wrapText="1"/>
    </xf>
    <xf numFmtId="1" fontId="0" fillId="0" borderId="0" xfId="0" applyNumberFormat="1"/>
    <xf numFmtId="0" fontId="40" fillId="0" borderId="0" xfId="0" quotePrefix="1" applyFont="1" applyAlignment="1">
      <alignment horizontal="left"/>
    </xf>
    <xf numFmtId="2" fontId="10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horizontal="center"/>
    </xf>
    <xf numFmtId="1" fontId="38" fillId="2" borderId="0" xfId="0" applyNumberFormat="1" applyFont="1" applyFill="1" applyAlignment="1">
      <alignment horizontal="center"/>
    </xf>
    <xf numFmtId="166" fontId="11" fillId="2" borderId="0" xfId="0" applyNumberFormat="1" applyFont="1" applyFill="1" applyAlignment="1">
      <alignment horizontal="center" vertical="center" wrapText="1"/>
    </xf>
    <xf numFmtId="0" fontId="36" fillId="0" borderId="0" xfId="0" applyFont="1" applyAlignment="1">
      <alignment horizontal="center"/>
    </xf>
    <xf numFmtId="164" fontId="38" fillId="0" borderId="0" xfId="0" applyNumberFormat="1" applyFont="1"/>
    <xf numFmtId="164" fontId="41" fillId="0" borderId="0" xfId="0" applyNumberFormat="1" applyFont="1"/>
    <xf numFmtId="0" fontId="41" fillId="0" borderId="0" xfId="0" applyFont="1"/>
    <xf numFmtId="166" fontId="23" fillId="0" borderId="0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quotePrefix="1" applyFont="1" applyAlignment="1">
      <alignment horizontal="left"/>
    </xf>
    <xf numFmtId="0" fontId="0" fillId="0" borderId="0" xfId="0" applyAlignment="1">
      <alignment horizontal="left" indent="1"/>
    </xf>
    <xf numFmtId="166" fontId="42" fillId="0" borderId="0" xfId="0" applyNumberFormat="1" applyFont="1" applyBorder="1" applyAlignment="1">
      <alignment horizontal="center" vertical="center" wrapText="1"/>
    </xf>
    <xf numFmtId="166" fontId="42" fillId="2" borderId="0" xfId="0" applyNumberFormat="1" applyFont="1" applyFill="1" applyBorder="1" applyAlignment="1">
      <alignment horizontal="center" vertical="center" wrapText="1"/>
    </xf>
    <xf numFmtId="164" fontId="44" fillId="0" borderId="17" xfId="0" applyNumberFormat="1" applyFont="1" applyBorder="1" applyAlignment="1">
      <alignment horizontal="center" vertical="center" wrapText="1"/>
    </xf>
    <xf numFmtId="164" fontId="44" fillId="6" borderId="15" xfId="0" applyNumberFormat="1" applyFont="1" applyFill="1" applyBorder="1" applyAlignment="1">
      <alignment horizontal="center" vertical="center" wrapText="1"/>
    </xf>
    <xf numFmtId="164" fontId="44" fillId="0" borderId="15" xfId="0" applyNumberFormat="1" applyFont="1" applyBorder="1" applyAlignment="1">
      <alignment horizontal="center" vertical="center" wrapText="1"/>
    </xf>
    <xf numFmtId="164" fontId="44" fillId="0" borderId="16" xfId="0" applyNumberFormat="1" applyFont="1" applyBorder="1" applyAlignment="1">
      <alignment horizontal="center" vertical="center" wrapText="1"/>
    </xf>
    <xf numFmtId="0" fontId="26" fillId="7" borderId="0" xfId="0" quotePrefix="1" applyFont="1" applyFill="1" applyAlignment="1">
      <alignment horizontal="center"/>
    </xf>
    <xf numFmtId="0" fontId="43" fillId="0" borderId="0" xfId="0" quotePrefix="1" applyFont="1" applyAlignment="1">
      <alignment horizontal="center"/>
    </xf>
    <xf numFmtId="0" fontId="26" fillId="8" borderId="0" xfId="0" quotePrefix="1" applyFont="1" applyFill="1" applyAlignment="1">
      <alignment horizontal="center"/>
    </xf>
    <xf numFmtId="0" fontId="44" fillId="0" borderId="0" xfId="0" applyFont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164" fontId="0" fillId="6" borderId="0" xfId="0" applyNumberFormat="1" applyFill="1" applyBorder="1" applyAlignment="1">
      <alignment horizontal="center" vertical="center" wrapText="1"/>
    </xf>
    <xf numFmtId="2" fontId="36" fillId="0" borderId="0" xfId="0" applyNumberFormat="1" applyFont="1" applyAlignment="1">
      <alignment horizontal="center"/>
    </xf>
    <xf numFmtId="0" fontId="0" fillId="0" borderId="0" xfId="0" quotePrefix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4" fontId="10" fillId="2" borderId="0" xfId="0" applyNumberFormat="1" applyFont="1" applyFill="1" applyBorder="1" applyAlignment="1">
      <alignment horizontal="center"/>
    </xf>
    <xf numFmtId="164" fontId="0" fillId="0" borderId="0" xfId="0" applyNumberFormat="1"/>
    <xf numFmtId="2" fontId="0" fillId="0" borderId="0" xfId="0" applyNumberFormat="1"/>
    <xf numFmtId="0" fontId="2" fillId="0" borderId="0" xfId="0" applyFont="1"/>
    <xf numFmtId="0" fontId="14" fillId="0" borderId="0" xfId="0" applyFont="1"/>
    <xf numFmtId="0" fontId="2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165" fontId="45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37" fillId="0" borderId="0" xfId="0" applyFont="1" applyBorder="1"/>
    <xf numFmtId="2" fontId="10" fillId="0" borderId="0" xfId="0" applyNumberFormat="1" applyFont="1" applyBorder="1"/>
    <xf numFmtId="2" fontId="0" fillId="0" borderId="0" xfId="0" applyNumberFormat="1" applyBorder="1"/>
    <xf numFmtId="2" fontId="37" fillId="0" borderId="0" xfId="0" applyNumberFormat="1" applyFont="1" applyBorder="1"/>
    <xf numFmtId="2" fontId="23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46" fillId="0" borderId="0" xfId="0" quotePrefix="1" applyFont="1" applyBorder="1" applyAlignment="1">
      <alignment horizontal="left"/>
    </xf>
    <xf numFmtId="0" fontId="46" fillId="0" borderId="0" xfId="0" applyFont="1" applyBorder="1"/>
    <xf numFmtId="0" fontId="0" fillId="7" borderId="0" xfId="0" quotePrefix="1" applyFill="1" applyAlignment="1">
      <alignment horizontal="left"/>
    </xf>
    <xf numFmtId="0" fontId="0" fillId="7" borderId="0" xfId="0" applyFill="1"/>
    <xf numFmtId="9" fontId="47" fillId="0" borderId="0" xfId="0" applyNumberFormat="1" applyFont="1"/>
    <xf numFmtId="0" fontId="49" fillId="0" borderId="0" xfId="0" applyFont="1"/>
    <xf numFmtId="0" fontId="49" fillId="0" borderId="0" xfId="0" quotePrefix="1" applyFont="1" applyAlignment="1">
      <alignment horizontal="left"/>
    </xf>
    <xf numFmtId="165" fontId="0" fillId="0" borderId="0" xfId="0" applyNumberFormat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2" fontId="48" fillId="0" borderId="0" xfId="0" applyNumberFormat="1" applyFont="1" applyAlignment="1">
      <alignment horizontal="center"/>
    </xf>
    <xf numFmtId="0" fontId="34" fillId="0" borderId="0" xfId="0" quotePrefix="1" applyFont="1" applyAlignment="1">
      <alignment horizontal="left"/>
    </xf>
    <xf numFmtId="1" fontId="24" fillId="0" borderId="0" xfId="0" applyNumberFormat="1" applyFont="1" applyAlignment="1">
      <alignment horizontal="center"/>
    </xf>
    <xf numFmtId="0" fontId="35" fillId="0" borderId="0" xfId="0" applyFont="1" applyAlignment="1">
      <alignment horizontal="center"/>
    </xf>
    <xf numFmtId="0" fontId="51" fillId="0" borderId="0" xfId="0" applyFont="1"/>
    <xf numFmtId="0" fontId="51" fillId="0" borderId="0" xfId="0" quotePrefix="1" applyFont="1" applyAlignment="1">
      <alignment horizontal="left"/>
    </xf>
    <xf numFmtId="168" fontId="52" fillId="0" borderId="0" xfId="0" applyNumberFormat="1" applyFont="1"/>
    <xf numFmtId="0" fontId="52" fillId="0" borderId="0" xfId="0" applyFont="1"/>
    <xf numFmtId="0" fontId="0" fillId="0" borderId="0" xfId="0" applyNumberFormat="1"/>
    <xf numFmtId="0" fontId="18" fillId="0" borderId="0" xfId="0" applyNumberFormat="1" applyFont="1"/>
    <xf numFmtId="0" fontId="23" fillId="7" borderId="0" xfId="0" applyFont="1" applyFill="1" applyAlignment="1">
      <alignment horizontal="center"/>
    </xf>
    <xf numFmtId="165" fontId="18" fillId="0" borderId="0" xfId="0" applyNumberFormat="1" applyFont="1"/>
    <xf numFmtId="0" fontId="23" fillId="7" borderId="20" xfId="0" applyFont="1" applyFill="1" applyBorder="1" applyAlignment="1">
      <alignment horizontal="center"/>
    </xf>
    <xf numFmtId="2" fontId="48" fillId="0" borderId="21" xfId="0" applyNumberFormat="1" applyFont="1" applyBorder="1" applyAlignment="1">
      <alignment horizontal="center"/>
    </xf>
    <xf numFmtId="0" fontId="48" fillId="0" borderId="19" xfId="0" quotePrefix="1" applyFont="1" applyBorder="1" applyAlignment="1">
      <alignment horizontal="left"/>
    </xf>
    <xf numFmtId="165" fontId="54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165" fontId="22" fillId="0" borderId="0" xfId="0" applyNumberFormat="1" applyFont="1"/>
    <xf numFmtId="0" fontId="55" fillId="0" borderId="22" xfId="0" applyFont="1" applyBorder="1" applyAlignment="1">
      <alignment horizontal="center" vertical="center" wrapText="1"/>
    </xf>
    <xf numFmtId="0" fontId="55" fillId="9" borderId="22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quotePrefix="1" applyFont="1" applyAlignment="1">
      <alignment horizontal="left"/>
    </xf>
    <xf numFmtId="0" fontId="55" fillId="0" borderId="23" xfId="0" applyFont="1" applyBorder="1" applyAlignment="1">
      <alignment horizontal="center" vertical="center" wrapText="1"/>
    </xf>
    <xf numFmtId="0" fontId="55" fillId="6" borderId="23" xfId="0" applyFont="1" applyFill="1" applyBorder="1" applyAlignment="1">
      <alignment horizontal="center" vertical="center" wrapText="1"/>
    </xf>
    <xf numFmtId="166" fontId="0" fillId="0" borderId="0" xfId="0" applyNumberFormat="1" applyBorder="1" applyAlignment="1">
      <alignment horizontal="center"/>
    </xf>
    <xf numFmtId="166" fontId="0" fillId="2" borderId="0" xfId="0" applyNumberFormat="1" applyFill="1" applyBorder="1" applyAlignment="1">
      <alignment horizontal="center"/>
    </xf>
    <xf numFmtId="167" fontId="56" fillId="0" borderId="0" xfId="0" applyNumberFormat="1" applyFont="1" applyFill="1" applyBorder="1" applyAlignment="1">
      <alignment horizontal="center"/>
    </xf>
    <xf numFmtId="167" fontId="7" fillId="0" borderId="0" xfId="0" applyNumberFormat="1" applyFont="1"/>
    <xf numFmtId="164" fontId="0" fillId="10" borderId="0" xfId="0" applyNumberFormat="1" applyFill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5" fontId="57" fillId="0" borderId="0" xfId="0" applyNumberFormat="1" applyFont="1" applyAlignment="1">
      <alignment horizontal="center"/>
    </xf>
    <xf numFmtId="0" fontId="0" fillId="10" borderId="0" xfId="0" applyFill="1" applyBorder="1" applyAlignment="1">
      <alignment horizontal="center"/>
    </xf>
    <xf numFmtId="0" fontId="58" fillId="0" borderId="4" xfId="0" applyFont="1" applyBorder="1" applyAlignment="1">
      <alignment horizontal="center"/>
    </xf>
    <xf numFmtId="0" fontId="59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9" fontId="0" fillId="0" borderId="0" xfId="0" applyNumberFormat="1"/>
    <xf numFmtId="0" fontId="60" fillId="11" borderId="0" xfId="0" applyFont="1" applyFill="1" applyAlignment="1">
      <alignment horizontal="center"/>
    </xf>
    <xf numFmtId="167" fontId="60" fillId="0" borderId="0" xfId="0" applyNumberFormat="1" applyFont="1" applyAlignment="1">
      <alignment horizontal="center"/>
    </xf>
    <xf numFmtId="164" fontId="60" fillId="0" borderId="0" xfId="0" quotePrefix="1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60" fillId="10" borderId="0" xfId="0" quotePrefix="1" applyNumberFormat="1" applyFont="1" applyFill="1" applyAlignment="1">
      <alignment horizontal="center"/>
    </xf>
    <xf numFmtId="0" fontId="16" fillId="0" borderId="0" xfId="0" applyFont="1" applyAlignment="1">
      <alignment horizontal="left"/>
    </xf>
    <xf numFmtId="0" fontId="8" fillId="0" borderId="0" xfId="0" applyFont="1"/>
    <xf numFmtId="0" fontId="0" fillId="0" borderId="24" xfId="0" applyBorder="1" applyAlignment="1">
      <alignment horizontal="center"/>
    </xf>
    <xf numFmtId="0" fontId="8" fillId="0" borderId="25" xfId="0" applyFon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0" fontId="61" fillId="0" borderId="0" xfId="0" quotePrefix="1" applyFont="1" applyAlignment="1">
      <alignment horizontal="right"/>
    </xf>
    <xf numFmtId="164" fontId="62" fillId="0" borderId="0" xfId="0" applyNumberFormat="1" applyFont="1" applyAlignment="1">
      <alignment horizontal="center"/>
    </xf>
    <xf numFmtId="164" fontId="62" fillId="10" borderId="0" xfId="0" applyNumberFormat="1" applyFont="1" applyFill="1" applyAlignment="1">
      <alignment horizontal="center"/>
    </xf>
    <xf numFmtId="0" fontId="62" fillId="0" borderId="0" xfId="0" applyFont="1"/>
    <xf numFmtId="0" fontId="8" fillId="0" borderId="0" xfId="0" quotePrefix="1" applyFont="1" applyFill="1" applyBorder="1" applyAlignment="1">
      <alignment horizontal="center"/>
    </xf>
    <xf numFmtId="0" fontId="8" fillId="0" borderId="0" xfId="0" quotePrefix="1" applyFont="1" applyAlignment="1">
      <alignment horizontal="center"/>
    </xf>
    <xf numFmtId="0" fontId="1" fillId="3" borderId="0" xfId="0" applyFont="1" applyFill="1" applyBorder="1" applyAlignment="1">
      <alignment horizontal="center"/>
    </xf>
    <xf numFmtId="166" fontId="24" fillId="0" borderId="0" xfId="0" applyNumberFormat="1" applyFont="1" applyFill="1" applyBorder="1" applyAlignment="1">
      <alignment horizontal="center"/>
    </xf>
    <xf numFmtId="164" fontId="22" fillId="0" borderId="0" xfId="0" applyNumberFormat="1" applyFont="1" applyFill="1" applyBorder="1" applyAlignment="1">
      <alignment horizontal="center"/>
    </xf>
    <xf numFmtId="0" fontId="0" fillId="0" borderId="0" xfId="0" applyFill="1"/>
    <xf numFmtId="166" fontId="10" fillId="0" borderId="0" xfId="0" applyNumberFormat="1" applyFont="1" applyFill="1" applyAlignment="1">
      <alignment horizontal="center"/>
    </xf>
    <xf numFmtId="166" fontId="63" fillId="0" borderId="0" xfId="0" applyNumberFormat="1" applyFont="1" applyFill="1" applyBorder="1" applyAlignment="1">
      <alignment horizontal="center" vertical="center" wrapText="1"/>
    </xf>
    <xf numFmtId="0" fontId="55" fillId="12" borderId="22" xfId="0" applyFont="1" applyFill="1" applyBorder="1" applyAlignment="1">
      <alignment horizontal="center" vertical="center" wrapText="1"/>
    </xf>
    <xf numFmtId="0" fontId="64" fillId="0" borderId="23" xfId="0" applyFont="1" applyBorder="1" applyAlignment="1">
      <alignment horizontal="center" vertical="center" wrapText="1"/>
    </xf>
    <xf numFmtId="0" fontId="0" fillId="13" borderId="0" xfId="0" applyFill="1"/>
    <xf numFmtId="0" fontId="0" fillId="0" borderId="0" xfId="0" applyFill="1" applyBorder="1" applyAlignment="1">
      <alignment horizontal="center"/>
    </xf>
    <xf numFmtId="166" fontId="0" fillId="0" borderId="0" xfId="0" applyNumberFormat="1"/>
    <xf numFmtId="169" fontId="0" fillId="10" borderId="0" xfId="0" applyNumberFormat="1" applyFill="1"/>
    <xf numFmtId="0" fontId="0" fillId="10" borderId="0" xfId="0" applyFill="1"/>
    <xf numFmtId="166" fontId="0" fillId="0" borderId="0" xfId="0" applyNumberFormat="1" applyAlignment="1">
      <alignment horizontal="center"/>
    </xf>
    <xf numFmtId="166" fontId="0" fillId="10" borderId="0" xfId="0" applyNumberFormat="1" applyFill="1" applyAlignment="1">
      <alignment horizontal="center"/>
    </xf>
    <xf numFmtId="0" fontId="0" fillId="0" borderId="27" xfId="0" applyBorder="1"/>
    <xf numFmtId="164" fontId="60" fillId="0" borderId="27" xfId="0" quotePrefix="1" applyNumberFormat="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164" fontId="60" fillId="0" borderId="27" xfId="0" quotePrefix="1" applyNumberFormat="1" applyFont="1" applyBorder="1" applyAlignment="1">
      <alignment horizontal="center"/>
    </xf>
    <xf numFmtId="0" fontId="60" fillId="3" borderId="0" xfId="0" quotePrefix="1" applyFont="1" applyFill="1" applyAlignment="1">
      <alignment horizontal="center"/>
    </xf>
    <xf numFmtId="166" fontId="60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23" fillId="0" borderId="0" xfId="0" applyNumberFormat="1" applyFont="1" applyAlignment="1">
      <alignment horizontal="center"/>
    </xf>
    <xf numFmtId="165" fontId="65" fillId="0" borderId="0" xfId="0" applyNumberFormat="1" applyFont="1" applyAlignment="1">
      <alignment horizontal="center"/>
    </xf>
    <xf numFmtId="164" fontId="66" fillId="0" borderId="0" xfId="0" applyNumberFormat="1" applyFont="1" applyAlignment="1">
      <alignment horizontal="center"/>
    </xf>
    <xf numFmtId="0" fontId="0" fillId="7" borderId="0" xfId="0" applyFill="1" applyBorder="1" applyAlignment="1">
      <alignment horizontal="center"/>
    </xf>
    <xf numFmtId="164" fontId="66" fillId="7" borderId="0" xfId="0" applyNumberFormat="1" applyFont="1" applyFill="1" applyAlignment="1">
      <alignment horizontal="center"/>
    </xf>
    <xf numFmtId="164" fontId="60" fillId="7" borderId="0" xfId="0" quotePrefix="1" applyNumberFormat="1" applyFont="1" applyFill="1" applyAlignment="1">
      <alignment horizontal="center"/>
    </xf>
    <xf numFmtId="0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0" fillId="3" borderId="0" xfId="0" applyFill="1"/>
    <xf numFmtId="0" fontId="14" fillId="0" borderId="0" xfId="0" applyNumberFormat="1" applyFont="1" applyAlignment="1">
      <alignment horizontal="right"/>
    </xf>
    <xf numFmtId="0" fontId="0" fillId="3" borderId="0" xfId="0" applyFont="1" applyFill="1" applyBorder="1" applyAlignment="1">
      <alignment horizontal="right"/>
    </xf>
    <xf numFmtId="0" fontId="0" fillId="0" borderId="0" xfId="0" quotePrefix="1" applyFill="1" applyAlignment="1">
      <alignment horizontal="right"/>
    </xf>
    <xf numFmtId="164" fontId="0" fillId="7" borderId="0" xfId="0" applyNumberFormat="1" applyFill="1" applyAlignment="1">
      <alignment horizontal="center"/>
    </xf>
    <xf numFmtId="0" fontId="0" fillId="0" borderId="0" xfId="0" applyFont="1"/>
    <xf numFmtId="0" fontId="0" fillId="3" borderId="0" xfId="0" applyFont="1" applyFill="1" applyAlignment="1">
      <alignment horizontal="center"/>
    </xf>
    <xf numFmtId="0" fontId="66" fillId="3" borderId="0" xfId="0" applyFont="1" applyFill="1" applyAlignment="1">
      <alignment horizontal="center"/>
    </xf>
    <xf numFmtId="164" fontId="7" fillId="3" borderId="0" xfId="0" quotePrefix="1" applyNumberFormat="1" applyFont="1" applyFill="1" applyAlignment="1">
      <alignment horizontal="center"/>
    </xf>
    <xf numFmtId="0" fontId="0" fillId="3" borderId="0" xfId="0" quotePrefix="1" applyFont="1" applyFill="1" applyAlignment="1">
      <alignment horizontal="left"/>
    </xf>
    <xf numFmtId="0" fontId="0" fillId="0" borderId="0" xfId="0" quotePrefix="1" applyFill="1" applyAlignment="1">
      <alignment horizontal="left"/>
    </xf>
    <xf numFmtId="0" fontId="10" fillId="0" borderId="0" xfId="0" applyFont="1" applyAlignment="1">
      <alignment horizontal="right"/>
    </xf>
    <xf numFmtId="0" fontId="0" fillId="3" borderId="0" xfId="0" quotePrefix="1" applyFill="1" applyAlignment="1">
      <alignment horizontal="left"/>
    </xf>
    <xf numFmtId="0" fontId="10" fillId="0" borderId="2" xfId="0" applyFont="1" applyBorder="1"/>
    <xf numFmtId="0" fontId="46" fillId="0" borderId="3" xfId="0" quotePrefix="1" applyFont="1" applyBorder="1" applyAlignment="1">
      <alignment horizontal="left"/>
    </xf>
    <xf numFmtId="0" fontId="10" fillId="0" borderId="5" xfId="0" applyFont="1" applyBorder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2" fontId="10" fillId="0" borderId="5" xfId="0" applyNumberFormat="1" applyFon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2" fontId="10" fillId="2" borderId="5" xfId="0" applyNumberFormat="1" applyFont="1" applyFill="1" applyBorder="1" applyAlignment="1">
      <alignment horizontal="center"/>
    </xf>
    <xf numFmtId="165" fontId="0" fillId="2" borderId="6" xfId="0" applyNumberFormat="1" applyFill="1" applyBorder="1" applyAlignment="1">
      <alignment horizontal="center"/>
    </xf>
    <xf numFmtId="2" fontId="10" fillId="0" borderId="7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6" fontId="11" fillId="0" borderId="1" xfId="0" applyNumberFormat="1" applyFont="1" applyBorder="1" applyAlignment="1">
      <alignment horizontal="center" vertical="center" wrapText="1"/>
    </xf>
    <xf numFmtId="166" fontId="15" fillId="0" borderId="1" xfId="0" applyNumberFormat="1" applyFont="1" applyBorder="1" applyAlignment="1">
      <alignment horizontal="center" vertical="center" wrapText="1"/>
    </xf>
    <xf numFmtId="165" fontId="0" fillId="0" borderId="8" xfId="0" applyNumberFormat="1" applyBorder="1" applyAlignment="1">
      <alignment horizontal="center"/>
    </xf>
    <xf numFmtId="0" fontId="14" fillId="3" borderId="0" xfId="0" quotePrefix="1" applyFont="1" applyFill="1" applyAlignment="1">
      <alignment horizontal="center"/>
    </xf>
    <xf numFmtId="0" fontId="0" fillId="0" borderId="0" xfId="0" applyFill="1" applyAlignment="1">
      <alignment horizontal="right"/>
    </xf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4" fillId="0" borderId="0" xfId="0" applyFont="1" applyFill="1"/>
    <xf numFmtId="164" fontId="22" fillId="0" borderId="5" xfId="0" applyNumberFormat="1" applyFont="1" applyBorder="1" applyAlignment="1">
      <alignment horizontal="right"/>
    </xf>
    <xf numFmtId="164" fontId="0" fillId="0" borderId="0" xfId="0" applyNumberFormat="1" applyFill="1" applyAlignment="1">
      <alignment horizontal="center"/>
    </xf>
    <xf numFmtId="0" fontId="0" fillId="3" borderId="0" xfId="0" quotePrefix="1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164" fontId="60" fillId="4" borderId="0" xfId="0" quotePrefix="1" applyNumberFormat="1" applyFon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14" fillId="14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165" fontId="0" fillId="0" borderId="0" xfId="0" applyNumberFormat="1"/>
    <xf numFmtId="165" fontId="0" fillId="15" borderId="0" xfId="0" applyNumberFormat="1" applyFill="1"/>
    <xf numFmtId="165" fontId="11" fillId="4" borderId="0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 wrapText="1"/>
    </xf>
    <xf numFmtId="0" fontId="67" fillId="0" borderId="0" xfId="0" applyFont="1"/>
    <xf numFmtId="0" fontId="68" fillId="0" borderId="0" xfId="0" quotePrefix="1" applyFont="1" applyAlignment="1">
      <alignment horizontal="left"/>
    </xf>
    <xf numFmtId="0" fontId="0" fillId="0" borderId="0" xfId="0" applyAlignment="1">
      <alignment horizontal="left"/>
    </xf>
    <xf numFmtId="0" fontId="37" fillId="0" borderId="0" xfId="0" quotePrefix="1" applyFont="1" applyAlignment="1">
      <alignment horizontal="left"/>
    </xf>
    <xf numFmtId="0" fontId="21" fillId="0" borderId="0" xfId="0" applyFont="1" applyAlignment="1">
      <alignment horizontal="right"/>
    </xf>
    <xf numFmtId="0" fontId="24" fillId="0" borderId="0" xfId="0" applyNumberFormat="1" applyFont="1" applyAlignment="1">
      <alignment horizontal="center"/>
    </xf>
    <xf numFmtId="164" fontId="0" fillId="0" borderId="0" xfId="0" applyNumberFormat="1" applyAlignment="1">
      <alignment horizontal="right"/>
    </xf>
    <xf numFmtId="0" fontId="0" fillId="14" borderId="0" xfId="0" applyFont="1" applyFill="1" applyBorder="1" applyAlignment="1">
      <alignment horizontal="center"/>
    </xf>
    <xf numFmtId="164" fontId="60" fillId="0" borderId="0" xfId="0" applyNumberFormat="1" applyFont="1" applyAlignment="1">
      <alignment horizontal="center"/>
    </xf>
    <xf numFmtId="0" fontId="26" fillId="3" borderId="0" xfId="0" quotePrefix="1" applyFont="1" applyFill="1" applyBorder="1" applyAlignment="1">
      <alignment horizontal="center"/>
    </xf>
    <xf numFmtId="0" fontId="22" fillId="3" borderId="7" xfId="0" applyFont="1" applyFill="1" applyBorder="1" applyAlignment="1">
      <alignment horizontal="center"/>
    </xf>
    <xf numFmtId="165" fontId="24" fillId="0" borderId="1" xfId="0" applyNumberFormat="1" applyFont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164" fontId="22" fillId="0" borderId="1" xfId="0" applyNumberFormat="1" applyFont="1" applyBorder="1" applyAlignment="1">
      <alignment horizontal="center"/>
    </xf>
    <xf numFmtId="0" fontId="0" fillId="14" borderId="0" xfId="0" applyFill="1" applyAlignment="1">
      <alignment horizontal="center"/>
    </xf>
    <xf numFmtId="164" fontId="23" fillId="0" borderId="0" xfId="0" applyNumberFormat="1" applyFont="1" applyAlignment="1">
      <alignment horizontal="center"/>
    </xf>
    <xf numFmtId="0" fontId="0" fillId="14" borderId="28" xfId="0" applyFill="1" applyBorder="1" applyAlignment="1">
      <alignment horizontal="center"/>
    </xf>
    <xf numFmtId="164" fontId="23" fillId="0" borderId="29" xfId="0" applyNumberFormat="1" applyFont="1" applyBorder="1" applyAlignment="1">
      <alignment horizontal="center"/>
    </xf>
    <xf numFmtId="0" fontId="10" fillId="0" borderId="30" xfId="0" applyFont="1" applyBorder="1"/>
    <xf numFmtId="0" fontId="46" fillId="0" borderId="31" xfId="0" quotePrefix="1" applyFont="1" applyBorder="1" applyAlignment="1">
      <alignment horizontal="left"/>
    </xf>
    <xf numFmtId="0" fontId="0" fillId="0" borderId="31" xfId="0" applyBorder="1"/>
    <xf numFmtId="0" fontId="0" fillId="0" borderId="32" xfId="0" applyBorder="1"/>
    <xf numFmtId="0" fontId="10" fillId="0" borderId="33" xfId="0" applyFont="1" applyBorder="1"/>
    <xf numFmtId="0" fontId="0" fillId="0" borderId="34" xfId="0" applyBorder="1"/>
    <xf numFmtId="164" fontId="22" fillId="0" borderId="33" xfId="0" applyNumberFormat="1" applyFont="1" applyBorder="1" applyAlignment="1">
      <alignment horizontal="right"/>
    </xf>
    <xf numFmtId="0" fontId="0" fillId="0" borderId="33" xfId="0" applyBorder="1"/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2" fontId="10" fillId="0" borderId="33" xfId="0" applyNumberFormat="1" applyFont="1" applyBorder="1" applyAlignment="1">
      <alignment horizontal="center"/>
    </xf>
    <xf numFmtId="166" fontId="11" fillId="0" borderId="34" xfId="0" applyNumberFormat="1" applyFont="1" applyBorder="1" applyAlignment="1">
      <alignment horizontal="center" vertical="center" wrapText="1"/>
    </xf>
    <xf numFmtId="2" fontId="10" fillId="2" borderId="33" xfId="0" applyNumberFormat="1" applyFont="1" applyFill="1" applyBorder="1" applyAlignment="1">
      <alignment horizontal="center"/>
    </xf>
    <xf numFmtId="2" fontId="10" fillId="0" borderId="35" xfId="0" applyNumberFormat="1" applyFont="1" applyBorder="1" applyAlignment="1">
      <alignment horizontal="center"/>
    </xf>
    <xf numFmtId="0" fontId="0" fillId="0" borderId="36" xfId="0" applyBorder="1" applyAlignment="1">
      <alignment horizontal="center"/>
    </xf>
    <xf numFmtId="164" fontId="10" fillId="0" borderId="36" xfId="0" applyNumberFormat="1" applyFon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166" fontId="11" fillId="0" borderId="37" xfId="0" applyNumberFormat="1" applyFont="1" applyBorder="1" applyAlignment="1">
      <alignment horizontal="center" vertical="center" wrapText="1"/>
    </xf>
    <xf numFmtId="166" fontId="11" fillId="2" borderId="34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165" fontId="0" fillId="0" borderId="0" xfId="0" applyNumberFormat="1" applyAlignment="1">
      <alignment horizontal="center"/>
    </xf>
    <xf numFmtId="165" fontId="0" fillId="15" borderId="0" xfId="0" applyNumberFormat="1" applyFill="1" applyAlignment="1">
      <alignment horizontal="center"/>
    </xf>
    <xf numFmtId="1" fontId="0" fillId="15" borderId="0" xfId="0" applyNumberFormat="1" applyFill="1" applyAlignment="1">
      <alignment horizontal="center"/>
    </xf>
    <xf numFmtId="2" fontId="70" fillId="0" borderId="0" xfId="0" applyNumberFormat="1" applyFont="1"/>
    <xf numFmtId="0" fontId="70" fillId="0" borderId="0" xfId="0" applyFont="1"/>
    <xf numFmtId="164" fontId="0" fillId="15" borderId="0" xfId="0" applyNumberFormat="1" applyFill="1" applyAlignment="1">
      <alignment horizontal="center"/>
    </xf>
    <xf numFmtId="0" fontId="71" fillId="0" borderId="0" xfId="0" quotePrefix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  <color rgb="FF008000"/>
      <color rgb="FFC35D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Poly 2 input</a:t>
            </a:r>
          </a:p>
        </c:rich>
      </c:tx>
      <c:layout>
        <c:manualLayout>
          <c:xMode val="edge"/>
          <c:yMode val="edge"/>
          <c:x val="0.695604111986001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16476484771303013"/>
                  <c:y val="-0.35375036453776609"/>
                </c:manualLayout>
              </c:layout>
              <c:numFmt formatCode="#,##0.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nonlinear_zeta_111!$E$26:$E$28</c:f>
              <c:numCache>
                <c:formatCode>General</c:formatCode>
                <c:ptCount val="3"/>
                <c:pt idx="0">
                  <c:v>1</c:v>
                </c:pt>
                <c:pt idx="1">
                  <c:v>26</c:v>
                </c:pt>
                <c:pt idx="2">
                  <c:v>51</c:v>
                </c:pt>
              </c:numCache>
            </c:numRef>
          </c:xVal>
          <c:yVal>
            <c:numRef>
              <c:f>nonlinear_zeta_111!$F$26:$F$28</c:f>
              <c:numCache>
                <c:formatCode>0.0</c:formatCode>
                <c:ptCount val="3"/>
                <c:pt idx="0">
                  <c:v>26.1</c:v>
                </c:pt>
                <c:pt idx="1">
                  <c:v>648.5</c:v>
                </c:pt>
                <c:pt idx="2">
                  <c:v>1270.9000000000001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7A-4D61-AAC7-B3C2522DE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2167599"/>
        <c:axId val="1442176335"/>
      </c:scatterChart>
      <c:valAx>
        <c:axId val="14421675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2176335"/>
        <c:crosses val="autoZero"/>
        <c:crossBetween val="midCat"/>
      </c:valAx>
      <c:valAx>
        <c:axId val="1442176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21675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Poly 2</a:t>
            </a:r>
          </a:p>
        </c:rich>
      </c:tx>
      <c:layout>
        <c:manualLayout>
          <c:xMode val="edge"/>
          <c:yMode val="edge"/>
          <c:x val="0.7706041119860017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nonlinear_zeta_111!$E$33:$E$82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nonlinear_zeta_111!$F$33:$F$82</c:f>
              <c:numCache>
                <c:formatCode>0.0</c:formatCode>
                <c:ptCount val="50"/>
                <c:pt idx="0">
                  <c:v>26.099999999999955</c:v>
                </c:pt>
                <c:pt idx="1">
                  <c:v>50.995999999999945</c:v>
                </c:pt>
                <c:pt idx="2">
                  <c:v>75.891999999999939</c:v>
                </c:pt>
                <c:pt idx="3">
                  <c:v>100.78799999999993</c:v>
                </c:pt>
                <c:pt idx="4">
                  <c:v>125.68399999999993</c:v>
                </c:pt>
                <c:pt idx="5">
                  <c:v>150.57999999999993</c:v>
                </c:pt>
                <c:pt idx="6">
                  <c:v>175.47599999999994</c:v>
                </c:pt>
                <c:pt idx="7">
                  <c:v>200.37199999999993</c:v>
                </c:pt>
                <c:pt idx="8">
                  <c:v>225.26799999999992</c:v>
                </c:pt>
                <c:pt idx="9">
                  <c:v>250.1639999999999</c:v>
                </c:pt>
                <c:pt idx="10">
                  <c:v>275.05999999999989</c:v>
                </c:pt>
                <c:pt idx="11">
                  <c:v>299.9559999999999</c:v>
                </c:pt>
                <c:pt idx="12">
                  <c:v>324.85199999999986</c:v>
                </c:pt>
                <c:pt idx="13">
                  <c:v>349.74799999999988</c:v>
                </c:pt>
                <c:pt idx="14">
                  <c:v>374.64399999999983</c:v>
                </c:pt>
                <c:pt idx="15">
                  <c:v>399.53999999999985</c:v>
                </c:pt>
                <c:pt idx="16">
                  <c:v>424.43599999999992</c:v>
                </c:pt>
                <c:pt idx="17">
                  <c:v>449.33199999999988</c:v>
                </c:pt>
                <c:pt idx="18">
                  <c:v>474.22799999999989</c:v>
                </c:pt>
                <c:pt idx="19">
                  <c:v>499.12399999999985</c:v>
                </c:pt>
                <c:pt idx="20">
                  <c:v>524.01999999999987</c:v>
                </c:pt>
                <c:pt idx="21">
                  <c:v>548.91599999999983</c:v>
                </c:pt>
                <c:pt idx="22">
                  <c:v>573.81199999999978</c:v>
                </c:pt>
                <c:pt idx="23">
                  <c:v>598.70799999999997</c:v>
                </c:pt>
                <c:pt idx="24">
                  <c:v>623.60399999999993</c:v>
                </c:pt>
                <c:pt idx="25">
                  <c:v>648.49999999999989</c:v>
                </c:pt>
                <c:pt idx="26">
                  <c:v>673.39599999999996</c:v>
                </c:pt>
                <c:pt idx="27">
                  <c:v>698.29199999999992</c:v>
                </c:pt>
                <c:pt idx="28">
                  <c:v>723.18799999999987</c:v>
                </c:pt>
                <c:pt idx="29">
                  <c:v>748.08399999999983</c:v>
                </c:pt>
                <c:pt idx="30">
                  <c:v>772.98</c:v>
                </c:pt>
                <c:pt idx="31">
                  <c:v>797.87599999999998</c:v>
                </c:pt>
                <c:pt idx="32">
                  <c:v>822.77199999999993</c:v>
                </c:pt>
                <c:pt idx="33">
                  <c:v>847.66800000000001</c:v>
                </c:pt>
                <c:pt idx="34">
                  <c:v>872.56399999999996</c:v>
                </c:pt>
                <c:pt idx="35">
                  <c:v>897.45999999999992</c:v>
                </c:pt>
                <c:pt idx="36">
                  <c:v>922.35599999999999</c:v>
                </c:pt>
                <c:pt idx="37">
                  <c:v>947.25200000000007</c:v>
                </c:pt>
                <c:pt idx="38">
                  <c:v>972.14800000000002</c:v>
                </c:pt>
                <c:pt idx="39">
                  <c:v>997.04399999999998</c:v>
                </c:pt>
                <c:pt idx="40">
                  <c:v>1021.94</c:v>
                </c:pt>
                <c:pt idx="41">
                  <c:v>1046.836</c:v>
                </c:pt>
                <c:pt idx="42">
                  <c:v>1071.732</c:v>
                </c:pt>
                <c:pt idx="43">
                  <c:v>1096.6280000000002</c:v>
                </c:pt>
                <c:pt idx="44">
                  <c:v>1121.5240000000001</c:v>
                </c:pt>
                <c:pt idx="45">
                  <c:v>1146.42</c:v>
                </c:pt>
                <c:pt idx="46">
                  <c:v>1171.3160000000003</c:v>
                </c:pt>
                <c:pt idx="47">
                  <c:v>1196.2120000000002</c:v>
                </c:pt>
                <c:pt idx="48">
                  <c:v>1221.1080000000002</c:v>
                </c:pt>
                <c:pt idx="49">
                  <c:v>1246.0040000000001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45-40DB-B6F0-B460B9BA0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6956687"/>
        <c:axId val="1296972911"/>
      </c:scatterChart>
      <c:valAx>
        <c:axId val="12969566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972911"/>
        <c:crosses val="autoZero"/>
        <c:crossBetween val="midCat"/>
      </c:valAx>
      <c:valAx>
        <c:axId val="1296972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9566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Linear input</a:t>
            </a:r>
          </a:p>
        </c:rich>
      </c:tx>
      <c:layout>
        <c:manualLayout>
          <c:xMode val="edge"/>
          <c:yMode val="edge"/>
          <c:x val="0.7039374453193351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835660872579607"/>
                  <c:y val="-0.3537503645377660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nonlinear_zeta_111!$B$26:$B$27</c:f>
              <c:numCache>
                <c:formatCode>General</c:formatCode>
                <c:ptCount val="2"/>
                <c:pt idx="0">
                  <c:v>1</c:v>
                </c:pt>
                <c:pt idx="1">
                  <c:v>51</c:v>
                </c:pt>
              </c:numCache>
            </c:numRef>
          </c:xVal>
          <c:yVal>
            <c:numRef>
              <c:f>nonlinear_zeta_111!$C$26:$C$27</c:f>
              <c:numCache>
                <c:formatCode>General</c:formatCode>
                <c:ptCount val="2"/>
                <c:pt idx="0">
                  <c:v>26.1</c:v>
                </c:pt>
                <c:pt idx="1">
                  <c:v>1270.9000000000001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06-476B-B75F-5BD1F290D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4226671"/>
        <c:axId val="1534227087"/>
      </c:scatterChart>
      <c:valAx>
        <c:axId val="15342266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4227087"/>
        <c:crosses val="autoZero"/>
        <c:crossBetween val="midCat"/>
      </c:valAx>
      <c:valAx>
        <c:axId val="1534227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42266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(linear - poly)</a:t>
            </a:r>
          </a:p>
        </c:rich>
      </c:tx>
      <c:layout>
        <c:manualLayout>
          <c:xMode val="edge"/>
          <c:yMode val="edge"/>
          <c:x val="0.564771929824561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nonlinear_zeta_111!$H$33:$H$83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xVal>
          <c:yVal>
            <c:numRef>
              <c:f>nonlinear_zeta_111!$I$33:$I$83</c:f>
              <c:numCache>
                <c:formatCode>0.0</c:formatCode>
                <c:ptCount val="51"/>
                <c:pt idx="0">
                  <c:v>-1.1368683772161603E-13</c:v>
                </c:pt>
                <c:pt idx="1">
                  <c:v>-9.9475983006414026E-14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EA-44F1-9569-C9F728F27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784703"/>
        <c:axId val="648781791"/>
      </c:scatterChart>
      <c:valAx>
        <c:axId val="6487847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781791"/>
        <c:crosses val="autoZero"/>
        <c:crossBetween val="midCat"/>
      </c:valAx>
      <c:valAx>
        <c:axId val="648781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7847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Poly 2 input</a:t>
            </a:r>
          </a:p>
        </c:rich>
      </c:tx>
      <c:layout>
        <c:manualLayout>
          <c:xMode val="edge"/>
          <c:yMode val="edge"/>
          <c:x val="0.695604111986001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16476484771303013"/>
                  <c:y val="-0.35375036453776609"/>
                </c:manualLayout>
              </c:layout>
              <c:numFmt formatCode="#,##0.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nonlinear_zeta_66_58_62B!$E$26:$E$28</c:f>
              <c:numCache>
                <c:formatCode>General</c:formatCode>
                <c:ptCount val="3"/>
                <c:pt idx="0">
                  <c:v>1</c:v>
                </c:pt>
                <c:pt idx="1">
                  <c:v>26</c:v>
                </c:pt>
                <c:pt idx="2">
                  <c:v>51</c:v>
                </c:pt>
              </c:numCache>
            </c:numRef>
          </c:xVal>
          <c:yVal>
            <c:numRef>
              <c:f>nonlinear_zeta_66_58_62B!$F$26:$F$28</c:f>
              <c:numCache>
                <c:formatCode>0.0</c:formatCode>
                <c:ptCount val="3"/>
                <c:pt idx="0">
                  <c:v>31.3</c:v>
                </c:pt>
                <c:pt idx="1">
                  <c:v>580.19999999999993</c:v>
                </c:pt>
                <c:pt idx="2">
                  <c:v>1249.0999999999999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79-4153-843C-DFC5C3F0B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2167599"/>
        <c:axId val="1442176335"/>
      </c:scatterChart>
      <c:valAx>
        <c:axId val="14421675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2176335"/>
        <c:crosses val="autoZero"/>
        <c:crossBetween val="midCat"/>
      </c:valAx>
      <c:valAx>
        <c:axId val="1442176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21675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Poly 2</a:t>
            </a:r>
          </a:p>
        </c:rich>
      </c:tx>
      <c:layout>
        <c:manualLayout>
          <c:xMode val="edge"/>
          <c:yMode val="edge"/>
          <c:x val="0.7706041119860017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nonlinear_zeta_66_58_62B!$E$33:$E$82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nonlinear_zeta_66_58_62B!$F$33:$F$82</c:f>
              <c:numCache>
                <c:formatCode>0.0</c:formatCode>
                <c:ptCount val="50"/>
                <c:pt idx="0">
                  <c:v>31.299999999999827</c:v>
                </c:pt>
                <c:pt idx="1">
                  <c:v>50.951999999999835</c:v>
                </c:pt>
                <c:pt idx="2">
                  <c:v>70.79599999999985</c:v>
                </c:pt>
                <c:pt idx="3">
                  <c:v>90.831999999999852</c:v>
                </c:pt>
                <c:pt idx="4">
                  <c:v>111.05999999999985</c:v>
                </c:pt>
                <c:pt idx="5">
                  <c:v>131.47999999999985</c:v>
                </c:pt>
                <c:pt idx="6">
                  <c:v>152.09199999999987</c:v>
                </c:pt>
                <c:pt idx="7">
                  <c:v>172.8959999999999</c:v>
                </c:pt>
                <c:pt idx="8">
                  <c:v>193.89199999999988</c:v>
                </c:pt>
                <c:pt idx="9">
                  <c:v>215.07999999999987</c:v>
                </c:pt>
                <c:pt idx="10">
                  <c:v>236.45999999999987</c:v>
                </c:pt>
                <c:pt idx="11">
                  <c:v>258.03199999999993</c:v>
                </c:pt>
                <c:pt idx="12">
                  <c:v>279.79599999999988</c:v>
                </c:pt>
                <c:pt idx="13">
                  <c:v>301.7519999999999</c:v>
                </c:pt>
                <c:pt idx="14">
                  <c:v>323.89999999999986</c:v>
                </c:pt>
                <c:pt idx="15">
                  <c:v>346.2399999999999</c:v>
                </c:pt>
                <c:pt idx="16">
                  <c:v>368.77199999999993</c:v>
                </c:pt>
                <c:pt idx="17">
                  <c:v>391.49599999999992</c:v>
                </c:pt>
                <c:pt idx="18">
                  <c:v>414.41199999999992</c:v>
                </c:pt>
                <c:pt idx="19">
                  <c:v>437.51999999999992</c:v>
                </c:pt>
                <c:pt idx="20">
                  <c:v>460.81999999999994</c:v>
                </c:pt>
                <c:pt idx="21">
                  <c:v>484.3119999999999</c:v>
                </c:pt>
                <c:pt idx="22">
                  <c:v>507.99599999999992</c:v>
                </c:pt>
                <c:pt idx="23">
                  <c:v>531.87199999999996</c:v>
                </c:pt>
                <c:pt idx="24">
                  <c:v>555.93999999999994</c:v>
                </c:pt>
                <c:pt idx="25">
                  <c:v>580.19999999999993</c:v>
                </c:pt>
                <c:pt idx="26">
                  <c:v>604.65199999999993</c:v>
                </c:pt>
                <c:pt idx="27">
                  <c:v>629.29599999999994</c:v>
                </c:pt>
                <c:pt idx="28">
                  <c:v>654.13199999999995</c:v>
                </c:pt>
                <c:pt idx="29">
                  <c:v>679.15999999999985</c:v>
                </c:pt>
                <c:pt idx="30">
                  <c:v>704.37999999999988</c:v>
                </c:pt>
                <c:pt idx="31">
                  <c:v>729.79199999999992</c:v>
                </c:pt>
                <c:pt idx="32">
                  <c:v>755.39599999999996</c:v>
                </c:pt>
                <c:pt idx="33">
                  <c:v>781.19200000000001</c:v>
                </c:pt>
                <c:pt idx="34">
                  <c:v>807.18</c:v>
                </c:pt>
                <c:pt idx="35">
                  <c:v>833.3599999999999</c:v>
                </c:pt>
                <c:pt idx="36">
                  <c:v>859.73199999999997</c:v>
                </c:pt>
                <c:pt idx="37">
                  <c:v>886.29599999999994</c:v>
                </c:pt>
                <c:pt idx="38">
                  <c:v>913.05199999999991</c:v>
                </c:pt>
                <c:pt idx="39">
                  <c:v>939.99999999999989</c:v>
                </c:pt>
                <c:pt idx="40">
                  <c:v>967.14</c:v>
                </c:pt>
                <c:pt idx="41">
                  <c:v>994.47199999999998</c:v>
                </c:pt>
                <c:pt idx="42">
                  <c:v>1021.996</c:v>
                </c:pt>
                <c:pt idx="43">
                  <c:v>1049.712</c:v>
                </c:pt>
                <c:pt idx="44">
                  <c:v>1077.6200000000001</c:v>
                </c:pt>
                <c:pt idx="45">
                  <c:v>1105.72</c:v>
                </c:pt>
                <c:pt idx="46">
                  <c:v>1134.0120000000002</c:v>
                </c:pt>
                <c:pt idx="47">
                  <c:v>1162.4960000000001</c:v>
                </c:pt>
                <c:pt idx="48">
                  <c:v>1191.172</c:v>
                </c:pt>
                <c:pt idx="49">
                  <c:v>1220.04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D1-4217-A44A-CD6F25919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6956687"/>
        <c:axId val="1296972911"/>
      </c:scatterChart>
      <c:valAx>
        <c:axId val="12969566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972911"/>
        <c:crosses val="autoZero"/>
        <c:crossBetween val="midCat"/>
      </c:valAx>
      <c:valAx>
        <c:axId val="1296972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9566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Linear input</a:t>
            </a:r>
          </a:p>
        </c:rich>
      </c:tx>
      <c:layout>
        <c:manualLayout>
          <c:xMode val="edge"/>
          <c:yMode val="edge"/>
          <c:x val="0.7039374453193351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835660872579607"/>
                  <c:y val="-0.3537503645377660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nonlinear_zeta_66_58_62B!$B$26:$B$27</c:f>
              <c:numCache>
                <c:formatCode>General</c:formatCode>
                <c:ptCount val="2"/>
                <c:pt idx="0">
                  <c:v>1</c:v>
                </c:pt>
                <c:pt idx="1">
                  <c:v>51</c:v>
                </c:pt>
              </c:numCache>
            </c:numRef>
          </c:xVal>
          <c:yVal>
            <c:numRef>
              <c:f>nonlinear_zeta_66_58_62B!$C$26:$C$27</c:f>
              <c:numCache>
                <c:formatCode>General</c:formatCode>
                <c:ptCount val="2"/>
                <c:pt idx="0">
                  <c:v>31.3</c:v>
                </c:pt>
                <c:pt idx="1">
                  <c:v>1249.0999999999999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46-4AAB-908A-EB49749B0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4226671"/>
        <c:axId val="1534227087"/>
      </c:scatterChart>
      <c:valAx>
        <c:axId val="15342266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4227087"/>
        <c:crosses val="autoZero"/>
        <c:crossBetween val="midCat"/>
      </c:valAx>
      <c:valAx>
        <c:axId val="1534227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42266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(linear - poly)</a:t>
            </a:r>
          </a:p>
        </c:rich>
      </c:tx>
      <c:layout>
        <c:manualLayout>
          <c:xMode val="edge"/>
          <c:yMode val="edge"/>
          <c:x val="0.564771929824561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nonlinear_zeta_66_58_62B!$H$33:$H$83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xVal>
          <c:yVal>
            <c:numRef>
              <c:f>nonlinear_zeta_66_58_62B!$I$33:$I$83</c:f>
              <c:numCache>
                <c:formatCode>0.0</c:formatCode>
                <c:ptCount val="51"/>
                <c:pt idx="0">
                  <c:v>0</c:v>
                </c:pt>
                <c:pt idx="1">
                  <c:v>4.7040000000000219</c:v>
                </c:pt>
                <c:pt idx="2">
                  <c:v>9.2160000000000082</c:v>
                </c:pt>
                <c:pt idx="3">
                  <c:v>13.536000000000016</c:v>
                </c:pt>
                <c:pt idx="4">
                  <c:v>17.66400000000003</c:v>
                </c:pt>
                <c:pt idx="5">
                  <c:v>21.600000000000023</c:v>
                </c:pt>
                <c:pt idx="6">
                  <c:v>25.344000000000023</c:v>
                </c:pt>
                <c:pt idx="7">
                  <c:v>28.895999999999987</c:v>
                </c:pt>
                <c:pt idx="8">
                  <c:v>32.256</c:v>
                </c:pt>
                <c:pt idx="9">
                  <c:v>35.424000000000035</c:v>
                </c:pt>
                <c:pt idx="10">
                  <c:v>38.400000000000034</c:v>
                </c:pt>
                <c:pt idx="11">
                  <c:v>41.183999999999969</c:v>
                </c:pt>
                <c:pt idx="12">
                  <c:v>43.77600000000001</c:v>
                </c:pt>
                <c:pt idx="13">
                  <c:v>46.176000000000045</c:v>
                </c:pt>
                <c:pt idx="14">
                  <c:v>48.384000000000071</c:v>
                </c:pt>
                <c:pt idx="15">
                  <c:v>50.400000000000034</c:v>
                </c:pt>
                <c:pt idx="16">
                  <c:v>52.22399999999999</c:v>
                </c:pt>
                <c:pt idx="17">
                  <c:v>53.855999999999995</c:v>
                </c:pt>
                <c:pt idx="18">
                  <c:v>55.296000000000049</c:v>
                </c:pt>
                <c:pt idx="19">
                  <c:v>56.54400000000004</c:v>
                </c:pt>
                <c:pt idx="20">
                  <c:v>57.600000000000023</c:v>
                </c:pt>
                <c:pt idx="21">
                  <c:v>58.464000000000055</c:v>
                </c:pt>
                <c:pt idx="22">
                  <c:v>59.136000000000024</c:v>
                </c:pt>
                <c:pt idx="23">
                  <c:v>59.615999999999985</c:v>
                </c:pt>
                <c:pt idx="24">
                  <c:v>59.903999999999996</c:v>
                </c:pt>
                <c:pt idx="25">
                  <c:v>60</c:v>
                </c:pt>
                <c:pt idx="26">
                  <c:v>59.90400000000011</c:v>
                </c:pt>
                <c:pt idx="27">
                  <c:v>59.616000000000099</c:v>
                </c:pt>
                <c:pt idx="28">
                  <c:v>59.136000000000081</c:v>
                </c:pt>
                <c:pt idx="29">
                  <c:v>58.464000000000169</c:v>
                </c:pt>
                <c:pt idx="30">
                  <c:v>57.600000000000136</c:v>
                </c:pt>
                <c:pt idx="31">
                  <c:v>56.544000000000096</c:v>
                </c:pt>
                <c:pt idx="32">
                  <c:v>55.296000000000049</c:v>
                </c:pt>
                <c:pt idx="33">
                  <c:v>53.855999999999995</c:v>
                </c:pt>
                <c:pt idx="34">
                  <c:v>52.224000000000046</c:v>
                </c:pt>
                <c:pt idx="35">
                  <c:v>50.400000000000091</c:v>
                </c:pt>
                <c:pt idx="36">
                  <c:v>48.384000000000015</c:v>
                </c:pt>
                <c:pt idx="37">
                  <c:v>46.176000000000158</c:v>
                </c:pt>
                <c:pt idx="38">
                  <c:v>43.776000000000181</c:v>
                </c:pt>
                <c:pt idx="39">
                  <c:v>41.184000000000196</c:v>
                </c:pt>
                <c:pt idx="40">
                  <c:v>38.400000000000091</c:v>
                </c:pt>
                <c:pt idx="41">
                  <c:v>35.424000000000206</c:v>
                </c:pt>
                <c:pt idx="42">
                  <c:v>32.255999999999972</c:v>
                </c:pt>
                <c:pt idx="43">
                  <c:v>28.896000000000186</c:v>
                </c:pt>
                <c:pt idx="44">
                  <c:v>25.343999999999824</c:v>
                </c:pt>
                <c:pt idx="45">
                  <c:v>21.600000000000136</c:v>
                </c:pt>
                <c:pt idx="46">
                  <c:v>17.66399999999976</c:v>
                </c:pt>
                <c:pt idx="47">
                  <c:v>13.536000000000058</c:v>
                </c:pt>
                <c:pt idx="48">
                  <c:v>9.2159999999998945</c:v>
                </c:pt>
                <c:pt idx="49">
                  <c:v>4.7040000000001783</c:v>
                </c:pt>
                <c:pt idx="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B2-422A-A016-2D1654F2D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784703"/>
        <c:axId val="648781791"/>
      </c:scatterChart>
      <c:valAx>
        <c:axId val="6487847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781791"/>
        <c:crosses val="autoZero"/>
        <c:crossBetween val="midCat"/>
      </c:valAx>
      <c:valAx>
        <c:axId val="648781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7847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Poly 2 input</a:t>
            </a:r>
          </a:p>
        </c:rich>
      </c:tx>
      <c:layout>
        <c:manualLayout>
          <c:xMode val="edge"/>
          <c:yMode val="edge"/>
          <c:x val="0.695604111986001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26283819991251095"/>
                  <c:y val="-0.26451388888888888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nonlinear_zeta_66_58_62A!$E$26:$E$28</c:f>
              <c:numCache>
                <c:formatCode>General</c:formatCode>
                <c:ptCount val="3"/>
                <c:pt idx="0">
                  <c:v>1</c:v>
                </c:pt>
                <c:pt idx="1">
                  <c:v>26</c:v>
                </c:pt>
                <c:pt idx="2">
                  <c:v>51</c:v>
                </c:pt>
              </c:numCache>
            </c:numRef>
          </c:xVal>
          <c:yVal>
            <c:numRef>
              <c:f>nonlinear_zeta_66_58_62A!$F$26:$F$28</c:f>
              <c:numCache>
                <c:formatCode>General</c:formatCode>
                <c:ptCount val="3"/>
                <c:pt idx="0">
                  <c:v>30</c:v>
                </c:pt>
                <c:pt idx="1">
                  <c:v>580</c:v>
                </c:pt>
                <c:pt idx="2">
                  <c:v>1250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49-468C-8B35-937F38EE9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2167599"/>
        <c:axId val="1442176335"/>
      </c:scatterChart>
      <c:valAx>
        <c:axId val="14421675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2176335"/>
        <c:crosses val="autoZero"/>
        <c:crossBetween val="midCat"/>
      </c:valAx>
      <c:valAx>
        <c:axId val="1442176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21675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Poly 2</a:t>
            </a:r>
          </a:p>
        </c:rich>
      </c:tx>
      <c:layout>
        <c:manualLayout>
          <c:xMode val="edge"/>
          <c:yMode val="edge"/>
          <c:x val="0.7706041119860017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nonlinear_zeta_66_58_62A!$E$33:$E$82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nonlinear_zeta_66_58_62A!$F$33:$F$82</c:f>
              <c:numCache>
                <c:formatCode>0.0</c:formatCode>
                <c:ptCount val="50"/>
                <c:pt idx="0">
                  <c:v>29.999999999999929</c:v>
                </c:pt>
                <c:pt idx="1">
                  <c:v>49.695999999999934</c:v>
                </c:pt>
                <c:pt idx="2">
                  <c:v>69.583999999999946</c:v>
                </c:pt>
                <c:pt idx="3">
                  <c:v>89.663999999999945</c:v>
                </c:pt>
                <c:pt idx="4">
                  <c:v>109.93599999999995</c:v>
                </c:pt>
                <c:pt idx="5">
                  <c:v>130.39999999999998</c:v>
                </c:pt>
                <c:pt idx="6">
                  <c:v>151.05599999999995</c:v>
                </c:pt>
                <c:pt idx="7">
                  <c:v>171.90399999999997</c:v>
                </c:pt>
                <c:pt idx="8">
                  <c:v>192.94399999999999</c:v>
                </c:pt>
                <c:pt idx="9">
                  <c:v>214.17599999999996</c:v>
                </c:pt>
                <c:pt idx="10">
                  <c:v>235.59999999999997</c:v>
                </c:pt>
                <c:pt idx="11">
                  <c:v>257.21600000000001</c:v>
                </c:pt>
                <c:pt idx="12">
                  <c:v>279.024</c:v>
                </c:pt>
                <c:pt idx="13">
                  <c:v>301.02399999999994</c:v>
                </c:pt>
                <c:pt idx="14">
                  <c:v>323.21599999999995</c:v>
                </c:pt>
                <c:pt idx="15">
                  <c:v>345.59999999999997</c:v>
                </c:pt>
                <c:pt idx="16">
                  <c:v>368.17599999999999</c:v>
                </c:pt>
                <c:pt idx="17">
                  <c:v>390.94400000000002</c:v>
                </c:pt>
                <c:pt idx="18">
                  <c:v>413.904</c:v>
                </c:pt>
                <c:pt idx="19">
                  <c:v>437.05599999999998</c:v>
                </c:pt>
                <c:pt idx="20">
                  <c:v>460.40000000000003</c:v>
                </c:pt>
                <c:pt idx="21">
                  <c:v>483.93600000000004</c:v>
                </c:pt>
                <c:pt idx="22">
                  <c:v>507.66400000000004</c:v>
                </c:pt>
                <c:pt idx="23">
                  <c:v>531.58400000000006</c:v>
                </c:pt>
                <c:pt idx="24">
                  <c:v>555.69599999999991</c:v>
                </c:pt>
                <c:pt idx="25">
                  <c:v>580</c:v>
                </c:pt>
                <c:pt idx="26">
                  <c:v>604.49599999999987</c:v>
                </c:pt>
                <c:pt idx="27">
                  <c:v>629.18399999999997</c:v>
                </c:pt>
                <c:pt idx="28">
                  <c:v>654.06400000000008</c:v>
                </c:pt>
                <c:pt idx="29">
                  <c:v>679.13599999999997</c:v>
                </c:pt>
                <c:pt idx="30">
                  <c:v>704.40000000000009</c:v>
                </c:pt>
                <c:pt idx="31">
                  <c:v>729.85599999999999</c:v>
                </c:pt>
                <c:pt idx="32">
                  <c:v>755.50400000000013</c:v>
                </c:pt>
                <c:pt idx="33">
                  <c:v>781.34400000000005</c:v>
                </c:pt>
                <c:pt idx="34">
                  <c:v>807.37599999999998</c:v>
                </c:pt>
                <c:pt idx="35">
                  <c:v>833.60000000000014</c:v>
                </c:pt>
                <c:pt idx="36">
                  <c:v>860.01600000000008</c:v>
                </c:pt>
                <c:pt idx="37">
                  <c:v>886.62400000000002</c:v>
                </c:pt>
                <c:pt idx="38">
                  <c:v>913.42399999999998</c:v>
                </c:pt>
                <c:pt idx="39">
                  <c:v>940.41599999999994</c:v>
                </c:pt>
                <c:pt idx="40">
                  <c:v>967.59999999999991</c:v>
                </c:pt>
                <c:pt idx="41">
                  <c:v>994.97600000000011</c:v>
                </c:pt>
                <c:pt idx="42">
                  <c:v>1022.5440000000001</c:v>
                </c:pt>
                <c:pt idx="43">
                  <c:v>1050.3040000000001</c:v>
                </c:pt>
                <c:pt idx="44">
                  <c:v>1078.2560000000001</c:v>
                </c:pt>
                <c:pt idx="45">
                  <c:v>1106.4000000000001</c:v>
                </c:pt>
                <c:pt idx="46">
                  <c:v>1134.7360000000001</c:v>
                </c:pt>
                <c:pt idx="47">
                  <c:v>1163.2640000000001</c:v>
                </c:pt>
                <c:pt idx="48">
                  <c:v>1191.9839999999999</c:v>
                </c:pt>
                <c:pt idx="49">
                  <c:v>1220.896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48-47AB-B59A-A472283AA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6956687"/>
        <c:axId val="1296972911"/>
      </c:scatterChart>
      <c:valAx>
        <c:axId val="12969566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972911"/>
        <c:crosses val="autoZero"/>
        <c:crossBetween val="midCat"/>
      </c:valAx>
      <c:valAx>
        <c:axId val="1296972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9566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Linear input</a:t>
            </a:r>
          </a:p>
        </c:rich>
      </c:tx>
      <c:layout>
        <c:manualLayout>
          <c:xMode val="edge"/>
          <c:yMode val="edge"/>
          <c:x val="0.7039374453193351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1712926509186351"/>
                  <c:y val="-0.2714583333333333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nonlinear_zeta_66_58_62A!$B$26:$B$27</c:f>
              <c:numCache>
                <c:formatCode>General</c:formatCode>
                <c:ptCount val="2"/>
                <c:pt idx="0">
                  <c:v>1</c:v>
                </c:pt>
                <c:pt idx="1">
                  <c:v>51</c:v>
                </c:pt>
              </c:numCache>
            </c:numRef>
          </c:xVal>
          <c:yVal>
            <c:numRef>
              <c:f>nonlinear_zeta_66_58_62A!$C$26:$C$27</c:f>
              <c:numCache>
                <c:formatCode>General</c:formatCode>
                <c:ptCount val="2"/>
                <c:pt idx="0">
                  <c:v>30</c:v>
                </c:pt>
                <c:pt idx="1">
                  <c:v>1250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18-4E1A-BB82-9921FF466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4226671"/>
        <c:axId val="1534227087"/>
      </c:scatterChart>
      <c:valAx>
        <c:axId val="15342266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4227087"/>
        <c:crosses val="autoZero"/>
        <c:crossBetween val="midCat"/>
      </c:valAx>
      <c:valAx>
        <c:axId val="1534227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42266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(linear - poly)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nonlinear_zeta_66_58_62A!$H$33:$H$83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xVal>
          <c:yVal>
            <c:numRef>
              <c:f>nonlinear_zeta_66_58_62A!$I$33:$I$83</c:f>
              <c:numCache>
                <c:formatCode>0.0</c:formatCode>
                <c:ptCount val="51"/>
                <c:pt idx="0">
                  <c:v>0</c:v>
                </c:pt>
                <c:pt idx="1">
                  <c:v>4.7039999999999793</c:v>
                </c:pt>
                <c:pt idx="2">
                  <c:v>9.2159999999999656</c:v>
                </c:pt>
                <c:pt idx="3">
                  <c:v>13.535999999999973</c:v>
                </c:pt>
                <c:pt idx="4">
                  <c:v>17.663999999999973</c:v>
                </c:pt>
                <c:pt idx="5">
                  <c:v>21.599999999999937</c:v>
                </c:pt>
                <c:pt idx="6">
                  <c:v>25.343999999999966</c:v>
                </c:pt>
                <c:pt idx="7">
                  <c:v>28.895999999999958</c:v>
                </c:pt>
                <c:pt idx="8">
                  <c:v>32.255999999999943</c:v>
                </c:pt>
                <c:pt idx="9">
                  <c:v>35.423999999999978</c:v>
                </c:pt>
                <c:pt idx="10">
                  <c:v>38.399999999999977</c:v>
                </c:pt>
                <c:pt idx="11">
                  <c:v>41.183999999999912</c:v>
                </c:pt>
                <c:pt idx="12">
                  <c:v>43.775999999999954</c:v>
                </c:pt>
                <c:pt idx="13">
                  <c:v>46.175999999999988</c:v>
                </c:pt>
                <c:pt idx="14">
                  <c:v>48.384000000000015</c:v>
                </c:pt>
                <c:pt idx="15">
                  <c:v>50.399999999999977</c:v>
                </c:pt>
                <c:pt idx="16">
                  <c:v>52.223999999999933</c:v>
                </c:pt>
                <c:pt idx="17">
                  <c:v>53.855999999999938</c:v>
                </c:pt>
                <c:pt idx="18">
                  <c:v>55.295999999999935</c:v>
                </c:pt>
                <c:pt idx="19">
                  <c:v>56.543999999999983</c:v>
                </c:pt>
                <c:pt idx="20">
                  <c:v>57.599999999999966</c:v>
                </c:pt>
                <c:pt idx="21">
                  <c:v>58.463999999999942</c:v>
                </c:pt>
                <c:pt idx="22">
                  <c:v>59.13599999999991</c:v>
                </c:pt>
                <c:pt idx="23">
                  <c:v>59.615999999999872</c:v>
                </c:pt>
                <c:pt idx="24">
                  <c:v>59.903999999999996</c:v>
                </c:pt>
                <c:pt idx="25">
                  <c:v>60</c:v>
                </c:pt>
                <c:pt idx="26">
                  <c:v>59.90400000000011</c:v>
                </c:pt>
                <c:pt idx="27">
                  <c:v>59.615999999999985</c:v>
                </c:pt>
                <c:pt idx="28">
                  <c:v>59.135999999999854</c:v>
                </c:pt>
                <c:pt idx="29">
                  <c:v>58.464000000000055</c:v>
                </c:pt>
                <c:pt idx="30">
                  <c:v>57.599999999999909</c:v>
                </c:pt>
                <c:pt idx="31">
                  <c:v>56.543999999999983</c:v>
                </c:pt>
                <c:pt idx="32">
                  <c:v>55.295999999999822</c:v>
                </c:pt>
                <c:pt idx="33">
                  <c:v>53.855999999999881</c:v>
                </c:pt>
                <c:pt idx="34">
                  <c:v>52.224000000000046</c:v>
                </c:pt>
                <c:pt idx="35">
                  <c:v>50.399999999999864</c:v>
                </c:pt>
                <c:pt idx="36">
                  <c:v>48.383999999999901</c:v>
                </c:pt>
                <c:pt idx="37">
                  <c:v>46.175999999999931</c:v>
                </c:pt>
                <c:pt idx="38">
                  <c:v>43.776000000000067</c:v>
                </c:pt>
                <c:pt idx="39">
                  <c:v>41.184000000000083</c:v>
                </c:pt>
                <c:pt idx="40">
                  <c:v>38.400000000000091</c:v>
                </c:pt>
                <c:pt idx="41">
                  <c:v>35.423999999999978</c:v>
                </c:pt>
                <c:pt idx="42">
                  <c:v>32.255999999999858</c:v>
                </c:pt>
                <c:pt idx="43">
                  <c:v>28.895999999999958</c:v>
                </c:pt>
                <c:pt idx="44">
                  <c:v>25.343999999999824</c:v>
                </c:pt>
                <c:pt idx="45">
                  <c:v>21.599999999999909</c:v>
                </c:pt>
                <c:pt idx="46">
                  <c:v>17.663999999999987</c:v>
                </c:pt>
                <c:pt idx="47">
                  <c:v>13.535999999999831</c:v>
                </c:pt>
                <c:pt idx="48">
                  <c:v>9.2160000000001219</c:v>
                </c:pt>
                <c:pt idx="49">
                  <c:v>4.7039999999999509</c:v>
                </c:pt>
                <c:pt idx="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C2-4BD0-B40D-A7550CC63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784703"/>
        <c:axId val="648781791"/>
      </c:scatterChart>
      <c:valAx>
        <c:axId val="6487847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781791"/>
        <c:crosses val="autoZero"/>
        <c:crossBetween val="midCat"/>
      </c:valAx>
      <c:valAx>
        <c:axId val="648781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7847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NEW_rzeta_restackor03!$J$32:$J$41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NEW_rzeta_restackor03!$K$32:$K$41</c:f>
              <c:numCache>
                <c:formatCode>0.0</c:formatCode>
                <c:ptCount val="10"/>
                <c:pt idx="0">
                  <c:v>28.781578947368466</c:v>
                </c:pt>
                <c:pt idx="1">
                  <c:v>48.000000000000043</c:v>
                </c:pt>
                <c:pt idx="2">
                  <c:v>67.218421052631612</c:v>
                </c:pt>
                <c:pt idx="3">
                  <c:v>86.436842105263196</c:v>
                </c:pt>
                <c:pt idx="4">
                  <c:v>105.65526315789478</c:v>
                </c:pt>
                <c:pt idx="5">
                  <c:v>201.74736842105267</c:v>
                </c:pt>
                <c:pt idx="6">
                  <c:v>393.93157894736845</c:v>
                </c:pt>
                <c:pt idx="7">
                  <c:v>586.11578947368412</c:v>
                </c:pt>
                <c:pt idx="8">
                  <c:v>778.3</c:v>
                </c:pt>
                <c:pt idx="9">
                  <c:v>970.48421052631579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DD-405A-9AE1-F1462B0ED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5003343"/>
        <c:axId val="1315002511"/>
      </c:scatterChart>
      <c:valAx>
        <c:axId val="13150033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5002511"/>
        <c:crosses val="autoZero"/>
        <c:crossBetween val="midCat"/>
      </c:valAx>
      <c:valAx>
        <c:axId val="1315002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50033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72893744531933513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11730990435041462"/>
                  <c:y val="-0.21595836978710994"/>
                </c:manualLayout>
              </c:layout>
              <c:numFmt formatCode="#,##0.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NEW_rzeta_restackor03!$Q$132:$Q$137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</c:numCache>
            </c:numRef>
          </c:xVal>
          <c:yVal>
            <c:numRef>
              <c:f>NEW_rzeta_restackor03!$T$132:$T$137</c:f>
              <c:numCache>
                <c:formatCode>0.0</c:formatCode>
                <c:ptCount val="6"/>
                <c:pt idx="0">
                  <c:v>34.838084318002032</c:v>
                </c:pt>
                <c:pt idx="1">
                  <c:v>59.2</c:v>
                </c:pt>
                <c:pt idx="2">
                  <c:v>83.602364269770291</c:v>
                </c:pt>
                <c:pt idx="3">
                  <c:v>106.19759785619469</c:v>
                </c:pt>
                <c:pt idx="4">
                  <c:v>129</c:v>
                </c:pt>
                <c:pt idx="5">
                  <c:v>241.01582492186029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59-45F5-B17A-811862EB8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0040607"/>
        <c:axId val="1240042271"/>
      </c:scatterChart>
      <c:valAx>
        <c:axId val="12400406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0042271"/>
        <c:crosses val="autoZero"/>
        <c:crossBetween val="midCat"/>
      </c:valAx>
      <c:valAx>
        <c:axId val="124004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00406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NEW_rzeta_restackor03!$Q$154:$Q$203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NEW_rzeta_restackor03!$R$154:$R$203</c:f>
              <c:numCache>
                <c:formatCode>0.0</c:formatCode>
                <c:ptCount val="50"/>
                <c:pt idx="0">
                  <c:v>35.144841</c:v>
                </c:pt>
                <c:pt idx="1">
                  <c:v>59.145835000000005</c:v>
                </c:pt>
                <c:pt idx="2">
                  <c:v>82.863478999999998</c:v>
                </c:pt>
                <c:pt idx="3">
                  <c:v>106.29777299999999</c:v>
                </c:pt>
                <c:pt idx="4">
                  <c:v>129.44871699999999</c:v>
                </c:pt>
                <c:pt idx="5">
                  <c:v>152.31631100000001</c:v>
                </c:pt>
                <c:pt idx="6">
                  <c:v>174.90055500000003</c:v>
                </c:pt>
                <c:pt idx="7">
                  <c:v>197.20144900000003</c:v>
                </c:pt>
                <c:pt idx="8">
                  <c:v>219.21899300000001</c:v>
                </c:pt>
                <c:pt idx="9">
                  <c:v>240.95318700000001</c:v>
                </c:pt>
                <c:pt idx="10">
                  <c:v>265.66351700000001</c:v>
                </c:pt>
                <c:pt idx="11">
                  <c:v>289.86463700000002</c:v>
                </c:pt>
                <c:pt idx="12">
                  <c:v>314.21101299999998</c:v>
                </c:pt>
                <c:pt idx="13">
                  <c:v>338.70264500000002</c:v>
                </c:pt>
                <c:pt idx="14">
                  <c:v>363.33953300000002</c:v>
                </c:pt>
                <c:pt idx="15">
                  <c:v>388.12167699999998</c:v>
                </c:pt>
                <c:pt idx="16">
                  <c:v>413.04907699999995</c:v>
                </c:pt>
                <c:pt idx="17">
                  <c:v>438.12173300000001</c:v>
                </c:pt>
                <c:pt idx="18">
                  <c:v>463.33964500000002</c:v>
                </c:pt>
                <c:pt idx="19">
                  <c:v>488.70281299999999</c:v>
                </c:pt>
                <c:pt idx="20">
                  <c:v>514.21123699999998</c:v>
                </c:pt>
                <c:pt idx="21">
                  <c:v>539.86491699999999</c:v>
                </c:pt>
                <c:pt idx="22">
                  <c:v>565.66385300000002</c:v>
                </c:pt>
                <c:pt idx="23">
                  <c:v>591.60804499999995</c:v>
                </c:pt>
                <c:pt idx="24">
                  <c:v>617.69749300000001</c:v>
                </c:pt>
                <c:pt idx="25">
                  <c:v>643.93219699999997</c:v>
                </c:pt>
                <c:pt idx="26">
                  <c:v>670.31215700000007</c:v>
                </c:pt>
                <c:pt idx="27">
                  <c:v>696.83737299999996</c:v>
                </c:pt>
                <c:pt idx="28">
                  <c:v>723.50784499999997</c:v>
                </c:pt>
                <c:pt idx="29">
                  <c:v>750.32357300000001</c:v>
                </c:pt>
                <c:pt idx="30">
                  <c:v>777.28455700000006</c:v>
                </c:pt>
                <c:pt idx="31">
                  <c:v>804.39079700000002</c:v>
                </c:pt>
                <c:pt idx="32">
                  <c:v>831.642293</c:v>
                </c:pt>
                <c:pt idx="33">
                  <c:v>859.03904499999987</c:v>
                </c:pt>
                <c:pt idx="34">
                  <c:v>886.581053</c:v>
                </c:pt>
                <c:pt idx="35">
                  <c:v>914.26831700000002</c:v>
                </c:pt>
                <c:pt idx="36">
                  <c:v>942.10083699999996</c:v>
                </c:pt>
                <c:pt idx="37">
                  <c:v>970.07861300000002</c:v>
                </c:pt>
                <c:pt idx="38">
                  <c:v>998.20164499999998</c:v>
                </c:pt>
                <c:pt idx="39">
                  <c:v>1026.4699329999999</c:v>
                </c:pt>
                <c:pt idx="40">
                  <c:v>1054.8834769999999</c:v>
                </c:pt>
                <c:pt idx="41">
                  <c:v>1083.4422769999999</c:v>
                </c:pt>
                <c:pt idx="42">
                  <c:v>1112.1463329999999</c:v>
                </c:pt>
                <c:pt idx="43">
                  <c:v>1140.995645</c:v>
                </c:pt>
                <c:pt idx="44">
                  <c:v>1169.9902129999998</c:v>
                </c:pt>
                <c:pt idx="45">
                  <c:v>1199.1300369999999</c:v>
                </c:pt>
                <c:pt idx="46">
                  <c:v>1228.4151169999998</c:v>
                </c:pt>
                <c:pt idx="47">
                  <c:v>1257.8454529999999</c:v>
                </c:pt>
                <c:pt idx="48">
                  <c:v>1287.421045</c:v>
                </c:pt>
                <c:pt idx="49">
                  <c:v>1317.1418929999998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BE-45C6-A304-94968F2614FF}"/>
            </c:ext>
          </c:extLst>
        </c:ser>
        <c:ser>
          <c:idx val="1"/>
          <c:order val="1"/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NEW_rzeta_restackor03!$AD$154:$AD$203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NEW_rzeta_restackor03!$AE$154:$AE$203</c:f>
              <c:numCache>
                <c:formatCode>0.0</c:formatCode>
                <c:ptCount val="50"/>
                <c:pt idx="0">
                  <c:v>35.100000000000165</c:v>
                </c:pt>
                <c:pt idx="1">
                  <c:v>61.263265306122605</c:v>
                </c:pt>
                <c:pt idx="2">
                  <c:v>87.426530612245045</c:v>
                </c:pt>
                <c:pt idx="3">
                  <c:v>113.58979591836749</c:v>
                </c:pt>
                <c:pt idx="4">
                  <c:v>139.75306122448993</c:v>
                </c:pt>
                <c:pt idx="5">
                  <c:v>165.91632653061237</c:v>
                </c:pt>
                <c:pt idx="6">
                  <c:v>192.07959183673481</c:v>
                </c:pt>
                <c:pt idx="7">
                  <c:v>218.24285714285725</c:v>
                </c:pt>
                <c:pt idx="8">
                  <c:v>244.40612244897969</c:v>
                </c:pt>
                <c:pt idx="9">
                  <c:v>270.56938775510213</c:v>
                </c:pt>
                <c:pt idx="10">
                  <c:v>296.7326530612246</c:v>
                </c:pt>
                <c:pt idx="11">
                  <c:v>322.89591836734701</c:v>
                </c:pt>
                <c:pt idx="12">
                  <c:v>349.05918367346942</c:v>
                </c:pt>
                <c:pt idx="13">
                  <c:v>375.22244897959189</c:v>
                </c:pt>
                <c:pt idx="14">
                  <c:v>401.38571428571436</c:v>
                </c:pt>
                <c:pt idx="15">
                  <c:v>427.54897959183677</c:v>
                </c:pt>
                <c:pt idx="16">
                  <c:v>453.71224489795918</c:v>
                </c:pt>
                <c:pt idx="17">
                  <c:v>479.87551020408165</c:v>
                </c:pt>
                <c:pt idx="18">
                  <c:v>506.03877551020412</c:v>
                </c:pt>
                <c:pt idx="19">
                  <c:v>532.20204081632653</c:v>
                </c:pt>
                <c:pt idx="20">
                  <c:v>558.36530612244894</c:v>
                </c:pt>
                <c:pt idx="21">
                  <c:v>584.52857142857147</c:v>
                </c:pt>
                <c:pt idx="22">
                  <c:v>610.69183673469388</c:v>
                </c:pt>
                <c:pt idx="23">
                  <c:v>636.85510204081629</c:v>
                </c:pt>
                <c:pt idx="24">
                  <c:v>663.0183673469387</c:v>
                </c:pt>
                <c:pt idx="25">
                  <c:v>689.18163265306111</c:v>
                </c:pt>
                <c:pt idx="26">
                  <c:v>715.34489795918364</c:v>
                </c:pt>
                <c:pt idx="27">
                  <c:v>741.50816326530605</c:v>
                </c:pt>
                <c:pt idx="28">
                  <c:v>767.67142857142846</c:v>
                </c:pt>
                <c:pt idx="29">
                  <c:v>793.83469387755099</c:v>
                </c:pt>
                <c:pt idx="30">
                  <c:v>819.9979591836734</c:v>
                </c:pt>
                <c:pt idx="31">
                  <c:v>846.16122448979581</c:v>
                </c:pt>
                <c:pt idx="32">
                  <c:v>872.32448979591823</c:v>
                </c:pt>
                <c:pt idx="33">
                  <c:v>898.48775510204064</c:v>
                </c:pt>
                <c:pt idx="34">
                  <c:v>924.65102040816316</c:v>
                </c:pt>
                <c:pt idx="35">
                  <c:v>950.81428571428557</c:v>
                </c:pt>
                <c:pt idx="36">
                  <c:v>976.97755102040799</c:v>
                </c:pt>
                <c:pt idx="37">
                  <c:v>1003.1408163265305</c:v>
                </c:pt>
                <c:pt idx="38">
                  <c:v>1029.3040816326529</c:v>
                </c:pt>
                <c:pt idx="39">
                  <c:v>1055.4673469387753</c:v>
                </c:pt>
                <c:pt idx="40">
                  <c:v>1081.6306122448977</c:v>
                </c:pt>
                <c:pt idx="41">
                  <c:v>1107.7938775510202</c:v>
                </c:pt>
                <c:pt idx="42">
                  <c:v>1133.9571428571426</c:v>
                </c:pt>
                <c:pt idx="43">
                  <c:v>1160.1204081632652</c:v>
                </c:pt>
                <c:pt idx="44">
                  <c:v>1186.2836734693876</c:v>
                </c:pt>
                <c:pt idx="45">
                  <c:v>1212.44693877551</c:v>
                </c:pt>
                <c:pt idx="46">
                  <c:v>1238.6102040816324</c:v>
                </c:pt>
                <c:pt idx="47">
                  <c:v>1264.7734693877549</c:v>
                </c:pt>
                <c:pt idx="48">
                  <c:v>1290.9367346938773</c:v>
                </c:pt>
                <c:pt idx="49">
                  <c:v>1317.0999999999997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BE-45C6-A304-94968F261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4993359"/>
        <c:axId val="1315002927"/>
      </c:scatterChart>
      <c:valAx>
        <c:axId val="13149933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5002927"/>
        <c:crosses val="autoZero"/>
        <c:crossBetween val="midCat"/>
      </c:valAx>
      <c:valAx>
        <c:axId val="1315002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49933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72744228400021427"/>
          <c:y val="3.03803010463244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1"/>
            <c:dispEq val="1"/>
            <c:trendlineLbl>
              <c:layout>
                <c:manualLayout>
                  <c:x val="-0.17937607799025121"/>
                  <c:y val="-0.76373330123436545"/>
                </c:manualLayout>
              </c:layout>
              <c:numFmt formatCode="#,##0.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NEW_rzeta_restackor03!$AD$154:$AD$203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NEW_rzeta_restackor03!$AF$154:$AF$203</c:f>
              <c:numCache>
                <c:formatCode>0.0</c:formatCode>
                <c:ptCount val="50"/>
                <c:pt idx="0">
                  <c:v>-4.4840999999834708E-2</c:v>
                </c:pt>
                <c:pt idx="1">
                  <c:v>3.1</c:v>
                </c:pt>
                <c:pt idx="2">
                  <c:v>6.2</c:v>
                </c:pt>
                <c:pt idx="3">
                  <c:v>9.6999999999999993</c:v>
                </c:pt>
                <c:pt idx="4">
                  <c:v>13.2</c:v>
                </c:pt>
                <c:pt idx="5">
                  <c:v>16.2</c:v>
                </c:pt>
                <c:pt idx="6">
                  <c:v>19.5</c:v>
                </c:pt>
                <c:pt idx="7">
                  <c:v>22.3</c:v>
                </c:pt>
                <c:pt idx="8">
                  <c:v>25</c:v>
                </c:pt>
                <c:pt idx="9">
                  <c:v>27.6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37.5</c:v>
                </c:pt>
                <c:pt idx="15">
                  <c:v>39</c:v>
                </c:pt>
                <c:pt idx="16">
                  <c:v>40.4</c:v>
                </c:pt>
                <c:pt idx="17">
                  <c:v>41.6</c:v>
                </c:pt>
                <c:pt idx="18">
                  <c:v>42.6</c:v>
                </c:pt>
                <c:pt idx="19">
                  <c:v>43.5</c:v>
                </c:pt>
                <c:pt idx="20">
                  <c:v>44.3</c:v>
                </c:pt>
                <c:pt idx="21">
                  <c:v>44.8</c:v>
                </c:pt>
                <c:pt idx="22">
                  <c:v>45.1</c:v>
                </c:pt>
                <c:pt idx="23">
                  <c:v>45.247057040816344</c:v>
                </c:pt>
                <c:pt idx="24">
                  <c:v>45.320874346938695</c:v>
                </c:pt>
                <c:pt idx="25">
                  <c:v>45.249435653061141</c:v>
                </c:pt>
                <c:pt idx="26">
                  <c:v>45.03274095918357</c:v>
                </c:pt>
                <c:pt idx="27">
                  <c:v>44.670790265306096</c:v>
                </c:pt>
                <c:pt idx="28">
                  <c:v>44.163583571428489</c:v>
                </c:pt>
                <c:pt idx="29">
                  <c:v>43.511120877550979</c:v>
                </c:pt>
                <c:pt idx="30">
                  <c:v>42.713402183673338</c:v>
                </c:pt>
                <c:pt idx="31">
                  <c:v>41.770427489795793</c:v>
                </c:pt>
                <c:pt idx="32">
                  <c:v>40.68219679591823</c:v>
                </c:pt>
                <c:pt idx="33">
                  <c:v>39.448710102040764</c:v>
                </c:pt>
                <c:pt idx="34">
                  <c:v>38.069967408163166</c:v>
                </c:pt>
                <c:pt idx="35">
                  <c:v>36.54596871428555</c:v>
                </c:pt>
                <c:pt idx="36">
                  <c:v>34.876714020408031</c:v>
                </c:pt>
                <c:pt idx="37">
                  <c:v>33.062203326530494</c:v>
                </c:pt>
                <c:pt idx="38">
                  <c:v>31.102436632652939</c:v>
                </c:pt>
                <c:pt idx="39">
                  <c:v>28.99741393877548</c:v>
                </c:pt>
                <c:pt idx="40">
                  <c:v>26.747135244897891</c:v>
                </c:pt>
                <c:pt idx="41">
                  <c:v>24.351600551020283</c:v>
                </c:pt>
                <c:pt idx="42">
                  <c:v>21.810809857142658</c:v>
                </c:pt>
                <c:pt idx="43">
                  <c:v>19.124763163265243</c:v>
                </c:pt>
                <c:pt idx="44">
                  <c:v>16.29346046938781</c:v>
                </c:pt>
                <c:pt idx="45">
                  <c:v>13.316901775510132</c:v>
                </c:pt>
                <c:pt idx="46">
                  <c:v>10.195087081632664</c:v>
                </c:pt>
                <c:pt idx="47">
                  <c:v>6.9280163877549512</c:v>
                </c:pt>
                <c:pt idx="48">
                  <c:v>3.5156896938772206</c:v>
                </c:pt>
                <c:pt idx="49">
                  <c:v>-4.1893000000072789E-2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FA-4FFF-BA48-5AE63FC67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5008335"/>
        <c:axId val="1314997519"/>
      </c:scatterChart>
      <c:valAx>
        <c:axId val="13150083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4997519"/>
        <c:crosses val="autoZero"/>
        <c:crossBetween val="midCat"/>
      </c:valAx>
      <c:valAx>
        <c:axId val="1314997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50083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NEW_rzeta_restackor03!$AI$154:$AI$203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NEW_rzeta_restackor03!$AJ$154:$AJ$203</c:f>
              <c:numCache>
                <c:formatCode>0.0</c:formatCode>
                <c:ptCount val="50"/>
                <c:pt idx="0">
                  <c:v>35.932316440498916</c:v>
                </c:pt>
                <c:pt idx="1">
                  <c:v>58.274336805270195</c:v>
                </c:pt>
                <c:pt idx="2">
                  <c:v>80.786566533154883</c:v>
                </c:pt>
                <c:pt idx="3">
                  <c:v>103.46825462085536</c:v>
                </c:pt>
                <c:pt idx="4">
                  <c:v>126.31865006507398</c:v>
                </c:pt>
                <c:pt idx="5">
                  <c:v>149.33700186251315</c:v>
                </c:pt>
                <c:pt idx="6">
                  <c:v>172.52255900987521</c:v>
                </c:pt>
                <c:pt idx="7">
                  <c:v>195.87457050386254</c:v>
                </c:pt>
                <c:pt idx="8">
                  <c:v>219.39228534117751</c:v>
                </c:pt>
                <c:pt idx="9">
                  <c:v>243.07495251852251</c:v>
                </c:pt>
                <c:pt idx="10">
                  <c:v>266.92182103259995</c:v>
                </c:pt>
                <c:pt idx="11">
                  <c:v>290.93213988011206</c:v>
                </c:pt>
                <c:pt idx="12">
                  <c:v>315.10515805776129</c:v>
                </c:pt>
                <c:pt idx="13">
                  <c:v>339.44012456225016</c:v>
                </c:pt>
                <c:pt idx="14">
                  <c:v>363.93628839028082</c:v>
                </c:pt>
                <c:pt idx="15">
                  <c:v>388.59289853855574</c:v>
                </c:pt>
                <c:pt idx="16">
                  <c:v>413.40920400377729</c:v>
                </c:pt>
                <c:pt idx="17">
                  <c:v>438.38445378264782</c:v>
                </c:pt>
                <c:pt idx="18">
                  <c:v>463.51789687186977</c:v>
                </c:pt>
                <c:pt idx="19">
                  <c:v>488.80878226814542</c:v>
                </c:pt>
                <c:pt idx="20">
                  <c:v>514.25635896817721</c:v>
                </c:pt>
                <c:pt idx="21">
                  <c:v>539.85987596866755</c:v>
                </c:pt>
                <c:pt idx="22">
                  <c:v>565.61858226631864</c:v>
                </c:pt>
                <c:pt idx="23">
                  <c:v>591.53172685783295</c:v>
                </c:pt>
                <c:pt idx="24">
                  <c:v>617.59855873991285</c:v>
                </c:pt>
                <c:pt idx="25">
                  <c:v>643.81832690926069</c:v>
                </c:pt>
                <c:pt idx="26">
                  <c:v>670.19028036257907</c:v>
                </c:pt>
                <c:pt idx="27">
                  <c:v>696.71366809657002</c:v>
                </c:pt>
                <c:pt idx="28">
                  <c:v>723.38773910793611</c:v>
                </c:pt>
                <c:pt idx="29">
                  <c:v>750.21174239337972</c:v>
                </c:pt>
                <c:pt idx="30">
                  <c:v>777.1849269496031</c:v>
                </c:pt>
                <c:pt idx="31">
                  <c:v>804.30654177330871</c:v>
                </c:pt>
                <c:pt idx="32">
                  <c:v>831.57583586119881</c:v>
                </c:pt>
                <c:pt idx="33">
                  <c:v>858.99205820997588</c:v>
                </c:pt>
                <c:pt idx="34">
                  <c:v>886.55445781634239</c:v>
                </c:pt>
                <c:pt idx="35">
                  <c:v>914.2622836770006</c:v>
                </c:pt>
                <c:pt idx="36">
                  <c:v>942.11478478865274</c:v>
                </c:pt>
                <c:pt idx="37">
                  <c:v>970.11121014800153</c:v>
                </c:pt>
                <c:pt idx="38">
                  <c:v>998.25080875174899</c:v>
                </c:pt>
                <c:pt idx="39">
                  <c:v>1026.5328295965976</c:v>
                </c:pt>
                <c:pt idx="40">
                  <c:v>1054.9565216792498</c:v>
                </c:pt>
                <c:pt idx="41">
                  <c:v>1083.521133996408</c:v>
                </c:pt>
                <c:pt idx="42">
                  <c:v>1112.2259155447744</c:v>
                </c:pt>
                <c:pt idx="43">
                  <c:v>1141.0701153210516</c:v>
                </c:pt>
                <c:pt idx="44">
                  <c:v>1170.052982321942</c:v>
                </c:pt>
                <c:pt idx="45">
                  <c:v>1199.1737655441475</c:v>
                </c:pt>
                <c:pt idx="46">
                  <c:v>1228.4317139843708</c:v>
                </c:pt>
                <c:pt idx="47">
                  <c:v>1257.8260766393144</c:v>
                </c:pt>
                <c:pt idx="48">
                  <c:v>1287.3561025056804</c:v>
                </c:pt>
                <c:pt idx="49">
                  <c:v>1317.0210405801715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9D-4F6B-B152-638243A8C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3015183"/>
        <c:axId val="1203012271"/>
      </c:scatterChart>
      <c:valAx>
        <c:axId val="12030151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12271"/>
        <c:crosses val="autoZero"/>
        <c:crossBetween val="midCat"/>
      </c:valAx>
      <c:valAx>
        <c:axId val="120301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151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Sheet3_playaround!$P$20:$P$29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Sheet3_playaround!$Q$20:$Q$29</c:f>
              <c:numCache>
                <c:formatCode>General</c:formatCode>
                <c:ptCount val="10"/>
                <c:pt idx="0">
                  <c:v>29.1</c:v>
                </c:pt>
                <c:pt idx="1">
                  <c:v>52.5</c:v>
                </c:pt>
                <c:pt idx="2">
                  <c:v>75.3</c:v>
                </c:pt>
                <c:pt idx="3">
                  <c:v>94.2</c:v>
                </c:pt>
                <c:pt idx="4">
                  <c:v>114.3</c:v>
                </c:pt>
                <c:pt idx="5">
                  <c:v>233.6</c:v>
                </c:pt>
                <c:pt idx="6">
                  <c:v>480</c:v>
                </c:pt>
                <c:pt idx="7">
                  <c:v>746.6</c:v>
                </c:pt>
                <c:pt idx="8">
                  <c:v>1055</c:v>
                </c:pt>
                <c:pt idx="9">
                  <c:v>1348.2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ED-451B-98C7-A1A41E900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8122911"/>
        <c:axId val="1438123327"/>
      </c:scatterChart>
      <c:valAx>
        <c:axId val="1438122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8123327"/>
        <c:crosses val="autoZero"/>
        <c:crossBetween val="midCat"/>
      </c:valAx>
      <c:valAx>
        <c:axId val="1438123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81229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Sheet3_playaround!$B$20:$B$29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Sheet3_playaround!$E$20:$E$29</c:f>
              <c:numCache>
                <c:formatCode>0.0</c:formatCode>
                <c:ptCount val="10"/>
                <c:pt idx="0">
                  <c:v>34.838084318002032</c:v>
                </c:pt>
                <c:pt idx="1">
                  <c:v>59.2</c:v>
                </c:pt>
                <c:pt idx="2">
                  <c:v>83.602364269770291</c:v>
                </c:pt>
                <c:pt idx="3">
                  <c:v>106.19759785619469</c:v>
                </c:pt>
                <c:pt idx="4">
                  <c:v>129</c:v>
                </c:pt>
                <c:pt idx="5">
                  <c:v>241.01582492186029</c:v>
                </c:pt>
                <c:pt idx="6">
                  <c:v>489.56339437252871</c:v>
                </c:pt>
                <c:pt idx="7">
                  <c:v>751.29151674861146</c:v>
                </c:pt>
                <c:pt idx="8">
                  <c:v>1024.3172559179066</c:v>
                </c:pt>
                <c:pt idx="9">
                  <c:v>1318.0552925414236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0F-4AD7-B19A-D0284A1C4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6713023"/>
        <c:axId val="1326709695"/>
      </c:scatterChart>
      <c:valAx>
        <c:axId val="13267130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6709695"/>
        <c:crosses val="autoZero"/>
        <c:crossBetween val="midCat"/>
      </c:valAx>
      <c:valAx>
        <c:axId val="1326709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67130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Sheet3_playaround!$B$20:$B$29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Sheet3_playaround!$E$20:$E$29</c:f>
              <c:numCache>
                <c:formatCode>0.0</c:formatCode>
                <c:ptCount val="10"/>
                <c:pt idx="0">
                  <c:v>34.838084318002032</c:v>
                </c:pt>
                <c:pt idx="1">
                  <c:v>59.2</c:v>
                </c:pt>
                <c:pt idx="2">
                  <c:v>83.602364269770291</c:v>
                </c:pt>
                <c:pt idx="3">
                  <c:v>106.19759785619469</c:v>
                </c:pt>
                <c:pt idx="4">
                  <c:v>129</c:v>
                </c:pt>
                <c:pt idx="5">
                  <c:v>241.01582492186029</c:v>
                </c:pt>
                <c:pt idx="6">
                  <c:v>489.56339437252871</c:v>
                </c:pt>
                <c:pt idx="7">
                  <c:v>751.29151674861146</c:v>
                </c:pt>
                <c:pt idx="8">
                  <c:v>1024.3172559179066</c:v>
                </c:pt>
                <c:pt idx="9">
                  <c:v>1318.0552925414236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43-483D-864E-7E1F14DA6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8538415"/>
        <c:axId val="1208516783"/>
      </c:scatterChart>
      <c:valAx>
        <c:axId val="12085384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8516783"/>
        <c:crosses val="autoZero"/>
        <c:crossBetween val="midCat"/>
      </c:valAx>
      <c:valAx>
        <c:axId val="1208516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85384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Sheet3_playaround!$S$20:$S$29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Sheet3_playaround!$U$20:$U$29</c:f>
              <c:numCache>
                <c:formatCode>0.0</c:formatCode>
                <c:ptCount val="10"/>
                <c:pt idx="0">
                  <c:v>4.6185277824406512E-14</c:v>
                </c:pt>
                <c:pt idx="1">
                  <c:v>3.5204081632653512</c:v>
                </c:pt>
                <c:pt idx="2">
                  <c:v>7.6408163265306541</c:v>
                </c:pt>
                <c:pt idx="3">
                  <c:v>15.661224489795956</c:v>
                </c:pt>
                <c:pt idx="4">
                  <c:v>22.481632653061254</c:v>
                </c:pt>
                <c:pt idx="5">
                  <c:v>37.783673469387764</c:v>
                </c:pt>
                <c:pt idx="6">
                  <c:v>60.587755102040774</c:v>
                </c:pt>
                <c:pt idx="7">
                  <c:v>63.191836734693879</c:v>
                </c:pt>
                <c:pt idx="8">
                  <c:v>23.995918367346803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5A-459E-8E12-7FCFBAC3F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8164047"/>
        <c:axId val="1398164879"/>
      </c:scatterChart>
      <c:valAx>
        <c:axId val="1398164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8164879"/>
        <c:crosses val="autoZero"/>
        <c:crossBetween val="midCat"/>
      </c:valAx>
      <c:valAx>
        <c:axId val="1398164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81640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Sheet3!$P$20:$P$29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Sheet3!$Q$20:$Q$29</c:f>
              <c:numCache>
                <c:formatCode>General</c:formatCode>
                <c:ptCount val="10"/>
                <c:pt idx="0">
                  <c:v>29.1</c:v>
                </c:pt>
                <c:pt idx="1">
                  <c:v>52.5</c:v>
                </c:pt>
                <c:pt idx="2">
                  <c:v>75.3</c:v>
                </c:pt>
                <c:pt idx="3">
                  <c:v>94.2</c:v>
                </c:pt>
                <c:pt idx="4">
                  <c:v>114.3</c:v>
                </c:pt>
                <c:pt idx="5">
                  <c:v>233.6</c:v>
                </c:pt>
                <c:pt idx="6">
                  <c:v>480</c:v>
                </c:pt>
                <c:pt idx="7">
                  <c:v>746.6</c:v>
                </c:pt>
                <c:pt idx="8">
                  <c:v>1055</c:v>
                </c:pt>
                <c:pt idx="9">
                  <c:v>1348.2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94-4130-B143-DBF47EFD4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8122911"/>
        <c:axId val="1438123327"/>
      </c:scatterChart>
      <c:valAx>
        <c:axId val="1438122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8123327"/>
        <c:crosses val="autoZero"/>
        <c:crossBetween val="midCat"/>
      </c:valAx>
      <c:valAx>
        <c:axId val="1438123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81229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Sheet3!$B$20:$B$29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Sheet3!$E$20:$E$29</c:f>
              <c:numCache>
                <c:formatCode>0.0</c:formatCode>
                <c:ptCount val="10"/>
                <c:pt idx="0">
                  <c:v>34.838084318002032</c:v>
                </c:pt>
                <c:pt idx="1">
                  <c:v>59.2</c:v>
                </c:pt>
                <c:pt idx="2">
                  <c:v>83.602364269770291</c:v>
                </c:pt>
                <c:pt idx="3">
                  <c:v>106.19759785619469</c:v>
                </c:pt>
                <c:pt idx="4">
                  <c:v>129</c:v>
                </c:pt>
                <c:pt idx="5">
                  <c:v>241.01582492186029</c:v>
                </c:pt>
                <c:pt idx="6">
                  <c:v>489.56339437252871</c:v>
                </c:pt>
                <c:pt idx="7">
                  <c:v>751.29151674861146</c:v>
                </c:pt>
                <c:pt idx="8">
                  <c:v>1024.3172559179066</c:v>
                </c:pt>
                <c:pt idx="9">
                  <c:v>1318.0552925414236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9C-42DD-85D0-E5240DF75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6713023"/>
        <c:axId val="1326709695"/>
      </c:scatterChart>
      <c:valAx>
        <c:axId val="13267130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6709695"/>
        <c:crosses val="autoZero"/>
        <c:crossBetween val="midCat"/>
      </c:valAx>
      <c:valAx>
        <c:axId val="1326709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67130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Sheet3!$F$20:$F$29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Sheet3!$H$20:$H$29</c:f>
              <c:numCache>
                <c:formatCode>0.0</c:formatCode>
                <c:ptCount val="10"/>
                <c:pt idx="0">
                  <c:v>-3.8084318002013617E-2</c:v>
                </c:pt>
                <c:pt idx="1">
                  <c:v>1.7897959183673606</c:v>
                </c:pt>
                <c:pt idx="2">
                  <c:v>3.5772275669644245</c:v>
                </c:pt>
                <c:pt idx="3">
                  <c:v>7.1717898989073632</c:v>
                </c:pt>
                <c:pt idx="4">
                  <c:v>10.559183673469391</c:v>
                </c:pt>
                <c:pt idx="5">
                  <c:v>29.492338343445823</c:v>
                </c:pt>
                <c:pt idx="6">
                  <c:v>42.84272807645084</c:v>
                </c:pt>
                <c:pt idx="7">
                  <c:v>43.012564884041581</c:v>
                </c:pt>
                <c:pt idx="8">
                  <c:v>31.884784898419866</c:v>
                </c:pt>
                <c:pt idx="9">
                  <c:v>4.4707458576340287E-2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0F-4286-AF2F-7897C88A8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8538415"/>
        <c:axId val="1208516783"/>
      </c:scatterChart>
      <c:valAx>
        <c:axId val="12085384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8516783"/>
        <c:crosses val="autoZero"/>
        <c:crossBetween val="midCat"/>
      </c:valAx>
      <c:valAx>
        <c:axId val="1208516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85384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Sheet3!$S$20:$S$29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Sheet3!$U$20:$U$29</c:f>
              <c:numCache>
                <c:formatCode>0.0</c:formatCode>
                <c:ptCount val="10"/>
                <c:pt idx="0">
                  <c:v>4.6185277824406512E-14</c:v>
                </c:pt>
                <c:pt idx="1">
                  <c:v>3.5204081632653512</c:v>
                </c:pt>
                <c:pt idx="2">
                  <c:v>7.6408163265306541</c:v>
                </c:pt>
                <c:pt idx="3">
                  <c:v>15.661224489795956</c:v>
                </c:pt>
                <c:pt idx="4">
                  <c:v>22.481632653061254</c:v>
                </c:pt>
                <c:pt idx="5">
                  <c:v>37.783673469387764</c:v>
                </c:pt>
                <c:pt idx="6">
                  <c:v>60.587755102040774</c:v>
                </c:pt>
                <c:pt idx="7">
                  <c:v>63.191836734693879</c:v>
                </c:pt>
                <c:pt idx="8">
                  <c:v>23.995918367346803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13-4B71-8C7F-345A9F104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8164047"/>
        <c:axId val="1398164879"/>
      </c:scatterChart>
      <c:valAx>
        <c:axId val="1398164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8164879"/>
        <c:crosses val="autoZero"/>
        <c:crossBetween val="midCat"/>
      </c:valAx>
      <c:valAx>
        <c:axId val="1398164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81640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Sheet3!$G$40:$G$90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25.4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xVal>
          <c:yVal>
            <c:numRef>
              <c:f>Sheet3!$H$40:$H$90</c:f>
              <c:numCache>
                <c:formatCode>0.0</c:formatCode>
                <c:ptCount val="51"/>
                <c:pt idx="0">
                  <c:v>7.8959419828241728E-2</c:v>
                </c:pt>
                <c:pt idx="1">
                  <c:v>3.5806321881968062</c:v>
                </c:pt>
                <c:pt idx="2">
                  <c:v>6.9473927484404827</c:v>
                </c:pt>
                <c:pt idx="3">
                  <c:v>10.178490097261633</c:v>
                </c:pt>
                <c:pt idx="4">
                  <c:v>13.273173231362595</c:v>
                </c:pt>
                <c:pt idx="5">
                  <c:v>16.230691147445729</c:v>
                </c:pt>
                <c:pt idx="6">
                  <c:v>19.050292842213512</c:v>
                </c:pt>
                <c:pt idx="7">
                  <c:v>21.731227312368194</c:v>
                </c:pt>
                <c:pt idx="8">
                  <c:v>24.272743554612195</c:v>
                </c:pt>
                <c:pt idx="9">
                  <c:v>26.674090565647933</c:v>
                </c:pt>
                <c:pt idx="10">
                  <c:v>28.934517342177717</c:v>
                </c:pt>
                <c:pt idx="11">
                  <c:v>31.05327288090395</c:v>
                </c:pt>
                <c:pt idx="12">
                  <c:v>33.029606178529015</c:v>
                </c:pt>
                <c:pt idx="13">
                  <c:v>34.862766231755209</c:v>
                </c:pt>
                <c:pt idx="14">
                  <c:v>36.552002037285</c:v>
                </c:pt>
                <c:pt idx="15">
                  <c:v>38.096562591820721</c:v>
                </c:pt>
                <c:pt idx="16">
                  <c:v>39.495696892064707</c:v>
                </c:pt>
                <c:pt idx="17">
                  <c:v>40.748653934719393</c:v>
                </c:pt>
                <c:pt idx="18">
                  <c:v>41.85468271648714</c:v>
                </c:pt>
                <c:pt idx="19">
                  <c:v>42.813032234070313</c:v>
                </c:pt>
                <c:pt idx="20">
                  <c:v>43.622951484171246</c:v>
                </c:pt>
                <c:pt idx="21">
                  <c:v>44.283689463492358</c:v>
                </c:pt>
                <c:pt idx="22">
                  <c:v>44.794495168735999</c:v>
                </c:pt>
                <c:pt idx="23">
                  <c:v>45.15461759660456</c:v>
                </c:pt>
                <c:pt idx="24">
                  <c:v>45.363305743800382</c:v>
                </c:pt>
                <c:pt idx="25">
                  <c:v>45.419808607025864</c:v>
                </c:pt>
                <c:pt idx="26">
                  <c:v>45.363305743800382</c:v>
                </c:pt>
                <c:pt idx="27">
                  <c:v>45.15461759660456</c:v>
                </c:pt>
                <c:pt idx="28">
                  <c:v>44.794495168735999</c:v>
                </c:pt>
                <c:pt idx="29">
                  <c:v>44.283689463492358</c:v>
                </c:pt>
                <c:pt idx="30">
                  <c:v>43.622951484171246</c:v>
                </c:pt>
                <c:pt idx="31">
                  <c:v>42.813032234070313</c:v>
                </c:pt>
                <c:pt idx="32">
                  <c:v>41.85468271648714</c:v>
                </c:pt>
                <c:pt idx="33">
                  <c:v>40.748653934719393</c:v>
                </c:pt>
                <c:pt idx="34">
                  <c:v>39.495696892064707</c:v>
                </c:pt>
                <c:pt idx="35">
                  <c:v>38.096562591820721</c:v>
                </c:pt>
                <c:pt idx="36">
                  <c:v>36.552002037285</c:v>
                </c:pt>
                <c:pt idx="37">
                  <c:v>34.862766231755209</c:v>
                </c:pt>
                <c:pt idx="38">
                  <c:v>33.029606178529015</c:v>
                </c:pt>
                <c:pt idx="39">
                  <c:v>31.05327288090395</c:v>
                </c:pt>
                <c:pt idx="40">
                  <c:v>28.934517342177717</c:v>
                </c:pt>
                <c:pt idx="41">
                  <c:v>26.674090565647933</c:v>
                </c:pt>
                <c:pt idx="42">
                  <c:v>24.272743554612195</c:v>
                </c:pt>
                <c:pt idx="43">
                  <c:v>21.731227312368194</c:v>
                </c:pt>
                <c:pt idx="44">
                  <c:v>19.050292842213512</c:v>
                </c:pt>
                <c:pt idx="45">
                  <c:v>16.230691147445729</c:v>
                </c:pt>
                <c:pt idx="46">
                  <c:v>13.273173231362595</c:v>
                </c:pt>
                <c:pt idx="47">
                  <c:v>10.178490097261633</c:v>
                </c:pt>
                <c:pt idx="48">
                  <c:v>6.9473927484404827</c:v>
                </c:pt>
                <c:pt idx="49">
                  <c:v>3.5806321881968062</c:v>
                </c:pt>
                <c:pt idx="50">
                  <c:v>7.8959419828241728E-2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A9-498D-B9EB-4CAC36202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8521775"/>
        <c:axId val="1208522607"/>
      </c:scatterChart>
      <c:valAx>
        <c:axId val="12085217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8522607"/>
        <c:crosses val="autoZero"/>
        <c:crossBetween val="midCat"/>
      </c:valAx>
      <c:valAx>
        <c:axId val="1208522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85217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NEW_rzeta_restackor02!$C$8:$C$17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NEW_rzeta_restackor02!$D$8:$D$17</c:f>
              <c:numCache>
                <c:formatCode>0.0</c:formatCode>
                <c:ptCount val="10"/>
                <c:pt idx="0">
                  <c:v>33.561842105263182</c:v>
                </c:pt>
                <c:pt idx="1">
                  <c:v>55.500000000000021</c:v>
                </c:pt>
                <c:pt idx="2">
                  <c:v>77.438157894736861</c:v>
                </c:pt>
                <c:pt idx="3">
                  <c:v>99.376315789473708</c:v>
                </c:pt>
                <c:pt idx="4">
                  <c:v>121.31447368421055</c:v>
                </c:pt>
                <c:pt idx="5">
                  <c:v>231.00526315789477</c:v>
                </c:pt>
                <c:pt idx="6">
                  <c:v>450.38684210526321</c:v>
                </c:pt>
                <c:pt idx="7">
                  <c:v>669.76842105263165</c:v>
                </c:pt>
                <c:pt idx="8">
                  <c:v>889.15000000000009</c:v>
                </c:pt>
                <c:pt idx="9">
                  <c:v>1108.5315789473684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2D-46C2-9DF7-B19ADEACB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9001279"/>
        <c:axId val="1948998367"/>
      </c:scatterChart>
      <c:valAx>
        <c:axId val="19490012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8998367"/>
        <c:crosses val="autoZero"/>
        <c:crossBetween val="midCat"/>
      </c:valAx>
      <c:valAx>
        <c:axId val="1948998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90012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NEW_rzeta_restackor02!$C$97:$C$101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NEW_rzeta_restackor02!$F$97:$F$101</c:f>
              <c:numCache>
                <c:formatCode>0</c:formatCode>
                <c:ptCount val="5"/>
                <c:pt idx="0">
                  <c:v>30.669736842105323</c:v>
                </c:pt>
                <c:pt idx="1">
                  <c:v>55.500000000000057</c:v>
                </c:pt>
                <c:pt idx="2">
                  <c:v>80.330263157894791</c:v>
                </c:pt>
                <c:pt idx="3">
                  <c:v>105.16052631578953</c:v>
                </c:pt>
                <c:pt idx="4">
                  <c:v>129.99078947368426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E4-4526-9145-A378C514D437}"/>
            </c:ext>
          </c:extLst>
        </c:ser>
        <c:ser>
          <c:idx val="1"/>
          <c:order val="1"/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NEW_rzeta_restackor02!$H$97:$H$101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NEW_rzeta_restackor02!$K$97:$K$101</c:f>
              <c:numCache>
                <c:formatCode>0</c:formatCode>
                <c:ptCount val="5"/>
                <c:pt idx="0">
                  <c:v>29.189275921395929</c:v>
                </c:pt>
                <c:pt idx="1">
                  <c:v>55.923203126400409</c:v>
                </c:pt>
                <c:pt idx="2">
                  <c:v>81.885126517202039</c:v>
                </c:pt>
                <c:pt idx="3">
                  <c:v>107.70394676195632</c:v>
                </c:pt>
                <c:pt idx="4">
                  <c:v>133.59431857973431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E4-4526-9145-A378C514D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8446271"/>
        <c:axId val="488440447"/>
      </c:scatterChart>
      <c:valAx>
        <c:axId val="4884462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440447"/>
        <c:crosses val="autoZero"/>
        <c:crossBetween val="midCat"/>
      </c:valAx>
      <c:valAx>
        <c:axId val="488440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4462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rzeta_bkwd_less_rebdrag!$C$113:$C$122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rzeta_bkwd_less_rebdrag!$D$113:$D$122</c:f>
              <c:numCache>
                <c:formatCode>0.0000</c:formatCode>
                <c:ptCount val="10"/>
                <c:pt idx="0">
                  <c:v>0.57743333572096223</c:v>
                </c:pt>
                <c:pt idx="1">
                  <c:v>0.6543962435687205</c:v>
                </c:pt>
                <c:pt idx="2">
                  <c:v>0.65238453463287249</c:v>
                </c:pt>
                <c:pt idx="3">
                  <c:v>0.6478787630409294</c:v>
                </c:pt>
                <c:pt idx="4">
                  <c:v>0.64657526693537126</c:v>
                </c:pt>
                <c:pt idx="5">
                  <c:v>0.64996813265114395</c:v>
                </c:pt>
                <c:pt idx="6">
                  <c:v>0.67066411561084671</c:v>
                </c:pt>
                <c:pt idx="7">
                  <c:v>0.67756277659741437</c:v>
                </c:pt>
                <c:pt idx="8">
                  <c:v>0.68101210709069804</c:v>
                </c:pt>
                <c:pt idx="9">
                  <c:v>0.68308170538666846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6E-4101-8459-F2979F202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830016"/>
        <c:axId val="119831552"/>
      </c:scatterChart>
      <c:valAx>
        <c:axId val="11983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831552"/>
        <c:crosses val="autoZero"/>
        <c:crossBetween val="midCat"/>
      </c:valAx>
      <c:valAx>
        <c:axId val="119831552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1198300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rzeta_bkwd_less_rebdrag!$L$20:$L$29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rzeta_bkwd_less_rebdrag!$Q$20:$Q$29</c:f>
              <c:numCache>
                <c:formatCode>0.00</c:formatCode>
                <c:ptCount val="10"/>
                <c:pt idx="0">
                  <c:v>37.745401835338939</c:v>
                </c:pt>
                <c:pt idx="1">
                  <c:v>65.613983883957971</c:v>
                </c:pt>
                <c:pt idx="2">
                  <c:v>90.356965965492464</c:v>
                </c:pt>
                <c:pt idx="3">
                  <c:v>114.57273841402473</c:v>
                </c:pt>
                <c:pt idx="4">
                  <c:v>139.05211567905815</c:v>
                </c:pt>
                <c:pt idx="5">
                  <c:v>263.70847185994876</c:v>
                </c:pt>
                <c:pt idx="6">
                  <c:v>527.33115997464711</c:v>
                </c:pt>
                <c:pt idx="7">
                  <c:v>790.95384808934568</c:v>
                </c:pt>
                <c:pt idx="8">
                  <c:v>1054.576536204044</c:v>
                </c:pt>
                <c:pt idx="9">
                  <c:v>1318.1992243187428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10-4569-A400-D482AD960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859456"/>
        <c:axId val="119865344"/>
      </c:scatterChart>
      <c:valAx>
        <c:axId val="11985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865344"/>
        <c:crosses val="autoZero"/>
        <c:crossBetween val="midCat"/>
      </c:valAx>
      <c:valAx>
        <c:axId val="1198653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985945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rzeta_bkwd_less_rebdrag!$C$20:$C$24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rzeta_bkwd_less_rebdrag!$F$20:$F$24</c:f>
              <c:numCache>
                <c:formatCode>0.00</c:formatCode>
                <c:ptCount val="5"/>
                <c:pt idx="0">
                  <c:v>37.658722644040672</c:v>
                </c:pt>
                <c:pt idx="1">
                  <c:v>65.526177400630772</c:v>
                </c:pt>
                <c:pt idx="2">
                  <c:v>90.267958177765493</c:v>
                </c:pt>
                <c:pt idx="3">
                  <c:v>114.48251683788364</c:v>
                </c:pt>
                <c:pt idx="4">
                  <c:v>138.9606865565101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1F-4CE0-AC7E-FFCE07DC7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913856"/>
        <c:axId val="119927936"/>
      </c:scatterChart>
      <c:valAx>
        <c:axId val="11991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927936"/>
        <c:crosses val="autoZero"/>
        <c:crossBetween val="midCat"/>
      </c:valAx>
      <c:valAx>
        <c:axId val="1199279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99138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rzeta_bkwd_less_rebdrag!$C$35:$C$44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rzeta_bkwd_less_rebdrag!$D$35:$D$44</c:f>
              <c:numCache>
                <c:formatCode>0.0000</c:formatCode>
                <c:ptCount val="10"/>
                <c:pt idx="0">
                  <c:v>0.92510000000000003</c:v>
                </c:pt>
                <c:pt idx="1">
                  <c:v>0.82750000000000001</c:v>
                </c:pt>
                <c:pt idx="2">
                  <c:v>0.77429999999999999</c:v>
                </c:pt>
                <c:pt idx="3">
                  <c:v>0.745</c:v>
                </c:pt>
                <c:pt idx="4">
                  <c:v>0.72850000000000004</c:v>
                </c:pt>
                <c:pt idx="5" formatCode="0.00">
                  <c:v>0.7</c:v>
                </c:pt>
                <c:pt idx="6" formatCode="0.00">
                  <c:v>0.7</c:v>
                </c:pt>
                <c:pt idx="7" formatCode="0.00">
                  <c:v>0.7</c:v>
                </c:pt>
                <c:pt idx="8" formatCode="0.00">
                  <c:v>0.7</c:v>
                </c:pt>
                <c:pt idx="9" formatCode="0.00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B6-4633-8CCE-BB2801421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9410448"/>
        <c:axId val="1329412112"/>
      </c:scatterChart>
      <c:valAx>
        <c:axId val="1329410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9412112"/>
        <c:crosses val="autoZero"/>
        <c:crossBetween val="midCat"/>
      </c:valAx>
      <c:valAx>
        <c:axId val="1329412112"/>
        <c:scaling>
          <c:orientation val="minMax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9410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36086526684164477"/>
                  <c:y val="-0.1670833333333333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rzeta_bkwd_less_rebdrag!$C$53:$C$62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rzeta_bkwd_less_rebdrag!$F$53:$F$62</c:f>
              <c:numCache>
                <c:formatCode>0.0</c:formatCode>
                <c:ptCount val="10"/>
                <c:pt idx="0">
                  <c:v>34.838084318002032</c:v>
                </c:pt>
                <c:pt idx="1">
                  <c:v>61.383717909786299</c:v>
                </c:pt>
                <c:pt idx="2">
                  <c:v>83.602364269770291</c:v>
                </c:pt>
                <c:pt idx="3">
                  <c:v>106.19759785619469</c:v>
                </c:pt>
                <c:pt idx="4">
                  <c:v>127.75721656990798</c:v>
                </c:pt>
                <c:pt idx="5">
                  <c:v>241.01582492186029</c:v>
                </c:pt>
                <c:pt idx="6">
                  <c:v>489.56339437252871</c:v>
                </c:pt>
                <c:pt idx="7">
                  <c:v>751.29151674861146</c:v>
                </c:pt>
                <c:pt idx="8">
                  <c:v>1024.3172559179066</c:v>
                </c:pt>
                <c:pt idx="9">
                  <c:v>1318.0552925414236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54-4056-8AD2-B90170AA2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2614400"/>
        <c:axId val="1322612320"/>
      </c:scatterChart>
      <c:valAx>
        <c:axId val="1322614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2612320"/>
        <c:crosses val="autoZero"/>
        <c:crossBetween val="midCat"/>
      </c:valAx>
      <c:valAx>
        <c:axId val="1322612320"/>
        <c:scaling>
          <c:orientation val="minMax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2614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rzeta_bkwd_less_rebdrag!$L$113:$L$122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rzeta_bkwd_less_rebdrag!$P$113:$P$122</c:f>
              <c:numCache>
                <c:formatCode>General</c:formatCode>
                <c:ptCount val="10"/>
                <c:pt idx="0">
                  <c:v>29.1</c:v>
                </c:pt>
                <c:pt idx="1">
                  <c:v>52.5</c:v>
                </c:pt>
                <c:pt idx="2">
                  <c:v>75.3</c:v>
                </c:pt>
                <c:pt idx="3">
                  <c:v>94.2</c:v>
                </c:pt>
                <c:pt idx="4">
                  <c:v>114.3</c:v>
                </c:pt>
                <c:pt idx="5">
                  <c:v>233.6</c:v>
                </c:pt>
                <c:pt idx="6">
                  <c:v>480</c:v>
                </c:pt>
                <c:pt idx="7">
                  <c:v>746.6</c:v>
                </c:pt>
                <c:pt idx="8">
                  <c:v>1055</c:v>
                </c:pt>
                <c:pt idx="9">
                  <c:v>1348.2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07-4D0A-AA78-02BC54D69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3020591"/>
        <c:axId val="1203021007"/>
      </c:scatterChart>
      <c:valAx>
        <c:axId val="1203020591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21007"/>
        <c:crosses val="autoZero"/>
        <c:crossBetween val="midCat"/>
      </c:valAx>
      <c:valAx>
        <c:axId val="1203021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205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rzeta_bkwd_less_rebdrag!$C$96:$C$105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rzeta_bkwd_less_rebdrag!$F$96:$F$105</c:f>
              <c:numCache>
                <c:formatCode>0.00</c:formatCode>
                <c:ptCount val="10"/>
                <c:pt idx="0">
                  <c:v>26.361105850828469</c:v>
                </c:pt>
                <c:pt idx="1">
                  <c:v>52.722211701656938</c:v>
                </c:pt>
                <c:pt idx="2">
                  <c:v>79.083317552485411</c:v>
                </c:pt>
                <c:pt idx="3">
                  <c:v>105.44442340331388</c:v>
                </c:pt>
                <c:pt idx="4">
                  <c:v>131.80552925414236</c:v>
                </c:pt>
                <c:pt idx="5">
                  <c:v>263.61105850828471</c:v>
                </c:pt>
                <c:pt idx="6">
                  <c:v>527.22211701656943</c:v>
                </c:pt>
                <c:pt idx="7">
                  <c:v>790.83317552485403</c:v>
                </c:pt>
                <c:pt idx="8">
                  <c:v>1054.4442340331389</c:v>
                </c:pt>
                <c:pt idx="9">
                  <c:v>1318.0552925414236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C5-4384-836A-1BE6378EF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8523439"/>
        <c:axId val="1208539663"/>
      </c:scatterChart>
      <c:valAx>
        <c:axId val="1208523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8539663"/>
        <c:crosses val="autoZero"/>
        <c:crossBetween val="midCat"/>
      </c:valAx>
      <c:valAx>
        <c:axId val="1208539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85234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NEW_restackor_rzeta01!$D$130:$D$139</c:f>
              <c:numCache>
                <c:formatCode>General</c:formatCode>
                <c:ptCount val="10"/>
              </c:numCache>
            </c:numRef>
          </c:xVal>
          <c:yVal>
            <c:numRef>
              <c:f>NEW_restackor_rzeta01!$E$130:$E$139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47-4306-B3F9-B8775701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830016"/>
        <c:axId val="119831552"/>
      </c:scatterChart>
      <c:valAx>
        <c:axId val="11983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831552"/>
        <c:crosses val="autoZero"/>
        <c:crossBetween val="midCat"/>
      </c:valAx>
      <c:valAx>
        <c:axId val="119831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8300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rzeta_bkwd_less_compdrag!$B$92:$B$101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rzeta_bkwd_less_compdrag!$C$92:$C$101</c:f>
              <c:numCache>
                <c:formatCode>0.0000</c:formatCode>
                <c:ptCount val="10"/>
                <c:pt idx="0">
                  <c:v>0.63553299621721115</c:v>
                </c:pt>
                <c:pt idx="1">
                  <c:v>0.68775773693344977</c:v>
                </c:pt>
                <c:pt idx="2">
                  <c:v>0.67749997228709513</c:v>
                </c:pt>
                <c:pt idx="3">
                  <c:v>0.66887117283989883</c:v>
                </c:pt>
                <c:pt idx="4">
                  <c:v>0.66509386002118864</c:v>
                </c:pt>
                <c:pt idx="5">
                  <c:v>0.66353909231065744</c:v>
                </c:pt>
                <c:pt idx="6">
                  <c:v>0.68176125855720826</c:v>
                </c:pt>
                <c:pt idx="7">
                  <c:v>0.68783531397272524</c:v>
                </c:pt>
                <c:pt idx="8">
                  <c:v>0.69087234168048361</c:v>
                </c:pt>
                <c:pt idx="9">
                  <c:v>0.69269455830513871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E4-4A67-B39A-F176E16FE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651904"/>
        <c:axId val="94980736"/>
      </c:scatterChart>
      <c:valAx>
        <c:axId val="9465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980736"/>
        <c:crosses val="autoZero"/>
        <c:crossBetween val="midCat"/>
      </c:valAx>
      <c:valAx>
        <c:axId val="94980736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946519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rzeta_bkwd_less_compdrag!$K$19:$K$28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rzeta_bkwd_less_compdrag!$P$19:$P$28</c:f>
              <c:numCache>
                <c:formatCode>0.00</c:formatCode>
                <c:ptCount val="10"/>
                <c:pt idx="0">
                  <c:v>37.733360835680102</c:v>
                </c:pt>
                <c:pt idx="1">
                  <c:v>65.600155722939746</c:v>
                </c:pt>
                <c:pt idx="2">
                  <c:v>90.341350643114865</c:v>
                </c:pt>
                <c:pt idx="3">
                  <c:v>114.55533593028775</c:v>
                </c:pt>
                <c:pt idx="4">
                  <c:v>139.03292603396179</c:v>
                </c:pt>
                <c:pt idx="5">
                  <c:v>263.68034640805553</c:v>
                </c:pt>
                <c:pt idx="6">
                  <c:v>527.28516290916014</c:v>
                </c:pt>
                <c:pt idx="7">
                  <c:v>790.8899794102648</c:v>
                </c:pt>
                <c:pt idx="8">
                  <c:v>1054.4947959113695</c:v>
                </c:pt>
                <c:pt idx="9">
                  <c:v>1318.099612412474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F2-473D-A158-D5BFD4E1C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914880"/>
        <c:axId val="112858624"/>
      </c:scatterChart>
      <c:valAx>
        <c:axId val="10391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858624"/>
        <c:crosses val="autoZero"/>
        <c:crossBetween val="midCat"/>
      </c:valAx>
      <c:valAx>
        <c:axId val="1128586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39148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rzeta_bkwd_less_compdrag!$B$19:$B$23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rzeta_bkwd_less_compdrag!$E$19:$E$23</c:f>
              <c:numCache>
                <c:formatCode>0.00</c:formatCode>
                <c:ptCount val="5"/>
                <c:pt idx="0">
                  <c:v>37.658722644040672</c:v>
                </c:pt>
                <c:pt idx="1">
                  <c:v>65.526177400630772</c:v>
                </c:pt>
                <c:pt idx="2">
                  <c:v>90.267958177765493</c:v>
                </c:pt>
                <c:pt idx="3">
                  <c:v>114.48251683788364</c:v>
                </c:pt>
                <c:pt idx="4">
                  <c:v>138.9606865565101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6F-430E-8995-482B93025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283520"/>
        <c:axId val="122285440"/>
      </c:scatterChart>
      <c:valAx>
        <c:axId val="12228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2285440"/>
        <c:crosses val="autoZero"/>
        <c:crossBetween val="midCat"/>
      </c:valAx>
      <c:valAx>
        <c:axId val="1222854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2835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-8.3895013123359577E-2"/>
                  <c:y val="-4.769575678040245E-2"/>
                </c:manualLayout>
              </c:layout>
              <c:numFmt formatCode="General" sourceLinked="0"/>
            </c:trendlineLbl>
          </c:trendline>
          <c:xVal>
            <c:numRef>
              <c:f>shr_per_spr!$B$34:$B$47</c:f>
              <c:numCache>
                <c:formatCode>0.00</c:formatCode>
                <c:ptCount val="14"/>
                <c:pt idx="0">
                  <c:v>2.4500000000000002</c:v>
                </c:pt>
                <c:pt idx="1">
                  <c:v>2.5000680331013507</c:v>
                </c:pt>
                <c:pt idx="2">
                  <c:v>2.5501786911101423</c:v>
                </c:pt>
                <c:pt idx="3">
                  <c:v>2.6</c:v>
                </c:pt>
                <c:pt idx="4">
                  <c:v>2.6496440938966015</c:v>
                </c:pt>
                <c:pt idx="5">
                  <c:v>2.6995106480969238</c:v>
                </c:pt>
                <c:pt idx="6">
                  <c:v>2.75031284808647</c:v>
                </c:pt>
                <c:pt idx="7">
                  <c:v>2.8004419881581071</c:v>
                </c:pt>
                <c:pt idx="8">
                  <c:v>2.8498977493736195</c:v>
                </c:pt>
                <c:pt idx="9">
                  <c:v>2.9001312541402999</c:v>
                </c:pt>
                <c:pt idx="10">
                  <c:v>3</c:v>
                </c:pt>
                <c:pt idx="11">
                  <c:v>3.1</c:v>
                </c:pt>
                <c:pt idx="12">
                  <c:v>3.2</c:v>
                </c:pt>
                <c:pt idx="13">
                  <c:v>3.3</c:v>
                </c:pt>
              </c:numCache>
            </c:numRef>
          </c:xVal>
          <c:yVal>
            <c:numRef>
              <c:f>shr_per_spr!$C$34:$C$47</c:f>
              <c:numCache>
                <c:formatCode>General</c:formatCode>
                <c:ptCount val="14"/>
                <c:pt idx="0">
                  <c:v>4.47</c:v>
                </c:pt>
                <c:pt idx="1">
                  <c:v>4.6500000000000004</c:v>
                </c:pt>
                <c:pt idx="2">
                  <c:v>4.82</c:v>
                </c:pt>
                <c:pt idx="3">
                  <c:v>5</c:v>
                </c:pt>
                <c:pt idx="4">
                  <c:v>5.18</c:v>
                </c:pt>
                <c:pt idx="5">
                  <c:v>5.36</c:v>
                </c:pt>
                <c:pt idx="6">
                  <c:v>5.55</c:v>
                </c:pt>
                <c:pt idx="7">
                  <c:v>5.74</c:v>
                </c:pt>
                <c:pt idx="8">
                  <c:v>5.93</c:v>
                </c:pt>
                <c:pt idx="9">
                  <c:v>6.12</c:v>
                </c:pt>
                <c:pt idx="10">
                  <c:v>6.52</c:v>
                </c:pt>
                <c:pt idx="11">
                  <c:v>6.92</c:v>
                </c:pt>
                <c:pt idx="12">
                  <c:v>7.34</c:v>
                </c:pt>
                <c:pt idx="13">
                  <c:v>7.77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F54-4E50-83B9-3E4FA8C2C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963904"/>
        <c:axId val="134300800"/>
      </c:scatterChart>
      <c:valAx>
        <c:axId val="13196390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34300800"/>
        <c:crosses val="autoZero"/>
        <c:crossBetween val="midCat"/>
      </c:valAx>
      <c:valAx>
        <c:axId val="134300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9639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4" Type="http://schemas.openxmlformats.org/officeDocument/2006/relationships/chart" Target="../charts/chart2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10582</xdr:colOff>
      <xdr:row>1</xdr:row>
      <xdr:rowOff>51859</xdr:rowOff>
    </xdr:from>
    <xdr:to>
      <xdr:col>11</xdr:col>
      <xdr:colOff>560492</xdr:colOff>
      <xdr:row>9</xdr:row>
      <xdr:rowOff>68792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91293C-224C-46D6-978E-8443A12EB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42337</xdr:colOff>
      <xdr:row>1</xdr:row>
      <xdr:rowOff>41276</xdr:rowOff>
    </xdr:from>
    <xdr:to>
      <xdr:col>3</xdr:col>
      <xdr:colOff>592247</xdr:colOff>
      <xdr:row>9</xdr:row>
      <xdr:rowOff>58209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E058740-52B7-4A3C-A897-267213233B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21167</xdr:colOff>
      <xdr:row>1</xdr:row>
      <xdr:rowOff>41274</xdr:rowOff>
    </xdr:from>
    <xdr:to>
      <xdr:col>7</xdr:col>
      <xdr:colOff>571077</xdr:colOff>
      <xdr:row>9</xdr:row>
      <xdr:rowOff>58207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DAB3760-7EEC-4451-821C-1D582BC9E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10584</xdr:colOff>
      <xdr:row>1</xdr:row>
      <xdr:rowOff>41273</xdr:rowOff>
    </xdr:from>
    <xdr:to>
      <xdr:col>15</xdr:col>
      <xdr:colOff>560494</xdr:colOff>
      <xdr:row>9</xdr:row>
      <xdr:rowOff>58206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3B3F025-AD9B-4978-95F4-FA115DAAF9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243417</xdr:colOff>
      <xdr:row>27</xdr:row>
      <xdr:rowOff>95247</xdr:rowOff>
    </xdr:from>
    <xdr:to>
      <xdr:col>7</xdr:col>
      <xdr:colOff>275168</xdr:colOff>
      <xdr:row>28</xdr:row>
      <xdr:rowOff>95249</xdr:rowOff>
    </xdr:to>
    <xdr:cxnSp macro="">
      <xdr:nvCxnSpPr>
        <xdr:cNvPr id="11" name="Connector: Elbow 10">
          <a:extLst>
            <a:ext uri="{FF2B5EF4-FFF2-40B4-BE49-F238E27FC236}">
              <a16:creationId xmlns:a16="http://schemas.microsoft.com/office/drawing/2014/main" id="{AF4F6A06-26E8-BB57-E01F-BFA5966ED164}"/>
            </a:ext>
          </a:extLst>
        </xdr:cNvPr>
        <xdr:cNvCxnSpPr/>
      </xdr:nvCxnSpPr>
      <xdr:spPr>
        <a:xfrm rot="10800000" flipV="1">
          <a:off x="3989917" y="4667247"/>
          <a:ext cx="656168" cy="169335"/>
        </a:xfrm>
        <a:prstGeom prst="bentConnector3">
          <a:avLst>
            <a:gd name="adj1" fmla="val 4354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497417</xdr:colOff>
      <xdr:row>26</xdr:row>
      <xdr:rowOff>84666</xdr:rowOff>
    </xdr:from>
    <xdr:to>
      <xdr:col>6</xdr:col>
      <xdr:colOff>285750</xdr:colOff>
      <xdr:row>28</xdr:row>
      <xdr:rowOff>95250</xdr:rowOff>
    </xdr:to>
    <xdr:cxnSp macro="">
      <xdr:nvCxnSpPr>
        <xdr:cNvPr id="13" name="Connector: Elbow 12">
          <a:extLst>
            <a:ext uri="{FF2B5EF4-FFF2-40B4-BE49-F238E27FC236}">
              <a16:creationId xmlns:a16="http://schemas.microsoft.com/office/drawing/2014/main" id="{6B25071A-9789-E393-9D38-6BD41EA76F59}"/>
            </a:ext>
          </a:extLst>
        </xdr:cNvPr>
        <xdr:cNvCxnSpPr/>
      </xdr:nvCxnSpPr>
      <xdr:spPr>
        <a:xfrm rot="10800000">
          <a:off x="3619500" y="4487333"/>
          <a:ext cx="412750" cy="349250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10582</xdr:colOff>
      <xdr:row>1</xdr:row>
      <xdr:rowOff>51859</xdr:rowOff>
    </xdr:from>
    <xdr:to>
      <xdr:col>11</xdr:col>
      <xdr:colOff>560492</xdr:colOff>
      <xdr:row>9</xdr:row>
      <xdr:rowOff>68792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74A59E-3BC6-4896-BFC3-BE4DDA61B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42337</xdr:colOff>
      <xdr:row>1</xdr:row>
      <xdr:rowOff>41276</xdr:rowOff>
    </xdr:from>
    <xdr:to>
      <xdr:col>3</xdr:col>
      <xdr:colOff>592247</xdr:colOff>
      <xdr:row>9</xdr:row>
      <xdr:rowOff>58209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C807C3-DA23-4831-913E-5048A77B9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21167</xdr:colOff>
      <xdr:row>1</xdr:row>
      <xdr:rowOff>41274</xdr:rowOff>
    </xdr:from>
    <xdr:to>
      <xdr:col>7</xdr:col>
      <xdr:colOff>571077</xdr:colOff>
      <xdr:row>9</xdr:row>
      <xdr:rowOff>58207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75C177F-EB7D-4030-9001-DC63FE86F4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10584</xdr:colOff>
      <xdr:row>1</xdr:row>
      <xdr:rowOff>41273</xdr:rowOff>
    </xdr:from>
    <xdr:to>
      <xdr:col>15</xdr:col>
      <xdr:colOff>560494</xdr:colOff>
      <xdr:row>9</xdr:row>
      <xdr:rowOff>58206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21D5D90-B560-4165-A686-5C8DD8D0F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243417</xdr:colOff>
      <xdr:row>27</xdr:row>
      <xdr:rowOff>95247</xdr:rowOff>
    </xdr:from>
    <xdr:to>
      <xdr:col>7</xdr:col>
      <xdr:colOff>275168</xdr:colOff>
      <xdr:row>28</xdr:row>
      <xdr:rowOff>95249</xdr:rowOff>
    </xdr:to>
    <xdr:cxnSp macro="">
      <xdr:nvCxnSpPr>
        <xdr:cNvPr id="6" name="Connector: Elbow 5">
          <a:extLst>
            <a:ext uri="{FF2B5EF4-FFF2-40B4-BE49-F238E27FC236}">
              <a16:creationId xmlns:a16="http://schemas.microsoft.com/office/drawing/2014/main" id="{95A51704-5508-4CB5-B9F3-1F69DB66CA49}"/>
            </a:ext>
          </a:extLst>
        </xdr:cNvPr>
        <xdr:cNvCxnSpPr/>
      </xdr:nvCxnSpPr>
      <xdr:spPr>
        <a:xfrm rot="10800000" flipV="1">
          <a:off x="4015317" y="4724397"/>
          <a:ext cx="660401" cy="171452"/>
        </a:xfrm>
        <a:prstGeom prst="bentConnector3">
          <a:avLst>
            <a:gd name="adj1" fmla="val 4354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497417</xdr:colOff>
      <xdr:row>26</xdr:row>
      <xdr:rowOff>84666</xdr:rowOff>
    </xdr:from>
    <xdr:to>
      <xdr:col>6</xdr:col>
      <xdr:colOff>285750</xdr:colOff>
      <xdr:row>28</xdr:row>
      <xdr:rowOff>95250</xdr:rowOff>
    </xdr:to>
    <xdr:cxnSp macro="">
      <xdr:nvCxnSpPr>
        <xdr:cNvPr id="7" name="Connector: Elbow 6">
          <a:extLst>
            <a:ext uri="{FF2B5EF4-FFF2-40B4-BE49-F238E27FC236}">
              <a16:creationId xmlns:a16="http://schemas.microsoft.com/office/drawing/2014/main" id="{AEFDAF6B-48F3-4CD5-A60E-1E7C2F0276CD}"/>
            </a:ext>
          </a:extLst>
        </xdr:cNvPr>
        <xdr:cNvCxnSpPr/>
      </xdr:nvCxnSpPr>
      <xdr:spPr>
        <a:xfrm rot="10800000">
          <a:off x="3640667" y="4542366"/>
          <a:ext cx="416983" cy="353484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1</xdr:row>
      <xdr:rowOff>62443</xdr:rowOff>
    </xdr:from>
    <xdr:to>
      <xdr:col>9</xdr:col>
      <xdr:colOff>31750</xdr:colOff>
      <xdr:row>9</xdr:row>
      <xdr:rowOff>79376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F92F044-273D-3AC8-6F92-123D6B413D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95253</xdr:colOff>
      <xdr:row>1</xdr:row>
      <xdr:rowOff>62443</xdr:rowOff>
    </xdr:from>
    <xdr:to>
      <xdr:col>3</xdr:col>
      <xdr:colOff>31753</xdr:colOff>
      <xdr:row>9</xdr:row>
      <xdr:rowOff>79376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FCA22B8-0547-3D94-E7CC-7A8BDA98BC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95251</xdr:colOff>
      <xdr:row>1</xdr:row>
      <xdr:rowOff>62441</xdr:rowOff>
    </xdr:from>
    <xdr:to>
      <xdr:col>6</xdr:col>
      <xdr:colOff>31751</xdr:colOff>
      <xdr:row>9</xdr:row>
      <xdr:rowOff>79374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EC9BFDE-318D-64A2-B3B7-259DFAB841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95244</xdr:colOff>
      <xdr:row>9</xdr:row>
      <xdr:rowOff>136521</xdr:rowOff>
    </xdr:from>
    <xdr:to>
      <xdr:col>3</xdr:col>
      <xdr:colOff>31744</xdr:colOff>
      <xdr:row>17</xdr:row>
      <xdr:rowOff>153454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F71404-5951-8A70-435D-9D56CD91C8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232833</xdr:colOff>
      <xdr:row>21</xdr:row>
      <xdr:rowOff>125941</xdr:rowOff>
    </xdr:from>
    <xdr:to>
      <xdr:col>38</xdr:col>
      <xdr:colOff>148167</xdr:colOff>
      <xdr:row>38</xdr:row>
      <xdr:rowOff>75141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3968893-6CC5-58BD-524F-AF43D56E87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211667</xdr:colOff>
      <xdr:row>123</xdr:row>
      <xdr:rowOff>12550</xdr:rowOff>
    </xdr:from>
    <xdr:to>
      <xdr:col>25</xdr:col>
      <xdr:colOff>567267</xdr:colOff>
      <xdr:row>133</xdr:row>
      <xdr:rowOff>190350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E6BD3C0-4B47-8E3D-C203-2B5ED0131D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243418</xdr:colOff>
      <xdr:row>126</xdr:row>
      <xdr:rowOff>116419</xdr:rowOff>
    </xdr:from>
    <xdr:to>
      <xdr:col>14</xdr:col>
      <xdr:colOff>116418</xdr:colOff>
      <xdr:row>139</xdr:row>
      <xdr:rowOff>179918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FF3F16F-BD3B-80F2-689F-688838B51B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201084</xdr:colOff>
      <xdr:row>124</xdr:row>
      <xdr:rowOff>84666</xdr:rowOff>
    </xdr:from>
    <xdr:to>
      <xdr:col>39</xdr:col>
      <xdr:colOff>455084</xdr:colOff>
      <xdr:row>142</xdr:row>
      <xdr:rowOff>116415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68FBE0D-67E9-562D-D2D0-7C748F0D45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359833</xdr:colOff>
      <xdr:row>148</xdr:row>
      <xdr:rowOff>74084</xdr:rowOff>
    </xdr:from>
    <xdr:to>
      <xdr:col>21</xdr:col>
      <xdr:colOff>359833</xdr:colOff>
      <xdr:row>150</xdr:row>
      <xdr:rowOff>10584</xdr:rowOff>
    </xdr:to>
    <xdr:sp macro="" textlink="">
      <xdr:nvSpPr>
        <xdr:cNvPr id="10" name="Right Brace 9">
          <a:extLst>
            <a:ext uri="{FF2B5EF4-FFF2-40B4-BE49-F238E27FC236}">
              <a16:creationId xmlns:a16="http://schemas.microsoft.com/office/drawing/2014/main" id="{50CE1FC1-2F78-74DF-E806-6803EF6932D8}"/>
            </a:ext>
          </a:extLst>
        </xdr:cNvPr>
        <xdr:cNvSpPr/>
      </xdr:nvSpPr>
      <xdr:spPr>
        <a:xfrm rot="16200000">
          <a:off x="12943417" y="23272750"/>
          <a:ext cx="254000" cy="2878667"/>
        </a:xfrm>
        <a:prstGeom prst="rightBrace">
          <a:avLst>
            <a:gd name="adj1" fmla="val 8333"/>
            <a:gd name="adj2" fmla="val 5036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41</xdr:col>
      <xdr:colOff>116418</xdr:colOff>
      <xdr:row>175</xdr:row>
      <xdr:rowOff>41274</xdr:rowOff>
    </xdr:from>
    <xdr:to>
      <xdr:col>53</xdr:col>
      <xdr:colOff>158750</xdr:colOff>
      <xdr:row>195</xdr:row>
      <xdr:rowOff>31750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4738D34B-332E-16F3-E95E-EA9D04267C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338666</xdr:colOff>
      <xdr:row>0</xdr:row>
      <xdr:rowOff>116414</xdr:rowOff>
    </xdr:from>
    <xdr:to>
      <xdr:col>20</xdr:col>
      <xdr:colOff>313266</xdr:colOff>
      <xdr:row>11</xdr:row>
      <xdr:rowOff>21164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F429E9-8265-47BA-9510-A3215ADCF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84666</xdr:colOff>
      <xdr:row>0</xdr:row>
      <xdr:rowOff>73023</xdr:rowOff>
    </xdr:from>
    <xdr:to>
      <xdr:col>7</xdr:col>
      <xdr:colOff>59266</xdr:colOff>
      <xdr:row>10</xdr:row>
      <xdr:rowOff>92073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57C2CD2-AC80-4AF5-9ACA-E7992F816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201084</xdr:colOff>
      <xdr:row>5</xdr:row>
      <xdr:rowOff>51856</xdr:rowOff>
    </xdr:from>
    <xdr:to>
      <xdr:col>12</xdr:col>
      <xdr:colOff>488951</xdr:colOff>
      <xdr:row>16</xdr:row>
      <xdr:rowOff>39156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B22E611-2796-407C-8129-3948764F0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359833</xdr:colOff>
      <xdr:row>5</xdr:row>
      <xdr:rowOff>115357</xdr:rowOff>
    </xdr:from>
    <xdr:to>
      <xdr:col>26</xdr:col>
      <xdr:colOff>33866</xdr:colOff>
      <xdr:row>16</xdr:row>
      <xdr:rowOff>102657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743750D-FFAE-426C-923E-E03B99ACF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338666</xdr:colOff>
      <xdr:row>0</xdr:row>
      <xdr:rowOff>116414</xdr:rowOff>
    </xdr:from>
    <xdr:to>
      <xdr:col>20</xdr:col>
      <xdr:colOff>313266</xdr:colOff>
      <xdr:row>11</xdr:row>
      <xdr:rowOff>21164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F6A3E3-094F-5419-155A-3C4D50AFBD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84666</xdr:colOff>
      <xdr:row>0</xdr:row>
      <xdr:rowOff>73023</xdr:rowOff>
    </xdr:from>
    <xdr:to>
      <xdr:col>7</xdr:col>
      <xdr:colOff>59266</xdr:colOff>
      <xdr:row>10</xdr:row>
      <xdr:rowOff>92073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FC5EAAB-9C36-B15B-E4EC-095C1D8718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201084</xdr:colOff>
      <xdr:row>5</xdr:row>
      <xdr:rowOff>51856</xdr:rowOff>
    </xdr:from>
    <xdr:to>
      <xdr:col>12</xdr:col>
      <xdr:colOff>488951</xdr:colOff>
      <xdr:row>16</xdr:row>
      <xdr:rowOff>39156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6C2B83-8620-7E0E-2EA7-D1A9BF4A16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359833</xdr:colOff>
      <xdr:row>5</xdr:row>
      <xdr:rowOff>115357</xdr:rowOff>
    </xdr:from>
    <xdr:to>
      <xdr:col>26</xdr:col>
      <xdr:colOff>33866</xdr:colOff>
      <xdr:row>16</xdr:row>
      <xdr:rowOff>102657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8FD7DF3-B8D4-E0E5-FE3F-903914601D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0</xdr:colOff>
      <xdr:row>41</xdr:row>
      <xdr:rowOff>148167</xdr:rowOff>
    </xdr:from>
    <xdr:to>
      <xdr:col>25</xdr:col>
      <xdr:colOff>550334</xdr:colOff>
      <xdr:row>56</xdr:row>
      <xdr:rowOff>1057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C11605F-64D2-5032-7503-2314138F02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444500</xdr:colOff>
      <xdr:row>0</xdr:row>
      <xdr:rowOff>125940</xdr:rowOff>
    </xdr:from>
    <xdr:to>
      <xdr:col>38</xdr:col>
      <xdr:colOff>465666</xdr:colOff>
      <xdr:row>11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70903FA-9C17-13D2-B1A0-9DDB5CD518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328082</xdr:colOff>
      <xdr:row>93</xdr:row>
      <xdr:rowOff>115356</xdr:rowOff>
    </xdr:from>
    <xdr:to>
      <xdr:col>25</xdr:col>
      <xdr:colOff>264582</xdr:colOff>
      <xdr:row>112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11C0E6-9450-6DE0-9D5A-1A4007F346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12</xdr:row>
      <xdr:rowOff>63500</xdr:rowOff>
    </xdr:from>
    <xdr:to>
      <xdr:col>2</xdr:col>
      <xdr:colOff>222250</xdr:colOff>
      <xdr:row>13</xdr:row>
      <xdr:rowOff>148166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412750" y="2349500"/>
          <a:ext cx="0" cy="2751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509866</xdr:colOff>
      <xdr:row>125</xdr:row>
      <xdr:rowOff>40340</xdr:rowOff>
    </xdr:from>
    <xdr:to>
      <xdr:col>8</xdr:col>
      <xdr:colOff>61631</xdr:colOff>
      <xdr:row>139</xdr:row>
      <xdr:rowOff>116540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690562</xdr:colOff>
      <xdr:row>1</xdr:row>
      <xdr:rowOff>23814</xdr:rowOff>
    </xdr:from>
    <xdr:to>
      <xdr:col>23</xdr:col>
      <xdr:colOff>309563</xdr:colOff>
      <xdr:row>13</xdr:row>
      <xdr:rowOff>35720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83342</xdr:colOff>
      <xdr:row>0</xdr:row>
      <xdr:rowOff>178593</xdr:rowOff>
    </xdr:from>
    <xdr:to>
      <xdr:col>16</xdr:col>
      <xdr:colOff>571500</xdr:colOff>
      <xdr:row>13</xdr:row>
      <xdr:rowOff>47624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488156</xdr:colOff>
      <xdr:row>17</xdr:row>
      <xdr:rowOff>47627</xdr:rowOff>
    </xdr:from>
    <xdr:to>
      <xdr:col>9</xdr:col>
      <xdr:colOff>488156</xdr:colOff>
      <xdr:row>18</xdr:row>
      <xdr:rowOff>21719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6593681" y="3095627"/>
          <a:ext cx="0" cy="16459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488157</xdr:colOff>
      <xdr:row>17</xdr:row>
      <xdr:rowOff>35721</xdr:rowOff>
    </xdr:from>
    <xdr:to>
      <xdr:col>12</xdr:col>
      <xdr:colOff>392906</xdr:colOff>
      <xdr:row>17</xdr:row>
      <xdr:rowOff>35721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6593682" y="3083721"/>
          <a:ext cx="178117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404812</xdr:colOff>
      <xdr:row>17</xdr:row>
      <xdr:rowOff>35719</xdr:rowOff>
    </xdr:from>
    <xdr:to>
      <xdr:col>12</xdr:col>
      <xdr:colOff>404812</xdr:colOff>
      <xdr:row>18</xdr:row>
      <xdr:rowOff>9811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8386762" y="3083719"/>
          <a:ext cx="0" cy="16459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488156</xdr:colOff>
      <xdr:row>32</xdr:row>
      <xdr:rowOff>47627</xdr:rowOff>
    </xdr:from>
    <xdr:to>
      <xdr:col>9</xdr:col>
      <xdr:colOff>488156</xdr:colOff>
      <xdr:row>33</xdr:row>
      <xdr:rowOff>21719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6593681" y="5953127"/>
          <a:ext cx="0" cy="16459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488157</xdr:colOff>
      <xdr:row>32</xdr:row>
      <xdr:rowOff>35721</xdr:rowOff>
    </xdr:from>
    <xdr:to>
      <xdr:col>12</xdr:col>
      <xdr:colOff>392906</xdr:colOff>
      <xdr:row>32</xdr:row>
      <xdr:rowOff>35721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6593682" y="5941221"/>
          <a:ext cx="178117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404812</xdr:colOff>
      <xdr:row>32</xdr:row>
      <xdr:rowOff>35719</xdr:rowOff>
    </xdr:from>
    <xdr:to>
      <xdr:col>12</xdr:col>
      <xdr:colOff>404812</xdr:colOff>
      <xdr:row>33</xdr:row>
      <xdr:rowOff>9811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8386762" y="5941219"/>
          <a:ext cx="0" cy="16459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488156</xdr:colOff>
      <xdr:row>65</xdr:row>
      <xdr:rowOff>47627</xdr:rowOff>
    </xdr:from>
    <xdr:to>
      <xdr:col>9</xdr:col>
      <xdr:colOff>488156</xdr:colOff>
      <xdr:row>66</xdr:row>
      <xdr:rowOff>21719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V="1">
          <a:off x="6593681" y="8620127"/>
          <a:ext cx="0" cy="16459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488157</xdr:colOff>
      <xdr:row>65</xdr:row>
      <xdr:rowOff>35721</xdr:rowOff>
    </xdr:from>
    <xdr:to>
      <xdr:col>12</xdr:col>
      <xdr:colOff>392906</xdr:colOff>
      <xdr:row>65</xdr:row>
      <xdr:rowOff>35721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6593682" y="8608221"/>
          <a:ext cx="178117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404812</xdr:colOff>
      <xdr:row>65</xdr:row>
      <xdr:rowOff>35719</xdr:rowOff>
    </xdr:from>
    <xdr:to>
      <xdr:col>12</xdr:col>
      <xdr:colOff>404812</xdr:colOff>
      <xdr:row>66</xdr:row>
      <xdr:rowOff>9811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8386762" y="8608219"/>
          <a:ext cx="0" cy="16459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488156</xdr:colOff>
      <xdr:row>79</xdr:row>
      <xdr:rowOff>47627</xdr:rowOff>
    </xdr:from>
    <xdr:to>
      <xdr:col>9</xdr:col>
      <xdr:colOff>488156</xdr:colOff>
      <xdr:row>80</xdr:row>
      <xdr:rowOff>21719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6593681" y="11287127"/>
          <a:ext cx="0" cy="16459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488157</xdr:colOff>
      <xdr:row>79</xdr:row>
      <xdr:rowOff>35721</xdr:rowOff>
    </xdr:from>
    <xdr:to>
      <xdr:col>12</xdr:col>
      <xdr:colOff>392906</xdr:colOff>
      <xdr:row>79</xdr:row>
      <xdr:rowOff>35721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6593682" y="11275221"/>
          <a:ext cx="178117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404812</xdr:colOff>
      <xdr:row>79</xdr:row>
      <xdr:rowOff>35719</xdr:rowOff>
    </xdr:from>
    <xdr:to>
      <xdr:col>12</xdr:col>
      <xdr:colOff>404812</xdr:colOff>
      <xdr:row>80</xdr:row>
      <xdr:rowOff>9811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9679781" y="15073313"/>
          <a:ext cx="0" cy="16459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488156</xdr:colOff>
      <xdr:row>93</xdr:row>
      <xdr:rowOff>47627</xdr:rowOff>
    </xdr:from>
    <xdr:to>
      <xdr:col>9</xdr:col>
      <xdr:colOff>488156</xdr:colOff>
      <xdr:row>94</xdr:row>
      <xdr:rowOff>21719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flipV="1">
          <a:off x="6593681" y="13954127"/>
          <a:ext cx="0" cy="16459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488157</xdr:colOff>
      <xdr:row>93</xdr:row>
      <xdr:rowOff>35721</xdr:rowOff>
    </xdr:from>
    <xdr:to>
      <xdr:col>12</xdr:col>
      <xdr:colOff>392906</xdr:colOff>
      <xdr:row>93</xdr:row>
      <xdr:rowOff>35721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6593682" y="13942221"/>
          <a:ext cx="178117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404812</xdr:colOff>
      <xdr:row>93</xdr:row>
      <xdr:rowOff>35719</xdr:rowOff>
    </xdr:from>
    <xdr:to>
      <xdr:col>12</xdr:col>
      <xdr:colOff>404812</xdr:colOff>
      <xdr:row>94</xdr:row>
      <xdr:rowOff>9811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8386762" y="13942219"/>
          <a:ext cx="0" cy="16459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488156</xdr:colOff>
      <xdr:row>50</xdr:row>
      <xdr:rowOff>47627</xdr:rowOff>
    </xdr:from>
    <xdr:to>
      <xdr:col>9</xdr:col>
      <xdr:colOff>488156</xdr:colOff>
      <xdr:row>51</xdr:row>
      <xdr:rowOff>21719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EEB66893-CDA7-4E33-B605-CAB631D77036}"/>
            </a:ext>
          </a:extLst>
        </xdr:cNvPr>
        <xdr:cNvCxnSpPr/>
      </xdr:nvCxnSpPr>
      <xdr:spPr>
        <a:xfrm flipV="1">
          <a:off x="6596062" y="6143627"/>
          <a:ext cx="0" cy="16459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488157</xdr:colOff>
      <xdr:row>50</xdr:row>
      <xdr:rowOff>35721</xdr:rowOff>
    </xdr:from>
    <xdr:to>
      <xdr:col>12</xdr:col>
      <xdr:colOff>392906</xdr:colOff>
      <xdr:row>50</xdr:row>
      <xdr:rowOff>35721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4BA48FF3-0560-49E6-B4F0-02EDC7785A52}"/>
            </a:ext>
          </a:extLst>
        </xdr:cNvPr>
        <xdr:cNvCxnSpPr/>
      </xdr:nvCxnSpPr>
      <xdr:spPr>
        <a:xfrm>
          <a:off x="6596063" y="6131721"/>
          <a:ext cx="177403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404812</xdr:colOff>
      <xdr:row>50</xdr:row>
      <xdr:rowOff>35719</xdr:rowOff>
    </xdr:from>
    <xdr:to>
      <xdr:col>12</xdr:col>
      <xdr:colOff>404812</xdr:colOff>
      <xdr:row>51</xdr:row>
      <xdr:rowOff>9811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4344B41D-F301-4908-82F6-7B85EE7C8868}"/>
            </a:ext>
          </a:extLst>
        </xdr:cNvPr>
        <xdr:cNvCxnSpPr/>
      </xdr:nvCxnSpPr>
      <xdr:spPr>
        <a:xfrm>
          <a:off x="8382000" y="6131719"/>
          <a:ext cx="0" cy="16459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315515</xdr:colOff>
      <xdr:row>29</xdr:row>
      <xdr:rowOff>116681</xdr:rowOff>
    </xdr:from>
    <xdr:to>
      <xdr:col>25</xdr:col>
      <xdr:colOff>553640</xdr:colOff>
      <xdr:row>44</xdr:row>
      <xdr:rowOff>2381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49A446C7-92B4-3F69-5003-DE8D8CA1E9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315513</xdr:colOff>
      <xdr:row>153</xdr:row>
      <xdr:rowOff>140492</xdr:rowOff>
    </xdr:from>
    <xdr:to>
      <xdr:col>17</xdr:col>
      <xdr:colOff>827482</xdr:colOff>
      <xdr:row>168</xdr:row>
      <xdr:rowOff>26192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31F34C39-A6C4-7673-9284-8CD245E685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446485</xdr:colOff>
      <xdr:row>106</xdr:row>
      <xdr:rowOff>188116</xdr:rowOff>
    </xdr:from>
    <xdr:to>
      <xdr:col>26</xdr:col>
      <xdr:colOff>65485</xdr:colOff>
      <xdr:row>121</xdr:row>
      <xdr:rowOff>73816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B38017AD-3EEA-42E8-8D58-BF9AD60E24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482203</xdr:colOff>
      <xdr:row>96</xdr:row>
      <xdr:rowOff>33337</xdr:rowOff>
    </xdr:from>
    <xdr:to>
      <xdr:col>14</xdr:col>
      <xdr:colOff>434578</xdr:colOff>
      <xdr:row>110</xdr:row>
      <xdr:rowOff>109537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6DF2C836-298D-8337-A3BC-974B72049E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509866</xdr:colOff>
      <xdr:row>142</xdr:row>
      <xdr:rowOff>40340</xdr:rowOff>
    </xdr:from>
    <xdr:to>
      <xdr:col>10</xdr:col>
      <xdr:colOff>61631</xdr:colOff>
      <xdr:row>156</xdr:row>
      <xdr:rowOff>116540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ACCC1B9-186E-4E0F-8182-9AADC9531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423334</xdr:colOff>
      <xdr:row>12</xdr:row>
      <xdr:rowOff>95250</xdr:rowOff>
    </xdr:from>
    <xdr:to>
      <xdr:col>1</xdr:col>
      <xdr:colOff>687917</xdr:colOff>
      <xdr:row>12</xdr:row>
      <xdr:rowOff>102212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3BB34B90-73C2-4AAC-87AB-87A6F2F3CCF2}"/>
            </a:ext>
          </a:extLst>
        </xdr:cNvPr>
        <xdr:cNvCxnSpPr/>
      </xdr:nvCxnSpPr>
      <xdr:spPr>
        <a:xfrm>
          <a:off x="423334" y="2381250"/>
          <a:ext cx="264583" cy="6962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321469</xdr:colOff>
      <xdr:row>23</xdr:row>
      <xdr:rowOff>51594</xdr:rowOff>
    </xdr:from>
    <xdr:to>
      <xdr:col>6</xdr:col>
      <xdr:colOff>300301</xdr:colOff>
      <xdr:row>31</xdr:row>
      <xdr:rowOff>107156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724F2B99-EE95-DEF0-DCAD-FA282B06F835}"/>
            </a:ext>
          </a:extLst>
        </xdr:cNvPr>
        <xdr:cNvCxnSpPr/>
      </xdr:nvCxnSpPr>
      <xdr:spPr>
        <a:xfrm flipH="1">
          <a:off x="2464594" y="4433094"/>
          <a:ext cx="2121957" cy="1579562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399521</xdr:colOff>
      <xdr:row>10</xdr:row>
      <xdr:rowOff>71437</xdr:rowOff>
    </xdr:from>
    <xdr:to>
      <xdr:col>6</xdr:col>
      <xdr:colOff>399521</xdr:colOff>
      <xdr:row>12</xdr:row>
      <xdr:rowOff>2646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BCA9CF74-0139-128F-FA8B-A8F6EAF16549}"/>
            </a:ext>
          </a:extLst>
        </xdr:cNvPr>
        <xdr:cNvCxnSpPr/>
      </xdr:nvCxnSpPr>
      <xdr:spPr>
        <a:xfrm>
          <a:off x="4685771" y="1976437"/>
          <a:ext cx="0" cy="312209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222250</xdr:colOff>
      <xdr:row>12</xdr:row>
      <xdr:rowOff>63500</xdr:rowOff>
    </xdr:from>
    <xdr:to>
      <xdr:col>1</xdr:col>
      <xdr:colOff>222250</xdr:colOff>
      <xdr:row>13</xdr:row>
      <xdr:rowOff>148166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V="1">
          <a:off x="412750" y="2349500"/>
          <a:ext cx="0" cy="2751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509866</xdr:colOff>
      <xdr:row>104</xdr:row>
      <xdr:rowOff>40340</xdr:rowOff>
    </xdr:from>
    <xdr:to>
      <xdr:col>7</xdr:col>
      <xdr:colOff>61631</xdr:colOff>
      <xdr:row>118</xdr:row>
      <xdr:rowOff>116540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690562</xdr:colOff>
      <xdr:row>1</xdr:row>
      <xdr:rowOff>23814</xdr:rowOff>
    </xdr:from>
    <xdr:to>
      <xdr:col>22</xdr:col>
      <xdr:colOff>309563</xdr:colOff>
      <xdr:row>13</xdr:row>
      <xdr:rowOff>35720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83342</xdr:colOff>
      <xdr:row>0</xdr:row>
      <xdr:rowOff>178593</xdr:rowOff>
    </xdr:from>
    <xdr:to>
      <xdr:col>15</xdr:col>
      <xdr:colOff>571500</xdr:colOff>
      <xdr:row>13</xdr:row>
      <xdr:rowOff>47624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488156</xdr:colOff>
      <xdr:row>16</xdr:row>
      <xdr:rowOff>47627</xdr:rowOff>
    </xdr:from>
    <xdr:to>
      <xdr:col>8</xdr:col>
      <xdr:colOff>488156</xdr:colOff>
      <xdr:row>17</xdr:row>
      <xdr:rowOff>21719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V="1">
          <a:off x="6596062" y="3095627"/>
          <a:ext cx="0" cy="16459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488157</xdr:colOff>
      <xdr:row>16</xdr:row>
      <xdr:rowOff>35721</xdr:rowOff>
    </xdr:from>
    <xdr:to>
      <xdr:col>11</xdr:col>
      <xdr:colOff>392906</xdr:colOff>
      <xdr:row>16</xdr:row>
      <xdr:rowOff>35721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6596063" y="3083721"/>
          <a:ext cx="177403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404812</xdr:colOff>
      <xdr:row>16</xdr:row>
      <xdr:rowOff>35719</xdr:rowOff>
    </xdr:from>
    <xdr:to>
      <xdr:col>11</xdr:col>
      <xdr:colOff>404812</xdr:colOff>
      <xdr:row>17</xdr:row>
      <xdr:rowOff>9811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8382000" y="3083719"/>
          <a:ext cx="0" cy="16459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488156</xdr:colOff>
      <xdr:row>31</xdr:row>
      <xdr:rowOff>47627</xdr:rowOff>
    </xdr:from>
    <xdr:to>
      <xdr:col>8</xdr:col>
      <xdr:colOff>488156</xdr:colOff>
      <xdr:row>32</xdr:row>
      <xdr:rowOff>21719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flipV="1">
          <a:off x="6596062" y="3095627"/>
          <a:ext cx="0" cy="16459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488157</xdr:colOff>
      <xdr:row>31</xdr:row>
      <xdr:rowOff>35721</xdr:rowOff>
    </xdr:from>
    <xdr:to>
      <xdr:col>11</xdr:col>
      <xdr:colOff>392906</xdr:colOff>
      <xdr:row>31</xdr:row>
      <xdr:rowOff>35721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6596063" y="3083721"/>
          <a:ext cx="177403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404812</xdr:colOff>
      <xdr:row>31</xdr:row>
      <xdr:rowOff>35719</xdr:rowOff>
    </xdr:from>
    <xdr:to>
      <xdr:col>11</xdr:col>
      <xdr:colOff>404812</xdr:colOff>
      <xdr:row>32</xdr:row>
      <xdr:rowOff>9811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8382000" y="3083719"/>
          <a:ext cx="0" cy="16459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488156</xdr:colOff>
      <xdr:row>45</xdr:row>
      <xdr:rowOff>47627</xdr:rowOff>
    </xdr:from>
    <xdr:to>
      <xdr:col>8</xdr:col>
      <xdr:colOff>488156</xdr:colOff>
      <xdr:row>46</xdr:row>
      <xdr:rowOff>21719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V="1">
          <a:off x="6596062" y="5953127"/>
          <a:ext cx="0" cy="16459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488157</xdr:colOff>
      <xdr:row>45</xdr:row>
      <xdr:rowOff>35721</xdr:rowOff>
    </xdr:from>
    <xdr:to>
      <xdr:col>11</xdr:col>
      <xdr:colOff>392906</xdr:colOff>
      <xdr:row>45</xdr:row>
      <xdr:rowOff>35721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6596063" y="5941221"/>
          <a:ext cx="177403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404812</xdr:colOff>
      <xdr:row>45</xdr:row>
      <xdr:rowOff>35719</xdr:rowOff>
    </xdr:from>
    <xdr:to>
      <xdr:col>11</xdr:col>
      <xdr:colOff>404812</xdr:colOff>
      <xdr:row>46</xdr:row>
      <xdr:rowOff>9811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8382000" y="5941219"/>
          <a:ext cx="0" cy="16459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488156</xdr:colOff>
      <xdr:row>59</xdr:row>
      <xdr:rowOff>47627</xdr:rowOff>
    </xdr:from>
    <xdr:to>
      <xdr:col>8</xdr:col>
      <xdr:colOff>488156</xdr:colOff>
      <xdr:row>60</xdr:row>
      <xdr:rowOff>21719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 flipV="1">
          <a:off x="6596062" y="5953127"/>
          <a:ext cx="0" cy="16459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488157</xdr:colOff>
      <xdr:row>59</xdr:row>
      <xdr:rowOff>35721</xdr:rowOff>
    </xdr:from>
    <xdr:to>
      <xdr:col>11</xdr:col>
      <xdr:colOff>392906</xdr:colOff>
      <xdr:row>59</xdr:row>
      <xdr:rowOff>35721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6596063" y="5941221"/>
          <a:ext cx="177403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404812</xdr:colOff>
      <xdr:row>59</xdr:row>
      <xdr:rowOff>35719</xdr:rowOff>
    </xdr:from>
    <xdr:to>
      <xdr:col>11</xdr:col>
      <xdr:colOff>404812</xdr:colOff>
      <xdr:row>60</xdr:row>
      <xdr:rowOff>9811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8382000" y="5941219"/>
          <a:ext cx="0" cy="16459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488156</xdr:colOff>
      <xdr:row>73</xdr:row>
      <xdr:rowOff>47627</xdr:rowOff>
    </xdr:from>
    <xdr:to>
      <xdr:col>8</xdr:col>
      <xdr:colOff>488156</xdr:colOff>
      <xdr:row>74</xdr:row>
      <xdr:rowOff>21719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 flipV="1">
          <a:off x="6596062" y="11287127"/>
          <a:ext cx="0" cy="16459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488157</xdr:colOff>
      <xdr:row>73</xdr:row>
      <xdr:rowOff>35721</xdr:rowOff>
    </xdr:from>
    <xdr:to>
      <xdr:col>11</xdr:col>
      <xdr:colOff>392906</xdr:colOff>
      <xdr:row>73</xdr:row>
      <xdr:rowOff>35721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6596063" y="11275221"/>
          <a:ext cx="177403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404812</xdr:colOff>
      <xdr:row>73</xdr:row>
      <xdr:rowOff>35719</xdr:rowOff>
    </xdr:from>
    <xdr:to>
      <xdr:col>11</xdr:col>
      <xdr:colOff>404812</xdr:colOff>
      <xdr:row>74</xdr:row>
      <xdr:rowOff>9811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>
          <a:off x="8382000" y="11275219"/>
          <a:ext cx="0" cy="16459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412750</xdr:colOff>
      <xdr:row>14</xdr:row>
      <xdr:rowOff>63500</xdr:rowOff>
    </xdr:from>
    <xdr:to>
      <xdr:col>1</xdr:col>
      <xdr:colOff>116417</xdr:colOff>
      <xdr:row>14</xdr:row>
      <xdr:rowOff>74083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412750" y="2286000"/>
          <a:ext cx="317500" cy="10583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412751</xdr:colOff>
      <xdr:row>10</xdr:row>
      <xdr:rowOff>42333</xdr:rowOff>
    </xdr:from>
    <xdr:to>
      <xdr:col>4</xdr:col>
      <xdr:colOff>10584</xdr:colOff>
      <xdr:row>12</xdr:row>
      <xdr:rowOff>74084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H="1">
          <a:off x="2254251" y="1629833"/>
          <a:ext cx="211666" cy="349251"/>
        </a:xfrm>
        <a:prstGeom prst="straightConnector1">
          <a:avLst/>
        </a:prstGeom>
        <a:ln>
          <a:solidFill>
            <a:srgbClr val="0070C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301625</xdr:colOff>
      <xdr:row>31</xdr:row>
      <xdr:rowOff>104774</xdr:rowOff>
    </xdr:from>
    <xdr:to>
      <xdr:col>18</xdr:col>
      <xdr:colOff>142875</xdr:colOff>
      <xdr:row>48</xdr:row>
      <xdr:rowOff>149224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95E93-E7E8-4404-970B-CCD6B4BF8F18}">
  <sheetPr transitionEvaluation="1" transitionEntry="1">
    <pageSetUpPr fitToPage="1"/>
  </sheetPr>
  <dimension ref="A1:AM158"/>
  <sheetViews>
    <sheetView showGridLines="0" topLeftCell="A13" zoomScale="90" zoomScaleNormal="90" zoomScaleSheetLayoutView="80" workbookViewId="0">
      <selection activeCell="K28" sqref="K28"/>
    </sheetView>
  </sheetViews>
  <sheetFormatPr defaultRowHeight="12.75" x14ac:dyDescent="0.2"/>
  <cols>
    <col min="1" max="33" width="9.42578125" customWidth="1"/>
    <col min="34" max="38" width="10.7109375" customWidth="1"/>
    <col min="39" max="44" width="9.7109375" customWidth="1"/>
    <col min="45" max="48" width="10.7109375" customWidth="1"/>
    <col min="49" max="49" width="13" customWidth="1"/>
    <col min="50" max="50" width="13.5703125" customWidth="1"/>
    <col min="51" max="51" width="12.5703125" customWidth="1"/>
    <col min="52" max="52" width="10.7109375" customWidth="1"/>
    <col min="53" max="54" width="12.140625" customWidth="1"/>
    <col min="55" max="55" width="14.140625" customWidth="1"/>
    <col min="56" max="59" width="10.7109375" customWidth="1"/>
    <col min="60" max="63" width="12.7109375" customWidth="1"/>
    <col min="64" max="73" width="10.7109375" customWidth="1"/>
  </cols>
  <sheetData>
    <row r="1" spans="1:39" ht="14.1" customHeight="1" x14ac:dyDescent="0.2">
      <c r="A1" t="s">
        <v>80</v>
      </c>
    </row>
    <row r="2" spans="1:39" ht="14.1" customHeight="1" x14ac:dyDescent="0.2">
      <c r="AM2" t="s">
        <v>22</v>
      </c>
    </row>
    <row r="3" spans="1:39" ht="14.1" customHeight="1" x14ac:dyDescent="0.2">
      <c r="Q3" s="396">
        <v>2.5150000000000001</v>
      </c>
      <c r="R3" s="397" t="s">
        <v>37</v>
      </c>
      <c r="S3" s="398"/>
      <c r="T3" s="398"/>
      <c r="U3" s="399"/>
      <c r="V3" s="291" t="s">
        <v>256</v>
      </c>
    </row>
    <row r="4" spans="1:39" ht="14.1" customHeight="1" x14ac:dyDescent="0.2">
      <c r="Q4" s="400">
        <v>4.55</v>
      </c>
      <c r="R4" s="235" t="s">
        <v>1</v>
      </c>
      <c r="S4" s="10"/>
      <c r="T4" s="10"/>
      <c r="U4" s="401"/>
      <c r="V4" t="s">
        <v>243</v>
      </c>
    </row>
    <row r="5" spans="1:39" ht="14.1" customHeight="1" x14ac:dyDescent="0.2">
      <c r="Q5" s="400">
        <v>85</v>
      </c>
      <c r="R5" s="234" t="s">
        <v>8</v>
      </c>
      <c r="S5" s="10"/>
      <c r="T5" s="10"/>
      <c r="U5" s="401"/>
      <c r="V5" s="381" t="s">
        <v>244</v>
      </c>
    </row>
    <row r="6" spans="1:39" ht="14.1" customHeight="1" x14ac:dyDescent="0.25">
      <c r="Q6" s="402">
        <f>(Q4*2.20462*25.4*12)</f>
        <v>3057.4552007999996</v>
      </c>
      <c r="R6" s="97" t="s">
        <v>49</v>
      </c>
      <c r="S6" s="10"/>
      <c r="T6" s="10"/>
      <c r="U6" s="401"/>
      <c r="V6" s="166" t="s">
        <v>245</v>
      </c>
      <c r="W6" s="166"/>
    </row>
    <row r="7" spans="1:39" ht="14.1" customHeight="1" x14ac:dyDescent="0.2">
      <c r="Q7" s="403"/>
      <c r="R7" s="10"/>
      <c r="S7" s="10"/>
      <c r="T7" s="10"/>
      <c r="U7" s="401"/>
    </row>
    <row r="8" spans="1:39" ht="14.1" customHeight="1" x14ac:dyDescent="0.2">
      <c r="Q8" s="404" t="s">
        <v>10</v>
      </c>
      <c r="R8" s="19" t="s">
        <v>9</v>
      </c>
      <c r="S8" s="19" t="s">
        <v>10</v>
      </c>
      <c r="T8" s="25" t="s">
        <v>12</v>
      </c>
      <c r="U8" s="405" t="s">
        <v>11</v>
      </c>
      <c r="V8" s="166" t="s">
        <v>237</v>
      </c>
      <c r="W8" s="166"/>
    </row>
    <row r="9" spans="1:39" ht="14.1" customHeight="1" x14ac:dyDescent="0.2">
      <c r="Q9" s="406"/>
      <c r="R9" s="17">
        <v>1</v>
      </c>
      <c r="S9" s="218">
        <v>33.561842105263182</v>
      </c>
      <c r="T9" s="32">
        <f>S9/R9</f>
        <v>33.561842105263182</v>
      </c>
      <c r="U9" s="407">
        <f>SQRT(12*32.2*T9^2/(4*$Q$5*($Q$4*56)*$Q$3^2))</f>
        <v>0.89122464805571744</v>
      </c>
      <c r="V9" s="381" t="s">
        <v>238</v>
      </c>
      <c r="W9" s="166"/>
    </row>
    <row r="10" spans="1:39" ht="14.1" customHeight="1" x14ac:dyDescent="0.2">
      <c r="Q10" s="408"/>
      <c r="R10" s="31">
        <v>2</v>
      </c>
      <c r="S10" s="219">
        <v>55.500000000000021</v>
      </c>
      <c r="T10" s="33">
        <f t="shared" ref="T10:T18" si="0">S10/R10</f>
        <v>27.750000000000011</v>
      </c>
      <c r="U10" s="414">
        <f>SQRT(12*32.2*T10^2/(4*$Q$5*($Q$4*56)*$Q$3^2))</f>
        <v>0.73689292458913536</v>
      </c>
      <c r="V10" s="166"/>
      <c r="W10" s="381" t="s">
        <v>242</v>
      </c>
    </row>
    <row r="11" spans="1:39" ht="14.1" customHeight="1" x14ac:dyDescent="0.2">
      <c r="B11" s="378" t="s">
        <v>223</v>
      </c>
      <c r="Q11" s="406"/>
      <c r="R11" s="17">
        <v>3</v>
      </c>
      <c r="S11" s="218">
        <v>77.438157894736861</v>
      </c>
      <c r="T11" s="32">
        <f t="shared" si="0"/>
        <v>25.812719298245622</v>
      </c>
      <c r="U11" s="407">
        <f>SQRT(12*32.2*T11^2/(4*$Q$5*($Q$4*56)*$Q$3^2))</f>
        <v>0.68544901676694137</v>
      </c>
      <c r="V11" s="166"/>
      <c r="W11" s="381" t="s">
        <v>241</v>
      </c>
    </row>
    <row r="12" spans="1:39" ht="14.1" customHeight="1" x14ac:dyDescent="0.2">
      <c r="A12" s="382" t="s">
        <v>246</v>
      </c>
      <c r="B12" s="1" t="s">
        <v>253</v>
      </c>
      <c r="D12" s="337"/>
      <c r="Q12" s="406"/>
      <c r="R12" s="17">
        <v>4</v>
      </c>
      <c r="S12" s="218">
        <v>99.376315789473708</v>
      </c>
      <c r="T12" s="32">
        <f t="shared" si="0"/>
        <v>24.844078947368427</v>
      </c>
      <c r="U12" s="407">
        <f>SQRT(12*32.2*T12^2/(4*$Q$5*($Q$4*56)*$Q$3^2))</f>
        <v>0.65972706285584437</v>
      </c>
      <c r="V12" s="166"/>
      <c r="W12" s="166" t="s">
        <v>239</v>
      </c>
    </row>
    <row r="13" spans="1:39" ht="14.1" customHeight="1" x14ac:dyDescent="0.2">
      <c r="B13" t="s">
        <v>230</v>
      </c>
      <c r="Q13" s="408"/>
      <c r="R13" s="31">
        <v>5</v>
      </c>
      <c r="S13" s="219">
        <v>121.31447368421055</v>
      </c>
      <c r="T13" s="33">
        <f t="shared" si="0"/>
        <v>24.26289473684211</v>
      </c>
      <c r="U13" s="414">
        <f>SQRT(12*32.2*T13^2/(4*$Q$5*($Q$4*56)*$Q$3^2))</f>
        <v>0.64429389050918606</v>
      </c>
      <c r="V13" s="166"/>
      <c r="W13" s="166" t="s">
        <v>240</v>
      </c>
    </row>
    <row r="14" spans="1:39" ht="14.1" customHeight="1" x14ac:dyDescent="0.2">
      <c r="B14" s="1" t="s">
        <v>235</v>
      </c>
      <c r="C14" s="1"/>
      <c r="Q14" s="406"/>
      <c r="R14" s="17">
        <v>10</v>
      </c>
      <c r="S14" s="218">
        <v>231.00526315789477</v>
      </c>
      <c r="T14" s="32">
        <f t="shared" si="0"/>
        <v>23.100526315789477</v>
      </c>
      <c r="U14" s="407">
        <f>SQRT(12*32.2*T14^2/(4*$Q$5*($Q$4*56)*$Q$3^2))</f>
        <v>0.61342754581586967</v>
      </c>
    </row>
    <row r="15" spans="1:39" ht="14.1" customHeight="1" x14ac:dyDescent="0.2">
      <c r="B15" s="1" t="s">
        <v>231</v>
      </c>
      <c r="Q15" s="406"/>
      <c r="R15" s="17">
        <v>20</v>
      </c>
      <c r="S15" s="218">
        <v>450.38684210526321</v>
      </c>
      <c r="T15" s="32">
        <f t="shared" si="0"/>
        <v>22.51934210526316</v>
      </c>
      <c r="U15" s="407">
        <f>SQRT(12*32.2*T15^2/(4*$Q$5*($Q$4*56)*$Q$3^2))</f>
        <v>0.59799437346921147</v>
      </c>
    </row>
    <row r="16" spans="1:39" ht="14.1" customHeight="1" x14ac:dyDescent="0.2">
      <c r="B16" s="1" t="s">
        <v>232</v>
      </c>
      <c r="Q16" s="406"/>
      <c r="R16" s="17">
        <v>30</v>
      </c>
      <c r="S16" s="218">
        <v>669.76842105263165</v>
      </c>
      <c r="T16" s="32">
        <f t="shared" si="0"/>
        <v>22.325614035087721</v>
      </c>
      <c r="U16" s="407">
        <f>SQRT(12*32.2*T16^2/(4*$Q$5*($Q$4*56)*$Q$3^2))</f>
        <v>0.59284998268699207</v>
      </c>
    </row>
    <row r="17" spans="1:38" ht="14.1" customHeight="1" x14ac:dyDescent="0.2">
      <c r="B17" s="1" t="s">
        <v>233</v>
      </c>
      <c r="Q17" s="408"/>
      <c r="R17" s="31">
        <v>40</v>
      </c>
      <c r="S17" s="219">
        <v>889.15000000000009</v>
      </c>
      <c r="T17" s="33">
        <f t="shared" si="0"/>
        <v>22.228750000000002</v>
      </c>
      <c r="U17" s="414">
        <f>SQRT(12*32.2*T17^2/(4*$Q$5*($Q$4*56)*$Q$3^2))</f>
        <v>0.59027778729588243</v>
      </c>
    </row>
    <row r="18" spans="1:38" ht="14.1" customHeight="1" x14ac:dyDescent="0.2">
      <c r="B18" s="380" t="s">
        <v>234</v>
      </c>
      <c r="Q18" s="409"/>
      <c r="R18" s="410">
        <v>50</v>
      </c>
      <c r="S18" s="411">
        <v>1108.5315789473684</v>
      </c>
      <c r="T18" s="412">
        <f t="shared" si="0"/>
        <v>22.170631578947368</v>
      </c>
      <c r="U18" s="413">
        <f>SQRT(12*32.2*T18^2/(4*$Q$5*($Q$4*56)*$Q$3^2))</f>
        <v>0.58873447006121649</v>
      </c>
    </row>
    <row r="19" spans="1:38" ht="14.1" customHeight="1" x14ac:dyDescent="0.2">
      <c r="B19" s="1" t="s">
        <v>236</v>
      </c>
      <c r="L19" s="76"/>
      <c r="M19" s="17"/>
      <c r="N19" s="218"/>
      <c r="O19" s="32"/>
      <c r="P19" s="78"/>
      <c r="Q19" s="80"/>
      <c r="R19" s="241"/>
    </row>
    <row r="20" spans="1:38" ht="14.1" customHeight="1" x14ac:dyDescent="0.2">
      <c r="L20" s="76"/>
      <c r="M20" s="17"/>
      <c r="N20" s="218"/>
      <c r="O20" s="32"/>
      <c r="P20" s="78"/>
      <c r="Q20" s="80"/>
    </row>
    <row r="21" spans="1:38" ht="14.1" customHeight="1" x14ac:dyDescent="0.2">
      <c r="L21" s="76"/>
      <c r="M21" s="17"/>
      <c r="N21" s="218"/>
      <c r="O21" s="32"/>
      <c r="P21" s="78"/>
      <c r="Q21" s="80"/>
    </row>
    <row r="22" spans="1:38" ht="14.1" customHeight="1" x14ac:dyDescent="0.2">
      <c r="A22" s="1" t="s">
        <v>260</v>
      </c>
      <c r="L22" s="76"/>
      <c r="M22" s="17"/>
      <c r="N22" s="218"/>
      <c r="O22" s="32"/>
      <c r="P22" s="78"/>
      <c r="Q22" s="80"/>
    </row>
    <row r="23" spans="1:38" ht="14.1" customHeight="1" x14ac:dyDescent="0.2">
      <c r="A23" s="1" t="s">
        <v>262</v>
      </c>
      <c r="F23" s="330"/>
      <c r="L23" s="76"/>
      <c r="M23" s="17"/>
      <c r="N23" s="218"/>
      <c r="O23" s="32"/>
      <c r="P23" s="78"/>
      <c r="Q23" s="80"/>
      <c r="R23" t="s">
        <v>257</v>
      </c>
    </row>
    <row r="24" spans="1:38" ht="14.1" customHeight="1" x14ac:dyDescent="0.2">
      <c r="A24" s="1" t="s">
        <v>261</v>
      </c>
      <c r="E24" s="342"/>
      <c r="F24" s="342" t="s">
        <v>205</v>
      </c>
      <c r="R24" s="1" t="s">
        <v>259</v>
      </c>
    </row>
    <row r="25" spans="1:38" ht="14.1" customHeight="1" x14ac:dyDescent="0.25">
      <c r="B25" s="224" t="s">
        <v>123</v>
      </c>
      <c r="C25" s="224" t="s">
        <v>124</v>
      </c>
      <c r="E25" s="27" t="s">
        <v>123</v>
      </c>
      <c r="F25" s="27" t="s">
        <v>204</v>
      </c>
      <c r="G25" s="321" t="s">
        <v>184</v>
      </c>
      <c r="H25" s="334"/>
      <c r="I25" s="332"/>
      <c r="J25" s="332"/>
      <c r="R25" s="1" t="s">
        <v>258</v>
      </c>
      <c r="AJ25" t="s">
        <v>211</v>
      </c>
    </row>
    <row r="26" spans="1:38" ht="14.1" customHeight="1" x14ac:dyDescent="0.25">
      <c r="B26" s="225">
        <v>1</v>
      </c>
      <c r="C26" s="383">
        <v>26.1</v>
      </c>
      <c r="E26" s="29">
        <v>1</v>
      </c>
      <c r="F26" s="227">
        <f>C26</f>
        <v>26.1</v>
      </c>
      <c r="G26" s="279" cm="1">
        <f t="array" ref="G26">_xlfn.SINGLE(INDEX(LINEST(F$26:F$28,(E$26:E$28)^{1,2}),1))</f>
        <v>2.9792341930627325E-16</v>
      </c>
      <c r="H26" s="384">
        <f>C58</f>
        <v>648.5</v>
      </c>
      <c r="I26" s="344" t="s">
        <v>207</v>
      </c>
      <c r="J26" s="332"/>
    </row>
    <row r="27" spans="1:38" ht="14.1" customHeight="1" x14ac:dyDescent="0.25">
      <c r="B27" s="225">
        <v>51</v>
      </c>
      <c r="C27" s="383">
        <v>1270.9000000000001</v>
      </c>
      <c r="D27" s="233"/>
      <c r="E27" s="29">
        <v>26</v>
      </c>
      <c r="F27" s="415">
        <f>H28</f>
        <v>648.5</v>
      </c>
      <c r="G27" s="279" cm="1">
        <f t="array" ref="G27">_xlfn.SINGLE(INDEX(LINEST(F$26:F$28,(E$26:E$28)^{1,2}),2))</f>
        <v>24.89599999999999</v>
      </c>
      <c r="H27" s="416">
        <v>0</v>
      </c>
      <c r="I27" s="344" t="s">
        <v>208</v>
      </c>
      <c r="J27" s="332"/>
      <c r="AJ27" s="27" t="s">
        <v>123</v>
      </c>
      <c r="AK27" s="27" t="s">
        <v>124</v>
      </c>
      <c r="AL27" s="321" t="s">
        <v>185</v>
      </c>
    </row>
    <row r="28" spans="1:38" ht="14.1" customHeight="1" x14ac:dyDescent="0.25">
      <c r="B28" s="394">
        <v>50</v>
      </c>
      <c r="C28" s="395">
        <f>C82</f>
        <v>1246.0039999999999</v>
      </c>
      <c r="D28" s="180"/>
      <c r="E28" s="29">
        <v>51</v>
      </c>
      <c r="F28" s="227">
        <f>C27</f>
        <v>1270.9000000000001</v>
      </c>
      <c r="G28" s="279" cm="1">
        <f t="array" ref="G28">_xlfn.SINGLE(INDEX(LINEST(F$26:F$28,(E$26:E$28)^{1,2}),3))</f>
        <v>1.2039999999999664</v>
      </c>
      <c r="H28" s="417">
        <f>SUM(H26:H27)</f>
        <v>648.5</v>
      </c>
      <c r="I28" s="332"/>
      <c r="J28" s="332"/>
      <c r="O28" s="160" t="s">
        <v>216</v>
      </c>
      <c r="P28" s="160" t="s">
        <v>216</v>
      </c>
      <c r="X28" s="11" t="s">
        <v>243</v>
      </c>
      <c r="Y28" s="12"/>
      <c r="Z28" s="12"/>
      <c r="AA28" s="12"/>
      <c r="AB28" s="12"/>
      <c r="AC28" s="12"/>
      <c r="AD28" s="12"/>
      <c r="AE28" s="12"/>
      <c r="AF28" s="12"/>
      <c r="AG28" s="13"/>
      <c r="AJ28" s="29">
        <v>1</v>
      </c>
      <c r="AK28" s="323">
        <v>30</v>
      </c>
      <c r="AL28" s="322" cm="1">
        <f t="array" ref="AL28">_xlfn.SINGLE(INDEX(LINEST(AK$28:AK$30,(AJ$28:AJ$30)^{1,2,3}),1))</f>
        <v>-1.7664998074701597E-2</v>
      </c>
    </row>
    <row r="29" spans="1:38" ht="14.1" customHeight="1" x14ac:dyDescent="0.2">
      <c r="B29" s="160"/>
      <c r="D29" s="160"/>
      <c r="J29" s="166"/>
      <c r="O29" s="160" t="s">
        <v>215</v>
      </c>
      <c r="P29" s="160" t="s">
        <v>215</v>
      </c>
      <c r="S29" s="180">
        <f>T35</f>
        <v>0.67709174022247731</v>
      </c>
      <c r="X29" s="14" t="s">
        <v>250</v>
      </c>
      <c r="Y29" s="10"/>
      <c r="Z29" s="10"/>
      <c r="AA29" s="10"/>
      <c r="AB29" s="10"/>
      <c r="AC29" s="10"/>
      <c r="AD29" s="10"/>
      <c r="AE29" s="10"/>
      <c r="AF29" s="10"/>
      <c r="AG29" s="16"/>
      <c r="AJ29" s="29">
        <v>25</v>
      </c>
      <c r="AK29" s="323">
        <v>610</v>
      </c>
      <c r="AL29" s="322" cm="1">
        <f t="array" ref="AL29">_xlfn.SINGLE(INDEX(LINEST(AK$28:AK$30,(AJ$28:AJ$30)^{1,2,3}),2))</f>
        <v>1.3717915543575927</v>
      </c>
    </row>
    <row r="30" spans="1:38" ht="14.1" customHeight="1" x14ac:dyDescent="0.2">
      <c r="B30" s="160"/>
      <c r="C30" s="325" cm="1">
        <f t="array" ref="C30">_xlfn.SINGLE(INDEX(LINEST(C26:C27,($B26:$B27)^{1}),1))</f>
        <v>24.896000000000004</v>
      </c>
      <c r="D30" s="160"/>
      <c r="O30" s="160" t="s">
        <v>213</v>
      </c>
      <c r="P30" s="160" t="s">
        <v>213</v>
      </c>
      <c r="S30" s="180">
        <f>T38</f>
        <v>0.66750018258782562</v>
      </c>
      <c r="X30" s="14" t="s">
        <v>251</v>
      </c>
      <c r="Y30" s="10"/>
      <c r="Z30" s="10"/>
      <c r="AA30" s="10"/>
      <c r="AB30" s="10"/>
      <c r="AC30" s="10"/>
      <c r="AD30" s="10"/>
      <c r="AE30" s="10"/>
      <c r="AF30" s="10"/>
      <c r="AG30" s="16"/>
      <c r="AJ30" s="29">
        <v>50</v>
      </c>
      <c r="AK30" s="323">
        <v>1250</v>
      </c>
      <c r="AL30" s="322" cm="1">
        <f t="array" ref="AL30">_xlfn.SINGLE(INDEX(LINEST(AK$28:AK$30,(AJ$28:AJ$30)^{1,2,3}),3))</f>
        <v>0</v>
      </c>
    </row>
    <row r="31" spans="1:38" ht="14.1" customHeight="1" x14ac:dyDescent="0.2">
      <c r="C31" s="325" cm="1">
        <f t="array" ref="C31">INDEX(LINEST(C26:C27,($B26:$B27)^{1}),1,2)</f>
        <v>1.2039999999998372</v>
      </c>
      <c r="E31" s="305"/>
      <c r="F31" s="362" t="s">
        <v>209</v>
      </c>
      <c r="G31" s="363"/>
      <c r="H31" s="305"/>
      <c r="I31" s="335" t="s">
        <v>210</v>
      </c>
      <c r="J31" s="305"/>
      <c r="K31" s="305"/>
      <c r="L31" s="364"/>
      <c r="M31" s="365"/>
      <c r="O31" s="160" t="s">
        <v>214</v>
      </c>
      <c r="P31" s="160" t="s">
        <v>214</v>
      </c>
      <c r="S31" s="180">
        <f>T42</f>
        <v>0.66190510730094543</v>
      </c>
      <c r="X31" s="47" t="s">
        <v>252</v>
      </c>
      <c r="Y31" s="10"/>
      <c r="Z31" s="10"/>
      <c r="AA31" s="10"/>
      <c r="AB31" s="10"/>
      <c r="AC31" s="10"/>
      <c r="AD31" s="10"/>
      <c r="AE31" s="10"/>
      <c r="AF31" s="10"/>
      <c r="AG31" s="16"/>
      <c r="AL31" s="322" cm="1">
        <f t="array" ref="AL31">_xlfn.SINGLE(INDEX(LINEST(AK$28:AK$30,(AJ$28:AJ$30)^{1,2,3}),4))</f>
        <v>28.645873443717392</v>
      </c>
    </row>
    <row r="32" spans="1:38" ht="14.1" customHeight="1" x14ac:dyDescent="0.2">
      <c r="B32" s="338" t="s">
        <v>123</v>
      </c>
      <c r="C32" s="339" t="s">
        <v>124</v>
      </c>
      <c r="D32" s="337"/>
      <c r="E32" s="338" t="s">
        <v>123</v>
      </c>
      <c r="F32" s="340" t="s">
        <v>184</v>
      </c>
      <c r="G32" s="63"/>
      <c r="H32" s="338" t="s">
        <v>123</v>
      </c>
      <c r="I32" s="341" t="s">
        <v>206</v>
      </c>
      <c r="K32" s="338" t="s">
        <v>123</v>
      </c>
      <c r="L32" s="225" t="s">
        <v>201</v>
      </c>
      <c r="M32" s="361" t="s">
        <v>192</v>
      </c>
      <c r="N32" s="27" t="s">
        <v>11</v>
      </c>
      <c r="O32" s="368" t="s">
        <v>192</v>
      </c>
      <c r="P32" s="27" t="s">
        <v>204</v>
      </c>
      <c r="S32" s="372"/>
      <c r="T32" s="372"/>
      <c r="U32" s="385" t="s">
        <v>50</v>
      </c>
      <c r="X32" s="134"/>
      <c r="Y32" s="135" t="s">
        <v>73</v>
      </c>
      <c r="Z32" s="103"/>
      <c r="AA32" s="103" t="s">
        <v>50</v>
      </c>
      <c r="AB32" s="10"/>
      <c r="AC32" s="10"/>
      <c r="AD32" s="10"/>
      <c r="AE32" s="10"/>
      <c r="AF32" s="10"/>
      <c r="AG32" s="16"/>
    </row>
    <row r="33" spans="2:38" ht="14.1" customHeight="1" x14ac:dyDescent="0.2">
      <c r="B33" s="17">
        <v>1</v>
      </c>
      <c r="C33" s="326">
        <f>(C$30*B33)+C$31</f>
        <v>26.099999999999842</v>
      </c>
      <c r="E33" s="17">
        <v>1</v>
      </c>
      <c r="F33" s="287">
        <f t="shared" ref="F33:F83" si="1">(G$26*(E33)^2)+(G$27*(E33)^1)+(G$28)</f>
        <v>26.099999999999955</v>
      </c>
      <c r="H33" s="17">
        <v>1</v>
      </c>
      <c r="I33" s="227">
        <f t="shared" ref="I33:I83" si="2">C33-F33</f>
        <v>-1.1368683772161603E-13</v>
      </c>
      <c r="K33" s="369">
        <v>1</v>
      </c>
      <c r="L33" s="370">
        <f>F33</f>
        <v>26.099999999999955</v>
      </c>
      <c r="M33" s="371">
        <f>L33/K33</f>
        <v>26.099999999999955</v>
      </c>
      <c r="N33" s="376">
        <f>SQRT(12*32.2*M33^2/(4*$Q$5*($Q$4*56)*$Q$3^2))</f>
        <v>0.69307766961356365</v>
      </c>
      <c r="O33" s="371">
        <f>(N33*$Q$3)*SQRT(4*$Q$5*$Q$6/32.2)/12</f>
        <v>26.099381981968694</v>
      </c>
      <c r="P33" s="371">
        <f>(K33*O33)</f>
        <v>26.099381981968694</v>
      </c>
      <c r="S33" s="372" t="s">
        <v>123</v>
      </c>
      <c r="T33" s="372" t="s">
        <v>47</v>
      </c>
      <c r="U33" s="385" t="s">
        <v>51</v>
      </c>
      <c r="X33" s="134" t="s">
        <v>9</v>
      </c>
      <c r="Y33" s="103" t="s">
        <v>47</v>
      </c>
      <c r="Z33" s="387" t="s">
        <v>56</v>
      </c>
      <c r="AA33" s="103" t="s">
        <v>51</v>
      </c>
      <c r="AB33" s="10"/>
      <c r="AC33" s="10"/>
      <c r="AD33" s="10"/>
      <c r="AE33" s="10"/>
      <c r="AF33" s="10"/>
      <c r="AG33" s="16"/>
      <c r="AL33" s="63"/>
    </row>
    <row r="34" spans="2:38" ht="14.1" customHeight="1" x14ac:dyDescent="0.25">
      <c r="B34" s="17">
        <v>2</v>
      </c>
      <c r="C34" s="326">
        <f>(C$30*B34)+C$31</f>
        <v>50.995999999999846</v>
      </c>
      <c r="E34" s="17">
        <v>2</v>
      </c>
      <c r="F34" s="287">
        <f t="shared" si="1"/>
        <v>50.995999999999945</v>
      </c>
      <c r="H34" s="17">
        <v>2</v>
      </c>
      <c r="I34" s="227">
        <f t="shared" si="2"/>
        <v>-9.9475983006414026E-14</v>
      </c>
      <c r="K34" s="369">
        <v>2</v>
      </c>
      <c r="L34" s="370">
        <f>F34</f>
        <v>50.995999999999945</v>
      </c>
      <c r="M34" s="371">
        <f t="shared" ref="M34:M83" si="3">L34/K34</f>
        <v>25.497999999999973</v>
      </c>
      <c r="N34" s="376">
        <f>SQRT(12*32.2*M34^2/(4*$Q$5*($Q$4*56)*$Q$3^2))</f>
        <v>0.67709174022247731</v>
      </c>
      <c r="O34" s="371">
        <f>(N34*$Q$3)*SQRT(4*$Q$5*$Q$6/32.2)/12</f>
        <v>25.497396236637481</v>
      </c>
      <c r="P34" s="371">
        <f t="shared" ref="P34:P83" si="4">(K34*O34)</f>
        <v>50.994792473274963</v>
      </c>
      <c r="S34" s="160">
        <v>1</v>
      </c>
      <c r="T34" s="418">
        <f>N33</f>
        <v>0.69307766961356365</v>
      </c>
      <c r="U34" s="185">
        <f>P33</f>
        <v>26.099381981968694</v>
      </c>
      <c r="X34" s="139">
        <v>1</v>
      </c>
      <c r="Y34" s="111">
        <v>0.92510000000000003</v>
      </c>
      <c r="Z34" s="98">
        <v>34.838084318002032</v>
      </c>
      <c r="AA34" s="157">
        <v>34.838084318002032</v>
      </c>
      <c r="AB34" s="10" t="s">
        <v>248</v>
      </c>
      <c r="AC34" s="10"/>
      <c r="AD34" s="10"/>
      <c r="AE34" s="10"/>
      <c r="AF34" s="10"/>
      <c r="AG34" s="16"/>
      <c r="AJ34" s="2" t="s">
        <v>123</v>
      </c>
      <c r="AK34" s="288" t="s">
        <v>185</v>
      </c>
      <c r="AL34" s="63"/>
    </row>
    <row r="35" spans="2:38" ht="14.1" customHeight="1" x14ac:dyDescent="0.25">
      <c r="B35" s="17">
        <v>3</v>
      </c>
      <c r="C35" s="326">
        <f>(C$30*B35)+C$31</f>
        <v>75.891999999999854</v>
      </c>
      <c r="E35" s="17">
        <v>3</v>
      </c>
      <c r="F35" s="287">
        <f>(G$26*(E35)^2)+(G$27*(E35)^1)+(G$28)</f>
        <v>75.891999999999939</v>
      </c>
      <c r="H35" s="17">
        <v>3</v>
      </c>
      <c r="I35" s="227">
        <f t="shared" si="2"/>
        <v>0</v>
      </c>
      <c r="K35" s="369">
        <v>3</v>
      </c>
      <c r="L35" s="370">
        <f t="shared" ref="L35:L83" si="5">F35</f>
        <v>75.891999999999939</v>
      </c>
      <c r="M35" s="371">
        <f t="shared" si="3"/>
        <v>25.297333333333313</v>
      </c>
      <c r="N35" s="376">
        <f>SQRT(12*32.2*M35^2/(4*$Q$5*($Q$4*56)*$Q$3^2))</f>
        <v>0.67176309709211512</v>
      </c>
      <c r="O35" s="371">
        <f>(N35*$Q$3)*SQRT(4*$Q$5*$Q$6/32.2)/12</f>
        <v>25.296734321527069</v>
      </c>
      <c r="P35" s="371">
        <f t="shared" si="4"/>
        <v>75.890202964581206</v>
      </c>
      <c r="R35" s="421">
        <f>T35</f>
        <v>0.67709174022247731</v>
      </c>
      <c r="S35" s="373">
        <v>2</v>
      </c>
      <c r="T35" s="419">
        <f>N34</f>
        <v>0.67709174022247731</v>
      </c>
      <c r="U35" s="423">
        <f>P34</f>
        <v>50.994792473274963</v>
      </c>
      <c r="V35" s="1" t="s">
        <v>263</v>
      </c>
      <c r="X35" s="139">
        <v>2</v>
      </c>
      <c r="Y35" s="112">
        <v>0.81499999999999995</v>
      </c>
      <c r="Z35" s="94">
        <v>30.691858954893149</v>
      </c>
      <c r="AA35" s="158">
        <v>61.383717909786299</v>
      </c>
      <c r="AB35" s="15" t="s">
        <v>249</v>
      </c>
      <c r="AC35" s="10"/>
      <c r="AD35" s="10"/>
      <c r="AE35" s="10"/>
      <c r="AF35" s="10"/>
      <c r="AG35" s="16"/>
      <c r="AJ35" s="17">
        <v>1</v>
      </c>
      <c r="AK35" s="287">
        <f>(AL$28*(AJ35)^3)+(AL$29*(AJ35)^2)+(AL$30*(AJ35)^1)+(AL$31)</f>
        <v>30.000000000000284</v>
      </c>
    </row>
    <row r="36" spans="2:38" ht="14.1" customHeight="1" x14ac:dyDescent="0.25">
      <c r="B36" s="17">
        <v>4</v>
      </c>
      <c r="C36" s="326">
        <f>(C$30*B36)+C$31</f>
        <v>100.78799999999985</v>
      </c>
      <c r="E36" s="17">
        <v>4</v>
      </c>
      <c r="F36" s="287">
        <f t="shared" si="1"/>
        <v>100.78799999999993</v>
      </c>
      <c r="H36" s="17">
        <v>4</v>
      </c>
      <c r="I36" s="227">
        <f t="shared" si="2"/>
        <v>0</v>
      </c>
      <c r="K36" s="369">
        <v>4</v>
      </c>
      <c r="L36" s="370">
        <f t="shared" si="5"/>
        <v>100.78799999999993</v>
      </c>
      <c r="M36" s="371">
        <f t="shared" si="3"/>
        <v>25.196999999999981</v>
      </c>
      <c r="N36" s="376">
        <f>SQRT(12*32.2*M36^2/(4*$Q$5*($Q$4*56)*$Q$3^2))</f>
        <v>0.66909877552693409</v>
      </c>
      <c r="O36" s="371">
        <f>(N36*$Q$3)*SQRT(4*$Q$5*$Q$6/32.2)/12</f>
        <v>25.196403363971868</v>
      </c>
      <c r="P36" s="371">
        <f t="shared" si="4"/>
        <v>100.78561345588747</v>
      </c>
      <c r="R36" s="422"/>
      <c r="S36" s="160">
        <v>3</v>
      </c>
      <c r="T36" s="418">
        <f>N35</f>
        <v>0.67176309709211512</v>
      </c>
      <c r="U36" s="185">
        <f>P35</f>
        <v>75.890202964581206</v>
      </c>
      <c r="X36" s="139">
        <v>3</v>
      </c>
      <c r="Y36" s="113">
        <v>0.74</v>
      </c>
      <c r="Z36" s="93">
        <v>27.867454756590096</v>
      </c>
      <c r="AA36" s="91">
        <v>83.602364269770291</v>
      </c>
      <c r="AB36" s="10"/>
      <c r="AC36" s="10"/>
      <c r="AD36" s="10"/>
      <c r="AE36" s="10"/>
      <c r="AF36" s="10"/>
      <c r="AG36" s="16"/>
      <c r="AJ36" s="17">
        <v>2</v>
      </c>
      <c r="AK36" s="287">
        <f>(AL$28*(AJ36)^3)+(AL$29*(AJ36)^2)+(AL$30*(AJ36)^1)+(AL$31)</f>
        <v>33.991719676550147</v>
      </c>
    </row>
    <row r="37" spans="2:38" ht="14.1" customHeight="1" x14ac:dyDescent="0.25">
      <c r="B37" s="17">
        <v>5</v>
      </c>
      <c r="C37" s="326">
        <f>(C$30*B37)+C$31</f>
        <v>125.68399999999986</v>
      </c>
      <c r="E37" s="17">
        <v>5</v>
      </c>
      <c r="F37" s="287">
        <f t="shared" si="1"/>
        <v>125.68399999999993</v>
      </c>
      <c r="G37" s="287"/>
      <c r="H37" s="17">
        <v>5</v>
      </c>
      <c r="I37" s="227">
        <f t="shared" si="2"/>
        <v>0</v>
      </c>
      <c r="K37" s="369">
        <v>5</v>
      </c>
      <c r="L37" s="370">
        <f t="shared" si="5"/>
        <v>125.68399999999993</v>
      </c>
      <c r="M37" s="371">
        <f t="shared" si="3"/>
        <v>25.136799999999987</v>
      </c>
      <c r="N37" s="376">
        <f>SQRT(12*32.2*M37^2/(4*$Q$5*($Q$4*56)*$Q$3^2))</f>
        <v>0.66750018258782562</v>
      </c>
      <c r="O37" s="371">
        <f>(N37*$Q$3)*SQRT(4*$Q$5*$Q$6/32.2)/12</f>
        <v>25.136204789438754</v>
      </c>
      <c r="P37" s="371">
        <f t="shared" si="4"/>
        <v>125.68102394719376</v>
      </c>
      <c r="R37" s="422"/>
      <c r="S37" s="160">
        <v>4</v>
      </c>
      <c r="T37" s="418">
        <f>N36</f>
        <v>0.66909877552693409</v>
      </c>
      <c r="U37" s="185">
        <f>P36</f>
        <v>100.78561345588747</v>
      </c>
      <c r="X37" s="139">
        <v>4</v>
      </c>
      <c r="Y37" s="113">
        <v>0.70499999999999996</v>
      </c>
      <c r="Z37" s="93">
        <v>26.549399464048673</v>
      </c>
      <c r="AA37" s="91">
        <v>106.19759785619469</v>
      </c>
      <c r="AB37" s="10"/>
      <c r="AC37" s="10"/>
      <c r="AD37" s="10"/>
      <c r="AE37" s="10"/>
      <c r="AF37" s="10"/>
      <c r="AG37" s="16"/>
      <c r="AJ37" s="17">
        <v>3</v>
      </c>
      <c r="AK37" s="287">
        <f>(AL$28*(AJ37)^3)+(AL$29*(AJ37)^2)+(AL$30*(AJ37)^1)+(AL$31)</f>
        <v>40.51504248491878</v>
      </c>
    </row>
    <row r="38" spans="2:38" ht="14.1" customHeight="1" x14ac:dyDescent="0.25">
      <c r="B38" s="17">
        <v>6</v>
      </c>
      <c r="C38" s="326">
        <f>(C$30*B38)+C$31</f>
        <v>150.57999999999987</v>
      </c>
      <c r="E38" s="17">
        <v>6</v>
      </c>
      <c r="F38" s="287">
        <f t="shared" si="1"/>
        <v>150.57999999999993</v>
      </c>
      <c r="G38" s="287"/>
      <c r="H38" s="17">
        <v>6</v>
      </c>
      <c r="I38" s="227">
        <f t="shared" si="2"/>
        <v>0</v>
      </c>
      <c r="K38" s="17">
        <v>6</v>
      </c>
      <c r="L38" s="287">
        <f t="shared" si="5"/>
        <v>150.57999999999993</v>
      </c>
      <c r="M38" s="227">
        <f t="shared" si="3"/>
        <v>25.096666666666653</v>
      </c>
      <c r="N38" s="377">
        <f>SQRT(12*32.2*M38^2/(4*$Q$5*($Q$4*56)*$Q$3^2))</f>
        <v>0.66643445396175305</v>
      </c>
      <c r="O38" s="227">
        <f>(N38*$Q$3)*SQRT(4*$Q$5*$Q$6/32.2)/12</f>
        <v>25.096072406416667</v>
      </c>
      <c r="P38" s="227">
        <f t="shared" si="4"/>
        <v>150.5764344385</v>
      </c>
      <c r="R38" s="421">
        <f>T38</f>
        <v>0.66750018258782562</v>
      </c>
      <c r="S38" s="373">
        <v>5</v>
      </c>
      <c r="T38" s="419">
        <f>N37</f>
        <v>0.66750018258782562</v>
      </c>
      <c r="U38" s="420">
        <f>P37</f>
        <v>125.68102394719376</v>
      </c>
      <c r="X38" s="139">
        <v>5</v>
      </c>
      <c r="Y38" s="112">
        <v>0.67849999999999999</v>
      </c>
      <c r="Z38" s="94">
        <v>25.551443313981597</v>
      </c>
      <c r="AA38" s="158">
        <v>127.75721656990798</v>
      </c>
      <c r="AB38" s="10"/>
      <c r="AC38" s="10"/>
      <c r="AD38" s="10"/>
      <c r="AE38" s="10"/>
      <c r="AF38" s="10"/>
      <c r="AG38" s="16"/>
      <c r="AJ38" s="17">
        <v>4</v>
      </c>
      <c r="AK38" s="287">
        <f>(AL$28*(AJ38)^3)+(AL$29*(AJ38)^2)+(AL$30*(AJ38)^1)+(AL$31)</f>
        <v>49.463978436657968</v>
      </c>
    </row>
    <row r="39" spans="2:38" ht="14.1" customHeight="1" x14ac:dyDescent="0.25">
      <c r="B39" s="17">
        <v>7</v>
      </c>
      <c r="C39" s="326">
        <f>(C$30*B39)+C$31</f>
        <v>175.47599999999986</v>
      </c>
      <c r="E39" s="17">
        <v>7</v>
      </c>
      <c r="F39" s="287">
        <f t="shared" si="1"/>
        <v>175.47599999999994</v>
      </c>
      <c r="G39" s="287"/>
      <c r="H39" s="17">
        <v>7</v>
      </c>
      <c r="I39" s="227">
        <f>C39-F39</f>
        <v>0</v>
      </c>
      <c r="K39" s="17">
        <v>7</v>
      </c>
      <c r="L39" s="287">
        <f t="shared" si="5"/>
        <v>175.47599999999994</v>
      </c>
      <c r="M39" s="227">
        <f t="shared" si="3"/>
        <v>25.067999999999991</v>
      </c>
      <c r="N39" s="377">
        <f>SQRT(12*32.2*M39^2/(4*$Q$5*($Q$4*56)*$Q$3^2))</f>
        <v>0.66567321922884437</v>
      </c>
      <c r="O39" s="227">
        <f>(N39*$Q$3)*SQRT(4*$Q$5*$Q$6/32.2)/12</f>
        <v>25.067406418543758</v>
      </c>
      <c r="P39" s="227">
        <f t="shared" si="4"/>
        <v>175.47184492980631</v>
      </c>
      <c r="R39" s="422"/>
      <c r="S39" s="160">
        <v>10</v>
      </c>
      <c r="T39" s="418">
        <f>N42</f>
        <v>0.66430299670960824</v>
      </c>
      <c r="U39" s="185">
        <f>P42</f>
        <v>250.15807640372512</v>
      </c>
      <c r="X39" s="139">
        <v>10</v>
      </c>
      <c r="Y39" s="154">
        <v>0.64</v>
      </c>
      <c r="Z39" s="93">
        <v>24.101582492186029</v>
      </c>
      <c r="AA39" s="91">
        <v>241.01582492186029</v>
      </c>
      <c r="AB39" s="10"/>
      <c r="AC39" s="10"/>
      <c r="AD39" s="10"/>
      <c r="AE39" s="10"/>
      <c r="AF39" s="10"/>
      <c r="AG39" s="16"/>
      <c r="AJ39" s="17">
        <v>5</v>
      </c>
      <c r="AK39" s="287">
        <f>(AL$28*(AJ39)^3)+(AL$29*(AJ39)^2)+(AL$30*(AJ39)^1)+(AL$31)</f>
        <v>60.732537543319509</v>
      </c>
      <c r="AL39" s="287"/>
    </row>
    <row r="40" spans="2:38" ht="14.1" customHeight="1" x14ac:dyDescent="0.25">
      <c r="B40" s="17">
        <v>8</v>
      </c>
      <c r="C40" s="326">
        <f>(C$30*B40)+C$31</f>
        <v>200.37199999999987</v>
      </c>
      <c r="E40" s="17">
        <v>8</v>
      </c>
      <c r="F40" s="287">
        <f t="shared" si="1"/>
        <v>200.37199999999993</v>
      </c>
      <c r="G40" s="287"/>
      <c r="H40" s="17">
        <v>8</v>
      </c>
      <c r="I40" s="227">
        <f t="shared" si="2"/>
        <v>0</v>
      </c>
      <c r="K40" s="17">
        <v>8</v>
      </c>
      <c r="L40" s="287">
        <f t="shared" si="5"/>
        <v>200.37199999999993</v>
      </c>
      <c r="M40" s="227">
        <f t="shared" si="3"/>
        <v>25.046499999999991</v>
      </c>
      <c r="N40" s="377">
        <f>SQRT(12*32.2*M40^2/(4*$Q$5*($Q$4*56)*$Q$3^2))</f>
        <v>0.6651022931791627</v>
      </c>
      <c r="O40" s="227">
        <f>(N40*$Q$3)*SQRT(4*$Q$5*$Q$6/32.2)/12</f>
        <v>25.04590692763907</v>
      </c>
      <c r="P40" s="227">
        <f t="shared" si="4"/>
        <v>200.36725542111256</v>
      </c>
      <c r="R40" s="422"/>
      <c r="S40" s="160">
        <v>20</v>
      </c>
      <c r="T40" s="418">
        <f>N52</f>
        <v>0.66270440377049966</v>
      </c>
      <c r="U40" s="185">
        <f>P52</f>
        <v>499.11218131678771</v>
      </c>
      <c r="X40" s="139">
        <v>20</v>
      </c>
      <c r="Y40" s="154">
        <v>0.65</v>
      </c>
      <c r="Z40" s="93">
        <v>24.478169718626436</v>
      </c>
      <c r="AA40" s="91">
        <v>489.56339437252871</v>
      </c>
      <c r="AB40" s="10"/>
      <c r="AC40" s="10"/>
      <c r="AD40" s="10"/>
      <c r="AE40" s="10"/>
      <c r="AF40" s="10"/>
      <c r="AG40" s="16"/>
    </row>
    <row r="41" spans="2:38" ht="14.1" customHeight="1" x14ac:dyDescent="0.25">
      <c r="B41" s="17">
        <v>9</v>
      </c>
      <c r="C41" s="326">
        <f>(C$30*B41)+C$31</f>
        <v>225.26799999999989</v>
      </c>
      <c r="E41" s="17">
        <v>9</v>
      </c>
      <c r="F41" s="287">
        <f t="shared" si="1"/>
        <v>225.26799999999992</v>
      </c>
      <c r="G41" s="287"/>
      <c r="H41" s="17">
        <v>9</v>
      </c>
      <c r="I41" s="227">
        <f t="shared" si="2"/>
        <v>0</v>
      </c>
      <c r="K41" s="17">
        <v>9</v>
      </c>
      <c r="L41" s="287">
        <f t="shared" si="5"/>
        <v>225.26799999999992</v>
      </c>
      <c r="M41" s="227">
        <f t="shared" si="3"/>
        <v>25.029777777777767</v>
      </c>
      <c r="N41" s="377">
        <f>SQRT(12*32.2*M41^2/(4*$Q$5*($Q$4*56)*$Q$3^2))</f>
        <v>0.66465823958496573</v>
      </c>
      <c r="O41" s="227">
        <f>(N41*$Q$3)*SQRT(4*$Q$5*$Q$6/32.2)/12</f>
        <v>25.029185101379866</v>
      </c>
      <c r="P41" s="227">
        <f t="shared" si="4"/>
        <v>225.26266591241881</v>
      </c>
      <c r="R41" s="422"/>
      <c r="S41" s="160">
        <v>30</v>
      </c>
      <c r="T41" s="418">
        <f>N62</f>
        <v>0.66217153945746354</v>
      </c>
      <c r="U41" s="185">
        <f>P62</f>
        <v>748.06628622985045</v>
      </c>
      <c r="X41" s="139">
        <v>30</v>
      </c>
      <c r="Y41" s="154">
        <v>0.66500000000000004</v>
      </c>
      <c r="Z41" s="93">
        <v>25.04305055828705</v>
      </c>
      <c r="AA41" s="91">
        <v>751.29151674861146</v>
      </c>
      <c r="AB41" s="10"/>
      <c r="AC41" s="10"/>
      <c r="AD41" s="10"/>
      <c r="AE41" s="10"/>
      <c r="AF41" s="10"/>
      <c r="AG41" s="16"/>
    </row>
    <row r="42" spans="2:38" ht="14.1" customHeight="1" x14ac:dyDescent="0.25">
      <c r="B42" s="17">
        <v>10</v>
      </c>
      <c r="C42" s="326">
        <f>(C$30*B42)+C$31</f>
        <v>250.16399999999987</v>
      </c>
      <c r="E42" s="17">
        <v>10</v>
      </c>
      <c r="F42" s="287">
        <f t="shared" si="1"/>
        <v>250.1639999999999</v>
      </c>
      <c r="G42" s="287"/>
      <c r="H42" s="17">
        <v>10</v>
      </c>
      <c r="I42" s="227">
        <f t="shared" si="2"/>
        <v>0</v>
      </c>
      <c r="K42" s="369">
        <v>10</v>
      </c>
      <c r="L42" s="370">
        <f>F42</f>
        <v>250.1639999999999</v>
      </c>
      <c r="M42" s="371">
        <f t="shared" si="3"/>
        <v>25.01639999999999</v>
      </c>
      <c r="N42" s="376">
        <f>SQRT(12*32.2*M42^2/(4*$Q$5*($Q$4*56)*$Q$3^2))</f>
        <v>0.66430299670960824</v>
      </c>
      <c r="O42" s="371">
        <f>(N42*$Q$3)*SQRT(4*$Q$5*$Q$6/32.2)/12</f>
        <v>25.015807640372511</v>
      </c>
      <c r="P42" s="371">
        <f t="shared" si="4"/>
        <v>250.15807640372512</v>
      </c>
      <c r="R42" s="421">
        <f>T42</f>
        <v>0.66190510730094543</v>
      </c>
      <c r="S42" s="373">
        <v>40</v>
      </c>
      <c r="T42" s="419">
        <f>N72</f>
        <v>0.66190510730094543</v>
      </c>
      <c r="U42" s="423">
        <f>P72</f>
        <v>997.02039114291324</v>
      </c>
      <c r="V42" s="1" t="s">
        <v>264</v>
      </c>
      <c r="X42" s="139">
        <v>40</v>
      </c>
      <c r="Y42" s="155">
        <v>0.68</v>
      </c>
      <c r="Z42" s="94">
        <v>25.607931397947663</v>
      </c>
      <c r="AA42" s="158">
        <v>1024.3172559179066</v>
      </c>
      <c r="AB42" s="10"/>
      <c r="AC42" s="10"/>
      <c r="AD42" s="10"/>
      <c r="AE42" s="10"/>
      <c r="AF42" s="10"/>
      <c r="AG42" s="16"/>
    </row>
    <row r="43" spans="2:38" ht="14.1" customHeight="1" x14ac:dyDescent="0.25">
      <c r="B43" s="17">
        <v>11</v>
      </c>
      <c r="C43" s="326">
        <f>(C$30*B43)+C$31</f>
        <v>275.05999999999989</v>
      </c>
      <c r="E43" s="17">
        <v>11</v>
      </c>
      <c r="F43" s="287">
        <f t="shared" si="1"/>
        <v>275.05999999999989</v>
      </c>
      <c r="G43" s="287"/>
      <c r="H43" s="17">
        <v>11</v>
      </c>
      <c r="I43" s="227">
        <f t="shared" si="2"/>
        <v>0</v>
      </c>
      <c r="K43" s="17">
        <v>11</v>
      </c>
      <c r="L43" s="287">
        <f t="shared" si="5"/>
        <v>275.05999999999989</v>
      </c>
      <c r="M43" s="227">
        <f t="shared" si="3"/>
        <v>25.005454545454537</v>
      </c>
      <c r="N43" s="377">
        <f>SQRT(12*32.2*M43^2/(4*$Q$5*($Q$4*56)*$Q$3^2))</f>
        <v>0.66401234344795224</v>
      </c>
      <c r="O43" s="227">
        <f>(N43*$Q$3)*SQRT(4*$Q$5*$Q$6/32.2)/12</f>
        <v>25.004862445002853</v>
      </c>
      <c r="P43" s="227">
        <f t="shared" si="4"/>
        <v>275.05348689503137</v>
      </c>
      <c r="S43" s="160">
        <v>50</v>
      </c>
      <c r="T43" s="418">
        <f>N82</f>
        <v>0.66174524800703471</v>
      </c>
      <c r="U43" s="185">
        <f>P82</f>
        <v>1245.9744960559763</v>
      </c>
      <c r="X43" s="388">
        <v>50</v>
      </c>
      <c r="Y43" s="389">
        <v>0.7</v>
      </c>
      <c r="Z43" s="390">
        <v>26.361105850828469</v>
      </c>
      <c r="AA43" s="391">
        <v>1318.0552925414236</v>
      </c>
      <c r="AB43" s="3"/>
      <c r="AC43" s="3"/>
      <c r="AD43" s="3"/>
      <c r="AE43" s="3"/>
      <c r="AF43" s="3"/>
      <c r="AG43" s="8"/>
    </row>
    <row r="44" spans="2:38" ht="14.1" customHeight="1" x14ac:dyDescent="0.2">
      <c r="B44" s="17">
        <v>12</v>
      </c>
      <c r="C44" s="326">
        <f>(C$30*B44)+C$31</f>
        <v>299.9559999999999</v>
      </c>
      <c r="E44" s="17">
        <v>12</v>
      </c>
      <c r="F44" s="287">
        <f t="shared" si="1"/>
        <v>299.9559999999999</v>
      </c>
      <c r="G44" s="287"/>
      <c r="H44" s="17">
        <v>12</v>
      </c>
      <c r="I44" s="227">
        <f t="shared" si="2"/>
        <v>0</v>
      </c>
      <c r="K44" s="17">
        <v>12</v>
      </c>
      <c r="L44" s="287">
        <f t="shared" si="5"/>
        <v>299.9559999999999</v>
      </c>
      <c r="M44" s="227">
        <f t="shared" si="3"/>
        <v>24.996333333333325</v>
      </c>
      <c r="N44" s="377">
        <f>SQRT(12*32.2*M44^2/(4*$Q$5*($Q$4*56)*$Q$3^2))</f>
        <v>0.66377013239657212</v>
      </c>
      <c r="O44" s="227">
        <f>(N44*$Q$3)*SQRT(4*$Q$5*$Q$6/32.2)/12</f>
        <v>24.99574144886147</v>
      </c>
      <c r="P44" s="227">
        <f t="shared" si="4"/>
        <v>299.94889738633765</v>
      </c>
      <c r="S44" s="312"/>
    </row>
    <row r="45" spans="2:38" ht="14.1" customHeight="1" x14ac:dyDescent="0.2">
      <c r="B45" s="17">
        <v>13</v>
      </c>
      <c r="C45" s="326">
        <f>(C$30*B45)+C$31</f>
        <v>324.85199999999992</v>
      </c>
      <c r="E45" s="17">
        <v>13</v>
      </c>
      <c r="F45" s="287">
        <f t="shared" si="1"/>
        <v>324.85199999999986</v>
      </c>
      <c r="G45" s="287"/>
      <c r="H45" s="17">
        <v>13</v>
      </c>
      <c r="I45" s="227">
        <f t="shared" si="2"/>
        <v>0</v>
      </c>
      <c r="K45" s="17">
        <v>13</v>
      </c>
      <c r="L45" s="287">
        <f t="shared" si="5"/>
        <v>324.85199999999986</v>
      </c>
      <c r="M45" s="227">
        <f t="shared" si="3"/>
        <v>24.988615384615375</v>
      </c>
      <c r="N45" s="377">
        <f>SQRT(12*32.2*M45^2/(4*$Q$5*($Q$4*56)*$Q$3^2))</f>
        <v>0.66356518458386582</v>
      </c>
      <c r="O45" s="227">
        <f>(N45*$Q$3)*SQRT(4*$Q$5*$Q$6/32.2)/12</f>
        <v>24.988023682895683</v>
      </c>
      <c r="P45" s="227">
        <f t="shared" si="4"/>
        <v>324.84430787764387</v>
      </c>
    </row>
    <row r="46" spans="2:38" ht="14.1" customHeight="1" x14ac:dyDescent="0.2">
      <c r="B46" s="17">
        <v>14</v>
      </c>
      <c r="C46" s="326">
        <f>(C$30*B46)+C$31</f>
        <v>349.74799999999988</v>
      </c>
      <c r="E46" s="17">
        <v>14</v>
      </c>
      <c r="F46" s="287">
        <f t="shared" si="1"/>
        <v>349.74799999999988</v>
      </c>
      <c r="G46" s="287"/>
      <c r="H46" s="17">
        <v>14</v>
      </c>
      <c r="I46" s="227">
        <f t="shared" si="2"/>
        <v>0</v>
      </c>
      <c r="K46" s="17">
        <v>14</v>
      </c>
      <c r="L46" s="287">
        <f t="shared" si="5"/>
        <v>349.74799999999988</v>
      </c>
      <c r="M46" s="227">
        <f t="shared" si="3"/>
        <v>24.981999999999992</v>
      </c>
      <c r="N46" s="377">
        <f>SQRT(12*32.2*M46^2/(4*$Q$5*($Q$4*56)*$Q$3^2))</f>
        <v>0.66338951503011767</v>
      </c>
      <c r="O46" s="227">
        <f>(N46*$Q$3)*SQRT(4*$Q$5*$Q$6/32.2)/12</f>
        <v>24.981408454925013</v>
      </c>
      <c r="P46" s="227">
        <f t="shared" si="4"/>
        <v>349.73971836895021</v>
      </c>
    </row>
    <row r="47" spans="2:38" ht="14.1" customHeight="1" x14ac:dyDescent="0.2">
      <c r="B47" s="17">
        <v>15</v>
      </c>
      <c r="C47" s="326">
        <f>(C$30*B47)+C$31</f>
        <v>374.64399999999989</v>
      </c>
      <c r="E47" s="17">
        <v>15</v>
      </c>
      <c r="F47" s="287">
        <f t="shared" si="1"/>
        <v>374.64399999999983</v>
      </c>
      <c r="G47" s="287"/>
      <c r="H47" s="17">
        <v>15</v>
      </c>
      <c r="I47" s="227">
        <f t="shared" si="2"/>
        <v>0</v>
      </c>
      <c r="K47" s="17">
        <v>15</v>
      </c>
      <c r="L47" s="287">
        <f t="shared" si="5"/>
        <v>374.64399999999983</v>
      </c>
      <c r="M47" s="227">
        <f t="shared" si="3"/>
        <v>24.976266666666657</v>
      </c>
      <c r="N47" s="377">
        <f>SQRT(12*32.2*M47^2/(4*$Q$5*($Q$4*56)*$Q$3^2))</f>
        <v>0.66323726808353589</v>
      </c>
      <c r="O47" s="227">
        <f>(N47*$Q$3)*SQRT(4*$Q$5*$Q$6/32.2)/12</f>
        <v>24.975675257350428</v>
      </c>
      <c r="P47" s="227">
        <f t="shared" si="4"/>
        <v>374.63512886025643</v>
      </c>
    </row>
    <row r="48" spans="2:38" ht="14.1" customHeight="1" x14ac:dyDescent="0.2">
      <c r="B48" s="17">
        <v>16</v>
      </c>
      <c r="C48" s="326">
        <f>(C$30*B48)+C$31</f>
        <v>399.53999999999991</v>
      </c>
      <c r="E48" s="17">
        <v>16</v>
      </c>
      <c r="F48" s="287">
        <f t="shared" si="1"/>
        <v>399.53999999999985</v>
      </c>
      <c r="G48" s="287"/>
      <c r="H48" s="17">
        <v>16</v>
      </c>
      <c r="I48" s="227">
        <f t="shared" si="2"/>
        <v>0</v>
      </c>
      <c r="K48" s="17">
        <v>16</v>
      </c>
      <c r="L48" s="287">
        <f t="shared" si="5"/>
        <v>399.53999999999985</v>
      </c>
      <c r="M48" s="227">
        <f t="shared" si="3"/>
        <v>24.971249999999991</v>
      </c>
      <c r="N48" s="377">
        <f>SQRT(12*32.2*M48^2/(4*$Q$5*($Q$4*56)*$Q$3^2))</f>
        <v>0.66310405200527689</v>
      </c>
      <c r="O48" s="227">
        <f>(N48*$Q$3)*SQRT(4*$Q$5*$Q$6/32.2)/12</f>
        <v>24.970658709472669</v>
      </c>
      <c r="P48" s="227">
        <f t="shared" si="4"/>
        <v>399.53053935156271</v>
      </c>
    </row>
    <row r="49" spans="1:16" ht="14.1" customHeight="1" x14ac:dyDescent="0.2">
      <c r="B49" s="17">
        <v>17</v>
      </c>
      <c r="C49" s="326">
        <f>(C$30*B49)+C$31</f>
        <v>424.43599999999992</v>
      </c>
      <c r="E49" s="17">
        <v>17</v>
      </c>
      <c r="F49" s="287">
        <f t="shared" si="1"/>
        <v>424.43599999999992</v>
      </c>
      <c r="G49" s="287"/>
      <c r="H49" s="17">
        <v>17</v>
      </c>
      <c r="I49" s="227">
        <f t="shared" si="2"/>
        <v>0</v>
      </c>
      <c r="K49" s="17">
        <v>17</v>
      </c>
      <c r="L49" s="287">
        <f t="shared" si="5"/>
        <v>424.43599999999992</v>
      </c>
      <c r="M49" s="227">
        <f t="shared" si="3"/>
        <v>24.966823529411759</v>
      </c>
      <c r="N49" s="377">
        <f>SQRT(12*32.2*M49^2/(4*$Q$5*($Q$4*56)*$Q$3^2))</f>
        <v>0.66298650840681306</v>
      </c>
      <c r="O49" s="227">
        <f>(N49*$Q$3)*SQRT(4*$Q$5*$Q$6/32.2)/12</f>
        <v>24.966232343698177</v>
      </c>
      <c r="P49" s="227">
        <f t="shared" si="4"/>
        <v>424.42594984286899</v>
      </c>
    </row>
    <row r="50" spans="1:16" ht="14.1" customHeight="1" x14ac:dyDescent="0.2">
      <c r="B50" s="17">
        <v>18</v>
      </c>
      <c r="C50" s="326">
        <f>(C$30*B50)+C$31</f>
        <v>449.33199999999994</v>
      </c>
      <c r="E50" s="17">
        <v>18</v>
      </c>
      <c r="F50" s="287">
        <f t="shared" si="1"/>
        <v>449.33199999999988</v>
      </c>
      <c r="G50" s="287"/>
      <c r="H50" s="17">
        <v>18</v>
      </c>
      <c r="I50" s="227">
        <f t="shared" si="2"/>
        <v>0</v>
      </c>
      <c r="K50" s="17">
        <v>18</v>
      </c>
      <c r="L50" s="287">
        <f t="shared" si="5"/>
        <v>449.33199999999988</v>
      </c>
      <c r="M50" s="227">
        <f t="shared" si="3"/>
        <v>24.962888888888884</v>
      </c>
      <c r="N50" s="377">
        <f>SQRT(12*32.2*M50^2/(4*$Q$5*($Q$4*56)*$Q$3^2))</f>
        <v>0.66288202520817852</v>
      </c>
      <c r="O50" s="227">
        <f>(N50*$Q$3)*SQRT(4*$Q$5*$Q$6/32.2)/12</f>
        <v>24.962297796343069</v>
      </c>
      <c r="P50" s="227">
        <f t="shared" si="4"/>
        <v>449.32136033417527</v>
      </c>
    </row>
    <row r="51" spans="1:16" ht="14.1" customHeight="1" x14ac:dyDescent="0.2">
      <c r="B51" s="17">
        <v>19</v>
      </c>
      <c r="C51" s="326">
        <f>(C$30*B51)+C$31</f>
        <v>474.22799999999989</v>
      </c>
      <c r="E51" s="17">
        <v>19</v>
      </c>
      <c r="F51" s="287">
        <f t="shared" si="1"/>
        <v>474.22799999999989</v>
      </c>
      <c r="G51" s="287"/>
      <c r="H51" s="17">
        <v>19</v>
      </c>
      <c r="I51" s="227">
        <f t="shared" si="2"/>
        <v>0</v>
      </c>
      <c r="K51" s="17">
        <v>19</v>
      </c>
      <c r="L51" s="287">
        <f t="shared" si="5"/>
        <v>474.22799999999989</v>
      </c>
      <c r="M51" s="227">
        <f t="shared" si="3"/>
        <v>24.959368421052627</v>
      </c>
      <c r="N51" s="377">
        <f>SQRT(12*32.2*M51^2/(4*$Q$5*($Q$4*56)*$Q$3^2))</f>
        <v>0.66278854024097922</v>
      </c>
      <c r="O51" s="227">
        <f>(N51*$Q$3)*SQRT(4*$Q$5*$Q$6/32.2)/12</f>
        <v>24.958777411867455</v>
      </c>
      <c r="P51" s="227">
        <f t="shared" si="4"/>
        <v>474.21677082548166</v>
      </c>
    </row>
    <row r="52" spans="1:16" ht="14.1" customHeight="1" x14ac:dyDescent="0.2">
      <c r="B52" s="17">
        <v>20</v>
      </c>
      <c r="C52" s="326">
        <f>(C$30*B52)+C$31</f>
        <v>499.12399999999991</v>
      </c>
      <c r="E52" s="17">
        <v>20</v>
      </c>
      <c r="F52" s="287">
        <f t="shared" si="1"/>
        <v>499.12399999999985</v>
      </c>
      <c r="G52" s="287"/>
      <c r="H52" s="17">
        <v>20</v>
      </c>
      <c r="I52" s="227">
        <f t="shared" si="2"/>
        <v>0</v>
      </c>
      <c r="K52" s="369">
        <v>20</v>
      </c>
      <c r="L52" s="370">
        <f t="shared" si="5"/>
        <v>499.12399999999985</v>
      </c>
      <c r="M52" s="371">
        <f t="shared" si="3"/>
        <v>24.956199999999992</v>
      </c>
      <c r="N52" s="376">
        <f>SQRT(12*32.2*M52^2/(4*$Q$5*($Q$4*56)*$Q$3^2))</f>
        <v>0.66270440377049966</v>
      </c>
      <c r="O52" s="371">
        <f>(N52*$Q$3)*SQRT(4*$Q$5*$Q$6/32.2)/12</f>
        <v>24.955609065839386</v>
      </c>
      <c r="P52" s="371">
        <f t="shared" si="4"/>
        <v>499.11218131678771</v>
      </c>
    </row>
    <row r="53" spans="1:16" ht="14.1" customHeight="1" x14ac:dyDescent="0.2">
      <c r="B53" s="17">
        <v>21</v>
      </c>
      <c r="C53" s="326">
        <f>(C$30*B53)+C$31</f>
        <v>524.02</v>
      </c>
      <c r="E53" s="17">
        <v>21</v>
      </c>
      <c r="F53" s="287">
        <f t="shared" si="1"/>
        <v>524.01999999999987</v>
      </c>
      <c r="G53" s="287"/>
      <c r="H53" s="17">
        <v>21</v>
      </c>
      <c r="I53" s="227">
        <f t="shared" si="2"/>
        <v>0</v>
      </c>
      <c r="K53" s="17">
        <v>21</v>
      </c>
      <c r="L53" s="287">
        <f t="shared" si="5"/>
        <v>524.01999999999987</v>
      </c>
      <c r="M53" s="227">
        <f t="shared" si="3"/>
        <v>24.953333333333326</v>
      </c>
      <c r="N53" s="377">
        <f>SQRT(12*32.2*M53^2/(4*$Q$5*($Q$4*56)*$Q$3^2))</f>
        <v>0.66262828029720877</v>
      </c>
      <c r="O53" s="227">
        <f>(N53*$Q$3)*SQRT(4*$Q$5*$Q$6/32.2)/12</f>
        <v>24.952742467052094</v>
      </c>
      <c r="P53" s="227">
        <f t="shared" si="4"/>
        <v>524.00759180809393</v>
      </c>
    </row>
    <row r="54" spans="1:16" ht="14.1" customHeight="1" x14ac:dyDescent="0.2">
      <c r="B54" s="17">
        <v>22</v>
      </c>
      <c r="C54" s="326">
        <f>(C$30*B54)+C$31</f>
        <v>548.91599999999994</v>
      </c>
      <c r="E54" s="17">
        <v>22</v>
      </c>
      <c r="F54" s="287">
        <f t="shared" si="1"/>
        <v>548.91599999999983</v>
      </c>
      <c r="G54" s="287"/>
      <c r="H54" s="17">
        <v>22</v>
      </c>
      <c r="I54" s="227">
        <f t="shared" si="2"/>
        <v>0</v>
      </c>
      <c r="K54" s="17">
        <v>22</v>
      </c>
      <c r="L54" s="287">
        <f t="shared" si="5"/>
        <v>548.91599999999983</v>
      </c>
      <c r="M54" s="227">
        <f t="shared" si="3"/>
        <v>24.950727272727264</v>
      </c>
      <c r="N54" s="377">
        <f>SQRT(12*32.2*M54^2/(4*$Q$5*($Q$4*56)*$Q$3^2))</f>
        <v>0.66255907713967155</v>
      </c>
      <c r="O54" s="227">
        <f>(N54*$Q$3)*SQRT(4*$Q$5*$Q$6/32.2)/12</f>
        <v>24.950136468154554</v>
      </c>
      <c r="P54" s="227">
        <f t="shared" si="4"/>
        <v>548.90300229940021</v>
      </c>
    </row>
    <row r="55" spans="1:16" ht="14.1" customHeight="1" x14ac:dyDescent="0.2">
      <c r="B55" s="17">
        <v>23</v>
      </c>
      <c r="C55" s="326">
        <f>(C$30*B55)+C$31</f>
        <v>573.8119999999999</v>
      </c>
      <c r="E55" s="17">
        <v>23</v>
      </c>
      <c r="F55" s="287">
        <f t="shared" si="1"/>
        <v>573.81199999999978</v>
      </c>
      <c r="G55" s="287"/>
      <c r="H55" s="17">
        <v>23</v>
      </c>
      <c r="I55" s="227">
        <f t="shared" si="2"/>
        <v>0</v>
      </c>
      <c r="K55" s="17">
        <v>23</v>
      </c>
      <c r="L55" s="287">
        <f t="shared" si="5"/>
        <v>573.81199999999978</v>
      </c>
      <c r="M55" s="227">
        <f t="shared" si="3"/>
        <v>24.948347826086948</v>
      </c>
      <c r="N55" s="377">
        <f>SQRT(12*32.2*M55^2/(4*$Q$5*($Q$4*56)*$Q$3^2))</f>
        <v>0.66249589164800726</v>
      </c>
      <c r="O55" s="227">
        <f>(N55*$Q$3)*SQRT(4*$Q$5*$Q$6/32.2)/12</f>
        <v>24.947757077856807</v>
      </c>
      <c r="P55" s="227">
        <f t="shared" si="4"/>
        <v>573.79841279070661</v>
      </c>
    </row>
    <row r="56" spans="1:16" ht="14.1" customHeight="1" x14ac:dyDescent="0.2">
      <c r="B56" s="17">
        <v>24</v>
      </c>
      <c r="C56" s="326">
        <f>(C$30*B56)+C$31</f>
        <v>598.70799999999997</v>
      </c>
      <c r="E56" s="17">
        <v>24</v>
      </c>
      <c r="F56" s="287">
        <f t="shared" si="1"/>
        <v>598.70799999999997</v>
      </c>
      <c r="G56" s="287"/>
      <c r="H56" s="17">
        <v>24</v>
      </c>
      <c r="I56" s="227">
        <f t="shared" si="2"/>
        <v>0</v>
      </c>
      <c r="K56" s="17">
        <v>24</v>
      </c>
      <c r="L56" s="287">
        <f t="shared" si="5"/>
        <v>598.70799999999997</v>
      </c>
      <c r="M56" s="227">
        <f t="shared" si="3"/>
        <v>24.946166666666667</v>
      </c>
      <c r="N56" s="377">
        <f>SQRT(12*32.2*M56^2/(4*$Q$5*($Q$4*56)*$Q$3^2))</f>
        <v>0.66243797161398177</v>
      </c>
      <c r="O56" s="227">
        <f>(N56*$Q$3)*SQRT(4*$Q$5*$Q$6/32.2)/12</f>
        <v>24.945575970083876</v>
      </c>
      <c r="P56" s="227">
        <f t="shared" si="4"/>
        <v>598.693823282013</v>
      </c>
    </row>
    <row r="57" spans="1:16" ht="14.1" customHeight="1" x14ac:dyDescent="0.2">
      <c r="B57" s="311">
        <v>25</v>
      </c>
      <c r="C57" s="326">
        <f>(C$30*B57)+C$31</f>
        <v>623.60399999999993</v>
      </c>
      <c r="E57" s="17">
        <v>25</v>
      </c>
      <c r="F57" s="287">
        <f t="shared" si="1"/>
        <v>623.60399999999993</v>
      </c>
      <c r="G57" s="287"/>
      <c r="H57" s="17">
        <v>25</v>
      </c>
      <c r="I57" s="227">
        <f t="shared" si="2"/>
        <v>0</v>
      </c>
      <c r="K57" s="17">
        <v>25</v>
      </c>
      <c r="L57" s="287">
        <f t="shared" si="5"/>
        <v>623.60399999999993</v>
      </c>
      <c r="M57" s="227">
        <f t="shared" si="3"/>
        <v>24.944159999999997</v>
      </c>
      <c r="N57" s="377">
        <f>SQRT(12*32.2*M57^2/(4*$Q$5*($Q$4*56)*$Q$3^2))</f>
        <v>0.66238468518267801</v>
      </c>
      <c r="O57" s="227">
        <f>(N57*$Q$3)*SQRT(4*$Q$5*$Q$6/32.2)/12</f>
        <v>24.943569350932766</v>
      </c>
      <c r="P57" s="227">
        <f t="shared" si="4"/>
        <v>623.58923377331917</v>
      </c>
    </row>
    <row r="58" spans="1:16" ht="14.1" customHeight="1" x14ac:dyDescent="0.2">
      <c r="A58" s="236"/>
      <c r="B58" s="327">
        <v>26</v>
      </c>
      <c r="C58" s="328">
        <f>(C$30*B58)+C$31</f>
        <v>648.5</v>
      </c>
      <c r="D58" s="237"/>
      <c r="E58" s="327">
        <v>26</v>
      </c>
      <c r="F58" s="329">
        <f t="shared" si="1"/>
        <v>648.49999999999989</v>
      </c>
      <c r="G58" s="329"/>
      <c r="H58" s="327">
        <v>26</v>
      </c>
      <c r="I58" s="336">
        <f t="shared" si="2"/>
        <v>0</v>
      </c>
      <c r="J58" s="237"/>
      <c r="K58" s="327">
        <v>26</v>
      </c>
      <c r="L58" s="287">
        <f t="shared" si="5"/>
        <v>648.49999999999989</v>
      </c>
      <c r="M58" s="367">
        <f t="shared" si="3"/>
        <v>24.942307692307686</v>
      </c>
      <c r="N58" s="377">
        <f>SQRT(12*32.2*M58^2/(4*$Q$5*($Q$4*56)*$Q$3^2))</f>
        <v>0.66233549770762845</v>
      </c>
      <c r="O58" s="227">
        <f>(N58*$Q$3)*SQRT(4*$Q$5*$Q$6/32.2)/12</f>
        <v>24.941717087100972</v>
      </c>
      <c r="P58" s="227">
        <f t="shared" si="4"/>
        <v>648.48464426462533</v>
      </c>
    </row>
    <row r="59" spans="1:16" ht="14.1" customHeight="1" x14ac:dyDescent="0.2">
      <c r="B59" s="17">
        <v>27</v>
      </c>
      <c r="C59" s="326">
        <f>(C$30*B59)+C$31</f>
        <v>673.39599999999996</v>
      </c>
      <c r="E59" s="17">
        <v>27</v>
      </c>
      <c r="F59" s="287">
        <f t="shared" si="1"/>
        <v>673.39599999999996</v>
      </c>
      <c r="G59" s="287"/>
      <c r="H59" s="17">
        <v>27</v>
      </c>
      <c r="I59" s="227">
        <f t="shared" si="2"/>
        <v>0</v>
      </c>
      <c r="K59" s="17">
        <v>27</v>
      </c>
      <c r="L59" s="287">
        <f t="shared" si="5"/>
        <v>673.39599999999996</v>
      </c>
      <c r="M59" s="227">
        <f t="shared" si="3"/>
        <v>24.940592592592591</v>
      </c>
      <c r="N59" s="377">
        <f>SQRT(12*32.2*M59^2/(4*$Q$5*($Q$4*56)*$Q$3^2))</f>
        <v>0.66228995374924937</v>
      </c>
      <c r="O59" s="227">
        <f>(N59*$Q$3)*SQRT(4*$Q$5*$Q$6/32.2)/12</f>
        <v>24.940002027997469</v>
      </c>
      <c r="P59" s="227">
        <f t="shared" si="4"/>
        <v>673.38005475593161</v>
      </c>
    </row>
    <row r="60" spans="1:16" ht="14.1" customHeight="1" x14ac:dyDescent="0.2">
      <c r="B60" s="17">
        <v>28</v>
      </c>
      <c r="C60" s="326">
        <f>(C$30*B60)+C$31</f>
        <v>698.29199999999992</v>
      </c>
      <c r="E60" s="17">
        <v>28</v>
      </c>
      <c r="F60" s="287">
        <f t="shared" si="1"/>
        <v>698.29199999999992</v>
      </c>
      <c r="G60" s="287"/>
      <c r="H60" s="17">
        <v>28</v>
      </c>
      <c r="I60" s="227">
        <f t="shared" si="2"/>
        <v>0</v>
      </c>
      <c r="K60" s="17">
        <v>28</v>
      </c>
      <c r="L60" s="287">
        <f t="shared" si="5"/>
        <v>698.29199999999992</v>
      </c>
      <c r="M60" s="227">
        <f t="shared" si="3"/>
        <v>24.938999999999997</v>
      </c>
      <c r="N60" s="377">
        <f>SQRT(12*32.2*M60^2/(4*$Q$5*($Q$4*56)*$Q$3^2))</f>
        <v>0.66224766293075443</v>
      </c>
      <c r="O60" s="227">
        <f>(N60*$Q$3)*SQRT(4*$Q$5*$Q$6/32.2)/12</f>
        <v>24.938409473115641</v>
      </c>
      <c r="P60" s="227">
        <f t="shared" si="4"/>
        <v>698.27546524723789</v>
      </c>
    </row>
    <row r="61" spans="1:16" ht="14.1" customHeight="1" x14ac:dyDescent="0.2">
      <c r="B61" s="17">
        <v>29</v>
      </c>
      <c r="C61" s="326">
        <f>(C$30*B61)+C$31</f>
        <v>723.18799999999999</v>
      </c>
      <c r="E61" s="17">
        <v>29</v>
      </c>
      <c r="F61" s="287">
        <f t="shared" si="1"/>
        <v>723.18799999999987</v>
      </c>
      <c r="G61" s="287"/>
      <c r="H61" s="17">
        <v>29</v>
      </c>
      <c r="I61" s="227">
        <f t="shared" si="2"/>
        <v>0</v>
      </c>
      <c r="K61" s="17">
        <v>29</v>
      </c>
      <c r="L61" s="287">
        <f t="shared" si="5"/>
        <v>723.18799999999987</v>
      </c>
      <c r="M61" s="227">
        <f t="shared" si="3"/>
        <v>24.937517241379307</v>
      </c>
      <c r="N61" s="377">
        <f>SQRT(12*32.2*M61^2/(4*$Q$5*($Q$4*56)*$Q$3^2))</f>
        <v>0.66220828872043158</v>
      </c>
      <c r="O61" s="227">
        <f>(N61*$Q$3)*SQRT(4*$Q$5*$Q$6/32.2)/12</f>
        <v>24.936926749604975</v>
      </c>
      <c r="P61" s="227">
        <f t="shared" si="4"/>
        <v>723.17087573854428</v>
      </c>
    </row>
    <row r="62" spans="1:16" ht="14.1" customHeight="1" x14ac:dyDescent="0.2">
      <c r="B62" s="17">
        <v>30</v>
      </c>
      <c r="C62" s="326">
        <f>(C$30*B62)+C$31</f>
        <v>748.08399999999995</v>
      </c>
      <c r="E62" s="17">
        <v>30</v>
      </c>
      <c r="F62" s="287">
        <f t="shared" si="1"/>
        <v>748.08399999999983</v>
      </c>
      <c r="G62" s="287"/>
      <c r="H62" s="17">
        <v>30</v>
      </c>
      <c r="I62" s="227">
        <f t="shared" si="2"/>
        <v>0</v>
      </c>
      <c r="K62" s="369">
        <v>30</v>
      </c>
      <c r="L62" s="370">
        <f t="shared" si="5"/>
        <v>748.08399999999983</v>
      </c>
      <c r="M62" s="371">
        <f t="shared" si="3"/>
        <v>24.936133333333327</v>
      </c>
      <c r="N62" s="376">
        <f>SQRT(12*32.2*M62^2/(4*$Q$5*($Q$4*56)*$Q$3^2))</f>
        <v>0.66217153945746354</v>
      </c>
      <c r="O62" s="371">
        <f>(N62*$Q$3)*SQRT(4*$Q$5*$Q$6/32.2)/12</f>
        <v>24.935542874328348</v>
      </c>
      <c r="P62" s="371">
        <f t="shared" si="4"/>
        <v>748.06628622985045</v>
      </c>
    </row>
    <row r="63" spans="1:16" ht="14.1" customHeight="1" x14ac:dyDescent="0.2">
      <c r="B63" s="17">
        <v>31</v>
      </c>
      <c r="C63" s="326">
        <f>(C$30*B63)+C$31</f>
        <v>772.98</v>
      </c>
      <c r="E63" s="17">
        <v>31</v>
      </c>
      <c r="F63" s="287">
        <f t="shared" si="1"/>
        <v>772.98</v>
      </c>
      <c r="G63" s="287"/>
      <c r="H63" s="17">
        <v>31</v>
      </c>
      <c r="I63" s="227">
        <f t="shared" si="2"/>
        <v>0</v>
      </c>
      <c r="K63" s="17">
        <v>31</v>
      </c>
      <c r="L63" s="287">
        <f t="shared" si="5"/>
        <v>772.98</v>
      </c>
      <c r="M63" s="227">
        <f t="shared" si="3"/>
        <v>24.934838709677418</v>
      </c>
      <c r="N63" s="377">
        <f>SQRT(12*32.2*M63^2/(4*$Q$5*($Q$4*56)*$Q$3^2))</f>
        <v>0.66213716111468712</v>
      </c>
      <c r="O63" s="227">
        <f>(N63*$Q$3)*SQRT(4*$Q$5*$Q$6/32.2)/12</f>
        <v>24.93424828132764</v>
      </c>
      <c r="P63" s="227">
        <f t="shared" si="4"/>
        <v>772.96169672115684</v>
      </c>
    </row>
    <row r="64" spans="1:16" ht="14.1" customHeight="1" x14ac:dyDescent="0.2">
      <c r="B64" s="17">
        <v>32</v>
      </c>
      <c r="C64" s="326">
        <f>(C$30*B64)+C$31</f>
        <v>797.87599999999998</v>
      </c>
      <c r="E64" s="17">
        <v>32</v>
      </c>
      <c r="F64" s="287">
        <f t="shared" si="1"/>
        <v>797.87599999999998</v>
      </c>
      <c r="G64" s="287"/>
      <c r="H64" s="17">
        <v>32</v>
      </c>
      <c r="I64" s="227">
        <f t="shared" si="2"/>
        <v>0</v>
      </c>
      <c r="K64" s="17">
        <v>32</v>
      </c>
      <c r="L64" s="287">
        <f t="shared" si="5"/>
        <v>797.87599999999998</v>
      </c>
      <c r="M64" s="227">
        <f t="shared" si="3"/>
        <v>24.933624999999999</v>
      </c>
      <c r="N64" s="377">
        <f>SQRT(12*32.2*M64^2/(4*$Q$5*($Q$4*56)*$Q$3^2))</f>
        <v>0.66210493141833415</v>
      </c>
      <c r="O64" s="227">
        <f>(N64*$Q$3)*SQRT(4*$Q$5*$Q$6/32.2)/12</f>
        <v>24.933034600389476</v>
      </c>
      <c r="P64" s="227">
        <f t="shared" si="4"/>
        <v>797.85710721246323</v>
      </c>
    </row>
    <row r="65" spans="2:16" ht="14.1" customHeight="1" x14ac:dyDescent="0.2">
      <c r="B65" s="17">
        <v>33</v>
      </c>
      <c r="C65" s="326">
        <f>(C$30*B65)+C$31</f>
        <v>822.77199999999993</v>
      </c>
      <c r="E65" s="17">
        <v>33</v>
      </c>
      <c r="F65" s="287">
        <f t="shared" si="1"/>
        <v>822.77199999999993</v>
      </c>
      <c r="G65" s="287"/>
      <c r="H65" s="17">
        <v>33</v>
      </c>
      <c r="I65" s="227">
        <f t="shared" si="2"/>
        <v>0</v>
      </c>
      <c r="K65" s="17">
        <v>33</v>
      </c>
      <c r="L65" s="287">
        <f t="shared" si="5"/>
        <v>822.77199999999993</v>
      </c>
      <c r="M65" s="227">
        <f t="shared" si="3"/>
        <v>24.932484848484847</v>
      </c>
      <c r="N65" s="377">
        <f>SQRT(12*32.2*M65^2/(4*$Q$5*($Q$4*56)*$Q$3^2))</f>
        <v>0.66207465503691165</v>
      </c>
      <c r="O65" s="227">
        <f>(N65*$Q$3)*SQRT(4*$Q$5*$Q$6/32.2)/12</f>
        <v>24.9318944758718</v>
      </c>
      <c r="P65" s="227">
        <f t="shared" si="4"/>
        <v>822.7525177037694</v>
      </c>
    </row>
    <row r="66" spans="2:16" ht="14.1" customHeight="1" x14ac:dyDescent="0.2">
      <c r="B66" s="17">
        <v>34</v>
      </c>
      <c r="C66" s="326">
        <f>(C$30*B66)+C$31</f>
        <v>847.66800000000001</v>
      </c>
      <c r="E66" s="17">
        <v>34</v>
      </c>
      <c r="F66" s="287">
        <f t="shared" si="1"/>
        <v>847.66800000000001</v>
      </c>
      <c r="G66" s="287"/>
      <c r="H66" s="17">
        <v>34</v>
      </c>
      <c r="I66" s="227">
        <f t="shared" si="2"/>
        <v>0</v>
      </c>
      <c r="K66" s="17">
        <v>34</v>
      </c>
      <c r="L66" s="287">
        <f t="shared" si="5"/>
        <v>847.66800000000001</v>
      </c>
      <c r="M66" s="227">
        <f t="shared" si="3"/>
        <v>24.931411764705881</v>
      </c>
      <c r="N66" s="377">
        <f>SQRT(12*32.2*M66^2/(4*$Q$5*($Q$4*56)*$Q$3^2))</f>
        <v>0.66204615961910218</v>
      </c>
      <c r="O66" s="227">
        <f>(N66*$Q$3)*SQRT(4*$Q$5*$Q$6/32.2)/12</f>
        <v>24.930821417502226</v>
      </c>
      <c r="P66" s="227">
        <f t="shared" si="4"/>
        <v>847.64792819507568</v>
      </c>
    </row>
    <row r="67" spans="2:16" ht="14.1" customHeight="1" x14ac:dyDescent="0.2">
      <c r="B67" s="17">
        <v>35</v>
      </c>
      <c r="C67" s="326">
        <f>(C$30*B67)+C$31</f>
        <v>872.56399999999996</v>
      </c>
      <c r="E67" s="17">
        <v>35</v>
      </c>
      <c r="F67" s="287">
        <f t="shared" si="1"/>
        <v>872.56399999999996</v>
      </c>
      <c r="G67" s="287"/>
      <c r="H67" s="17">
        <v>35</v>
      </c>
      <c r="I67" s="227">
        <f t="shared" si="2"/>
        <v>0</v>
      </c>
      <c r="K67" s="17">
        <v>35</v>
      </c>
      <c r="L67" s="287">
        <f t="shared" si="5"/>
        <v>872.56399999999996</v>
      </c>
      <c r="M67" s="227">
        <f t="shared" si="3"/>
        <v>24.930399999999999</v>
      </c>
      <c r="N67" s="377">
        <f>SQRT(12*32.2*M67^2/(4*$Q$5*($Q$4*56)*$Q$3^2))</f>
        <v>0.66201929251088187</v>
      </c>
      <c r="O67" s="227">
        <f>(N67*$Q$3)*SQRT(4*$Q$5*$Q$6/32.2)/12</f>
        <v>24.929809676753774</v>
      </c>
      <c r="P67" s="227">
        <f t="shared" si="4"/>
        <v>872.54333868638207</v>
      </c>
    </row>
    <row r="68" spans="2:16" ht="14.1" customHeight="1" x14ac:dyDescent="0.2">
      <c r="B68" s="17">
        <v>36</v>
      </c>
      <c r="C68" s="326">
        <f>(C$30*B68)+C$31</f>
        <v>897.46</v>
      </c>
      <c r="E68" s="17">
        <v>36</v>
      </c>
      <c r="F68" s="287">
        <f t="shared" si="1"/>
        <v>897.45999999999992</v>
      </c>
      <c r="G68" s="287"/>
      <c r="H68" s="17">
        <v>36</v>
      </c>
      <c r="I68" s="227">
        <f t="shared" si="2"/>
        <v>0</v>
      </c>
      <c r="K68" s="17">
        <v>36</v>
      </c>
      <c r="L68" s="287">
        <f t="shared" si="5"/>
        <v>897.45999999999992</v>
      </c>
      <c r="M68" s="227">
        <f t="shared" si="3"/>
        <v>24.929444444444442</v>
      </c>
      <c r="N68" s="377">
        <f>SQRT(12*32.2*M68^2/(4*$Q$5*($Q$4*56)*$Q$3^2))</f>
        <v>0.6619939180197848</v>
      </c>
      <c r="O68" s="227">
        <f>(N68*$Q$3)*SQRT(4*$Q$5*$Q$6/32.2)/12</f>
        <v>24.928854143824669</v>
      </c>
      <c r="P68" s="227">
        <f t="shared" si="4"/>
        <v>897.43874917768812</v>
      </c>
    </row>
    <row r="69" spans="2:16" ht="14.1" customHeight="1" x14ac:dyDescent="0.2">
      <c r="B69" s="17">
        <v>37</v>
      </c>
      <c r="C69" s="326">
        <f>(C$30*B69)+C$31</f>
        <v>922.35599999999999</v>
      </c>
      <c r="E69" s="17">
        <v>37</v>
      </c>
      <c r="F69" s="287">
        <f t="shared" si="1"/>
        <v>922.35599999999999</v>
      </c>
      <c r="G69" s="287"/>
      <c r="H69" s="17">
        <v>37</v>
      </c>
      <c r="I69" s="227">
        <f t="shared" si="2"/>
        <v>0</v>
      </c>
      <c r="K69" s="17">
        <v>37</v>
      </c>
      <c r="L69" s="287">
        <f t="shared" si="5"/>
        <v>922.35599999999999</v>
      </c>
      <c r="M69" s="227">
        <f t="shared" si="3"/>
        <v>24.928540540540542</v>
      </c>
      <c r="N69" s="377">
        <f>SQRT(12*32.2*M69^2/(4*$Q$5*($Q$4*56)*$Q$3^2))</f>
        <v>0.66196991512280123</v>
      </c>
      <c r="O69" s="227">
        <f>(N69*$Q$3)*SQRT(4*$Q$5*$Q$6/32.2)/12</f>
        <v>24.927950261324174</v>
      </c>
      <c r="P69" s="227">
        <f t="shared" si="4"/>
        <v>922.3341596689944</v>
      </c>
    </row>
    <row r="70" spans="2:16" ht="14.1" customHeight="1" x14ac:dyDescent="0.2">
      <c r="B70" s="17">
        <v>38</v>
      </c>
      <c r="C70" s="326">
        <f>(C$30*B70)+C$31</f>
        <v>947.25199999999995</v>
      </c>
      <c r="E70" s="17">
        <v>38</v>
      </c>
      <c r="F70" s="287">
        <f t="shared" si="1"/>
        <v>947.25200000000007</v>
      </c>
      <c r="G70" s="287"/>
      <c r="H70" s="17">
        <v>38</v>
      </c>
      <c r="I70" s="227">
        <f t="shared" si="2"/>
        <v>0</v>
      </c>
      <c r="K70" s="17">
        <v>38</v>
      </c>
      <c r="L70" s="287">
        <f t="shared" si="5"/>
        <v>947.25200000000007</v>
      </c>
      <c r="M70" s="227">
        <f t="shared" si="3"/>
        <v>24.927684210526319</v>
      </c>
      <c r="N70" s="377">
        <f>SQRT(12*32.2*M70^2/(4*$Q$5*($Q$4*56)*$Q$3^2))</f>
        <v>0.66194717553618532</v>
      </c>
      <c r="O70" s="227">
        <f>(N70*$Q$3)*SQRT(4*$Q$5*$Q$6/32.2)/12</f>
        <v>24.927093951586865</v>
      </c>
      <c r="P70" s="227">
        <f t="shared" si="4"/>
        <v>947.22957016030091</v>
      </c>
    </row>
    <row r="71" spans="2:16" ht="14.1" customHeight="1" x14ac:dyDescent="0.2">
      <c r="B71" s="17">
        <v>39</v>
      </c>
      <c r="C71" s="326">
        <f>(C$30*B71)+C$31</f>
        <v>972.14800000000002</v>
      </c>
      <c r="E71" s="17">
        <v>39</v>
      </c>
      <c r="F71" s="287">
        <f t="shared" si="1"/>
        <v>972.14800000000002</v>
      </c>
      <c r="G71" s="287"/>
      <c r="H71" s="17">
        <v>39</v>
      </c>
      <c r="I71" s="227">
        <f t="shared" si="2"/>
        <v>0</v>
      </c>
      <c r="K71" s="17">
        <v>39</v>
      </c>
      <c r="L71" s="287">
        <f t="shared" si="5"/>
        <v>972.14800000000002</v>
      </c>
      <c r="M71" s="227">
        <f t="shared" si="3"/>
        <v>24.926871794871797</v>
      </c>
      <c r="N71" s="377">
        <f>SQRT(12*32.2*M71^2/(4*$Q$5*($Q$4*56)*$Q$3^2))</f>
        <v>0.66192560208221618</v>
      </c>
      <c r="O71" s="227">
        <f>(N71*$Q$3)*SQRT(4*$Q$5*$Q$6/32.2)/12</f>
        <v>24.92628155516941</v>
      </c>
      <c r="P71" s="227">
        <f t="shared" si="4"/>
        <v>972.12498065160696</v>
      </c>
    </row>
    <row r="72" spans="2:16" ht="14.1" customHeight="1" x14ac:dyDescent="0.2">
      <c r="B72" s="17">
        <v>40</v>
      </c>
      <c r="C72" s="326">
        <f>(C$30*B72)+C$31</f>
        <v>997.04399999999998</v>
      </c>
      <c r="E72" s="17">
        <v>40</v>
      </c>
      <c r="F72" s="287">
        <f t="shared" si="1"/>
        <v>997.04399999999998</v>
      </c>
      <c r="G72" s="287"/>
      <c r="H72" s="17">
        <v>40</v>
      </c>
      <c r="I72" s="227">
        <f t="shared" si="2"/>
        <v>0</v>
      </c>
      <c r="K72" s="369">
        <v>40</v>
      </c>
      <c r="L72" s="370">
        <f t="shared" si="5"/>
        <v>997.04399999999998</v>
      </c>
      <c r="M72" s="371">
        <f t="shared" si="3"/>
        <v>24.926099999999998</v>
      </c>
      <c r="N72" s="376">
        <f>SQRT(12*32.2*M72^2/(4*$Q$5*($Q$4*56)*$Q$3^2))</f>
        <v>0.66190510730094543</v>
      </c>
      <c r="O72" s="371">
        <f>(N72*$Q$3)*SQRT(4*$Q$5*$Q$6/32.2)/12</f>
        <v>24.925509778572831</v>
      </c>
      <c r="P72" s="371">
        <f t="shared" si="4"/>
        <v>997.02039114291324</v>
      </c>
    </row>
    <row r="73" spans="2:16" ht="14.1" customHeight="1" x14ac:dyDescent="0.2">
      <c r="B73" s="17">
        <v>41</v>
      </c>
      <c r="C73" s="326">
        <f>(C$30*B73)+C$31</f>
        <v>1021.94</v>
      </c>
      <c r="E73" s="17">
        <v>41</v>
      </c>
      <c r="F73" s="287">
        <f t="shared" si="1"/>
        <v>1021.94</v>
      </c>
      <c r="G73" s="287"/>
      <c r="H73" s="17">
        <v>41</v>
      </c>
      <c r="I73" s="227">
        <f t="shared" si="2"/>
        <v>0</v>
      </c>
      <c r="K73" s="17">
        <v>41</v>
      </c>
      <c r="L73" s="287">
        <f t="shared" si="5"/>
        <v>1021.94</v>
      </c>
      <c r="M73" s="227">
        <f t="shared" si="3"/>
        <v>24.925365853658537</v>
      </c>
      <c r="N73" s="377">
        <f>SQRT(12*32.2*M73^2/(4*$Q$5*($Q$4*56)*$Q$3^2))</f>
        <v>0.66188561226510279</v>
      </c>
      <c r="O73" s="227">
        <f>(N73*$Q$3)*SQRT(4*$Q$5*$Q$6/32.2)/12</f>
        <v>24.924775649615114</v>
      </c>
      <c r="P73" s="227">
        <f t="shared" si="4"/>
        <v>1021.9158016342196</v>
      </c>
    </row>
    <row r="74" spans="2:16" ht="14.1" customHeight="1" x14ac:dyDescent="0.2">
      <c r="B74" s="17">
        <v>42</v>
      </c>
      <c r="C74" s="326">
        <f>(C$30*B74)+C$31</f>
        <v>1046.8360000000002</v>
      </c>
      <c r="E74" s="17">
        <v>42</v>
      </c>
      <c r="F74" s="287">
        <f t="shared" si="1"/>
        <v>1046.836</v>
      </c>
      <c r="G74" s="287"/>
      <c r="H74" s="17">
        <v>42</v>
      </c>
      <c r="I74" s="227">
        <f t="shared" si="2"/>
        <v>0</v>
      </c>
      <c r="K74" s="17">
        <v>42</v>
      </c>
      <c r="L74" s="287">
        <f t="shared" si="5"/>
        <v>1046.836</v>
      </c>
      <c r="M74" s="227">
        <f t="shared" si="3"/>
        <v>24.924666666666667</v>
      </c>
      <c r="N74" s="377">
        <f>SQRT(12*32.2*M74^2/(4*$Q$5*($Q$4*56)*$Q$3^2))</f>
        <v>0.66186704556430009</v>
      </c>
      <c r="O74" s="227">
        <f>(N74*$Q$3)*SQRT(4*$Q$5*$Q$6/32.2)/12</f>
        <v>24.924076479179188</v>
      </c>
      <c r="P74" s="227">
        <f t="shared" si="4"/>
        <v>1046.8112121255258</v>
      </c>
    </row>
    <row r="75" spans="2:16" ht="14.1" customHeight="1" x14ac:dyDescent="0.2">
      <c r="B75" s="17">
        <v>43</v>
      </c>
      <c r="C75" s="326">
        <f>(C$30*B75)+C$31</f>
        <v>1071.732</v>
      </c>
      <c r="E75" s="17">
        <v>43</v>
      </c>
      <c r="F75" s="287">
        <f t="shared" si="1"/>
        <v>1071.732</v>
      </c>
      <c r="G75" s="287"/>
      <c r="H75" s="17">
        <v>43</v>
      </c>
      <c r="I75" s="227">
        <f t="shared" si="2"/>
        <v>0</v>
      </c>
      <c r="K75" s="17">
        <v>43</v>
      </c>
      <c r="L75" s="287">
        <f t="shared" si="5"/>
        <v>1071.732</v>
      </c>
      <c r="M75" s="227">
        <f t="shared" si="3"/>
        <v>24.923999999999999</v>
      </c>
      <c r="N75" s="377">
        <f>SQRT(12*32.2*M75^2/(4*$Q$5*($Q$4*56)*$Q$3^2))</f>
        <v>0.66184934243097659</v>
      </c>
      <c r="O75" s="227">
        <f>(N75*$Q$3)*SQRT(4*$Q$5*$Q$6/32.2)/12</f>
        <v>24.923409828298421</v>
      </c>
      <c r="P75" s="227">
        <f t="shared" si="4"/>
        <v>1071.7066226168322</v>
      </c>
    </row>
    <row r="76" spans="2:16" ht="14.1" customHeight="1" x14ac:dyDescent="0.2">
      <c r="B76" s="17">
        <v>44</v>
      </c>
      <c r="C76" s="326">
        <f>(C$30*B76)+C$31</f>
        <v>1096.6280000000002</v>
      </c>
      <c r="E76" s="17">
        <v>44</v>
      </c>
      <c r="F76" s="287">
        <f t="shared" si="1"/>
        <v>1096.6280000000002</v>
      </c>
      <c r="G76" s="287"/>
      <c r="H76" s="17">
        <v>44</v>
      </c>
      <c r="I76" s="227">
        <f t="shared" si="2"/>
        <v>0</v>
      </c>
      <c r="K76" s="17">
        <v>44</v>
      </c>
      <c r="L76" s="287">
        <f t="shared" si="5"/>
        <v>1096.6280000000002</v>
      </c>
      <c r="M76" s="227">
        <f t="shared" si="3"/>
        <v>24.923363636363639</v>
      </c>
      <c r="N76" s="377">
        <f>SQRT(12*32.2*M76^2/(4*$Q$5*($Q$4*56)*$Q$3^2))</f>
        <v>0.66183244398553165</v>
      </c>
      <c r="O76" s="227">
        <f>(N76*$Q$3)*SQRT(4*$Q$5*$Q$6/32.2)/12</f>
        <v>24.922773479730424</v>
      </c>
      <c r="P76" s="227">
        <f t="shared" si="4"/>
        <v>1096.6020331081386</v>
      </c>
    </row>
    <row r="77" spans="2:16" ht="14.1" customHeight="1" x14ac:dyDescent="0.2">
      <c r="B77" s="17">
        <v>45</v>
      </c>
      <c r="C77" s="326">
        <f>(C$30*B77)+C$31</f>
        <v>1121.5239999999999</v>
      </c>
      <c r="E77" s="17">
        <v>45</v>
      </c>
      <c r="F77" s="287">
        <f t="shared" si="1"/>
        <v>1121.5240000000001</v>
      </c>
      <c r="G77" s="287"/>
      <c r="H77" s="17">
        <v>45</v>
      </c>
      <c r="I77" s="227">
        <f t="shared" si="2"/>
        <v>0</v>
      </c>
      <c r="K77" s="17">
        <v>45</v>
      </c>
      <c r="L77" s="287">
        <f t="shared" si="5"/>
        <v>1121.5240000000001</v>
      </c>
      <c r="M77" s="227">
        <f t="shared" si="3"/>
        <v>24.922755555555558</v>
      </c>
      <c r="N77" s="377">
        <f>SQRT(12*32.2*M77^2/(4*$Q$5*($Q$4*56)*$Q$3^2))</f>
        <v>0.66181629658210617</v>
      </c>
      <c r="O77" s="227">
        <f>(N77*$Q$3)*SQRT(4*$Q$5*$Q$6/32.2)/12</f>
        <v>24.922165413320993</v>
      </c>
      <c r="P77" s="227">
        <f t="shared" si="4"/>
        <v>1121.4974435994448</v>
      </c>
    </row>
    <row r="78" spans="2:16" ht="14.1" customHeight="1" x14ac:dyDescent="0.2">
      <c r="B78" s="17">
        <v>46</v>
      </c>
      <c r="C78" s="326">
        <f>(C$30*B78)+C$31</f>
        <v>1146.42</v>
      </c>
      <c r="E78" s="17">
        <v>46</v>
      </c>
      <c r="F78" s="287">
        <f t="shared" si="1"/>
        <v>1146.42</v>
      </c>
      <c r="G78" s="287"/>
      <c r="H78" s="17">
        <v>46</v>
      </c>
      <c r="I78" s="227">
        <f t="shared" si="2"/>
        <v>0</v>
      </c>
      <c r="K78" s="17">
        <v>46</v>
      </c>
      <c r="L78" s="287">
        <f t="shared" si="5"/>
        <v>1146.42</v>
      </c>
      <c r="M78" s="227">
        <f t="shared" si="3"/>
        <v>24.92217391304348</v>
      </c>
      <c r="N78" s="377">
        <f>SQRT(12*32.2*M78^2/(4*$Q$5*($Q$4*56)*$Q$3^2))</f>
        <v>0.66180085123969934</v>
      </c>
      <c r="O78" s="227">
        <f>(N78*$Q$3)*SQRT(4*$Q$5*$Q$6/32.2)/12</f>
        <v>24.921583784581543</v>
      </c>
      <c r="P78" s="227">
        <f t="shared" si="4"/>
        <v>1146.3928540907509</v>
      </c>
    </row>
    <row r="79" spans="2:16" ht="14.1" customHeight="1" x14ac:dyDescent="0.2">
      <c r="B79" s="17">
        <v>47</v>
      </c>
      <c r="C79" s="326">
        <f>(C$30*B79)+C$31</f>
        <v>1171.3160000000003</v>
      </c>
      <c r="E79" s="17">
        <v>47</v>
      </c>
      <c r="F79" s="287">
        <f t="shared" si="1"/>
        <v>1171.3160000000003</v>
      </c>
      <c r="G79" s="287"/>
      <c r="H79" s="17">
        <v>47</v>
      </c>
      <c r="I79" s="227">
        <f t="shared" si="2"/>
        <v>0</v>
      </c>
      <c r="K79" s="17">
        <v>47</v>
      </c>
      <c r="L79" s="287">
        <f t="shared" si="5"/>
        <v>1171.3160000000003</v>
      </c>
      <c r="M79" s="227">
        <f t="shared" si="3"/>
        <v>24.9216170212766</v>
      </c>
      <c r="N79" s="377">
        <f>SQRT(12*32.2*M79^2/(4*$Q$5*($Q$4*56)*$Q$3^2))</f>
        <v>0.6617860631459056</v>
      </c>
      <c r="O79" s="227">
        <f>(N79*$Q$3)*SQRT(4*$Q$5*$Q$6/32.2)/12</f>
        <v>24.92102690600122</v>
      </c>
      <c r="P79" s="227">
        <f t="shared" si="4"/>
        <v>1171.2882645820573</v>
      </c>
    </row>
    <row r="80" spans="2:16" ht="14.1" customHeight="1" x14ac:dyDescent="0.2">
      <c r="B80" s="17">
        <v>48</v>
      </c>
      <c r="C80" s="326">
        <f>(C$30*B80)+C$31</f>
        <v>1196.212</v>
      </c>
      <c r="E80" s="17">
        <v>48</v>
      </c>
      <c r="F80" s="287">
        <f t="shared" si="1"/>
        <v>1196.2120000000002</v>
      </c>
      <c r="G80" s="287"/>
      <c r="H80" s="17">
        <v>48</v>
      </c>
      <c r="I80" s="227">
        <f t="shared" si="2"/>
        <v>0</v>
      </c>
      <c r="K80" s="17">
        <v>48</v>
      </c>
      <c r="L80" s="287">
        <f t="shared" si="5"/>
        <v>1196.2120000000002</v>
      </c>
      <c r="M80" s="227">
        <f t="shared" si="3"/>
        <v>24.921083333333339</v>
      </c>
      <c r="N80" s="377">
        <f>SQRT(12*32.2*M80^2/(4*$Q$5*($Q$4*56)*$Q$3^2))</f>
        <v>0.66177189122268665</v>
      </c>
      <c r="O80" s="227">
        <f>(N80*$Q$3)*SQRT(4*$Q$5*$Q$6/32.2)/12</f>
        <v>24.920493230695083</v>
      </c>
      <c r="P80" s="227">
        <f t="shared" si="4"/>
        <v>1196.1836750733639</v>
      </c>
    </row>
    <row r="81" spans="2:16" ht="14.1" customHeight="1" x14ac:dyDescent="0.2">
      <c r="B81" s="17">
        <v>49</v>
      </c>
      <c r="C81" s="326">
        <f>(C$30*B81)+C$31</f>
        <v>1221.1080000000002</v>
      </c>
      <c r="E81" s="17">
        <v>49</v>
      </c>
      <c r="F81" s="287">
        <f t="shared" si="1"/>
        <v>1221.1080000000002</v>
      </c>
      <c r="G81" s="287"/>
      <c r="H81" s="17">
        <v>49</v>
      </c>
      <c r="I81" s="227">
        <f t="shared" si="2"/>
        <v>0</v>
      </c>
      <c r="K81" s="17">
        <v>49</v>
      </c>
      <c r="L81" s="287">
        <f t="shared" si="5"/>
        <v>1221.1080000000002</v>
      </c>
      <c r="M81" s="227">
        <f t="shared" si="3"/>
        <v>24.920571428571431</v>
      </c>
      <c r="N81" s="377">
        <f>SQRT(12*32.2*M81^2/(4*$Q$5*($Q$4*56)*$Q$3^2))</f>
        <v>0.66175829774531314</v>
      </c>
      <c r="O81" s="227">
        <f>(N81*$Q$3)*SQRT(4*$Q$5*$Q$6/32.2)/12</f>
        <v>24.919981338054484</v>
      </c>
      <c r="P81" s="227">
        <f t="shared" si="4"/>
        <v>1221.0790855646696</v>
      </c>
    </row>
    <row r="82" spans="2:16" ht="14.1" customHeight="1" x14ac:dyDescent="0.2">
      <c r="B82" s="17">
        <v>50</v>
      </c>
      <c r="C82" s="326">
        <f>(C$30*B82)+C$31</f>
        <v>1246.0039999999999</v>
      </c>
      <c r="E82" s="17">
        <v>50</v>
      </c>
      <c r="F82" s="287">
        <f t="shared" si="1"/>
        <v>1246.0040000000001</v>
      </c>
      <c r="G82" s="287"/>
      <c r="H82" s="17">
        <v>50</v>
      </c>
      <c r="I82" s="227">
        <f t="shared" si="2"/>
        <v>0</v>
      </c>
      <c r="K82" s="369">
        <v>50</v>
      </c>
      <c r="L82" s="370">
        <f t="shared" si="5"/>
        <v>1246.0040000000001</v>
      </c>
      <c r="M82" s="371">
        <f t="shared" si="3"/>
        <v>24.920080000000002</v>
      </c>
      <c r="N82" s="376">
        <f>SQRT(12*32.2*M82^2/(4*$Q$5*($Q$4*56)*$Q$3^2))</f>
        <v>0.66174524800703471</v>
      </c>
      <c r="O82" s="371">
        <f>(N82*$Q$3)*SQRT(4*$Q$5*$Q$6/32.2)/12</f>
        <v>24.919489921119524</v>
      </c>
      <c r="P82" s="371">
        <f t="shared" si="4"/>
        <v>1245.9744960559763</v>
      </c>
    </row>
    <row r="83" spans="2:16" ht="14.1" customHeight="1" x14ac:dyDescent="0.2">
      <c r="B83" s="17">
        <v>51</v>
      </c>
      <c r="C83" s="326">
        <f>(C$30*B83)+C$31</f>
        <v>1270.9000000000001</v>
      </c>
      <c r="E83" s="17">
        <v>51</v>
      </c>
      <c r="F83" s="287">
        <f t="shared" si="1"/>
        <v>1270.9000000000001</v>
      </c>
      <c r="G83" s="287"/>
      <c r="H83" s="17">
        <v>51</v>
      </c>
      <c r="I83" s="227">
        <f>C83-F83</f>
        <v>0</v>
      </c>
      <c r="K83" s="17">
        <v>51</v>
      </c>
      <c r="L83" s="287">
        <f t="shared" si="5"/>
        <v>1270.9000000000001</v>
      </c>
      <c r="M83" s="227">
        <f t="shared" si="3"/>
        <v>24.919607843137257</v>
      </c>
      <c r="N83" s="377">
        <f>SQRT(12*32.2*M83^2/(4*$Q$5*($Q$4*56)*$Q$3^2))</f>
        <v>0.66173271002319856</v>
      </c>
      <c r="O83" s="227">
        <f>(N83*$Q$3)*SQRT(4*$Q$5*$Q$6/32.2)/12</f>
        <v>24.91901777543691</v>
      </c>
      <c r="P83" s="227">
        <f t="shared" si="4"/>
        <v>1270.8699065472824</v>
      </c>
    </row>
    <row r="84" spans="2:16" ht="14.1" customHeight="1" x14ac:dyDescent="0.2">
      <c r="E84" s="17"/>
    </row>
    <row r="85" spans="2:16" ht="14.1" customHeight="1" x14ac:dyDescent="0.2">
      <c r="E85" s="17"/>
      <c r="F85" s="386"/>
    </row>
    <row r="86" spans="2:16" ht="14.1" customHeight="1" x14ac:dyDescent="0.2">
      <c r="E86" s="17"/>
    </row>
    <row r="87" spans="2:16" ht="14.1" customHeight="1" x14ac:dyDescent="0.2">
      <c r="E87" s="17"/>
    </row>
    <row r="88" spans="2:16" ht="14.1" customHeight="1" x14ac:dyDescent="0.2">
      <c r="E88" s="17"/>
    </row>
    <row r="89" spans="2:16" ht="14.1" customHeight="1" x14ac:dyDescent="0.2">
      <c r="E89" s="17"/>
    </row>
    <row r="90" spans="2:16" ht="14.1" customHeight="1" x14ac:dyDescent="0.2">
      <c r="E90" s="17"/>
    </row>
    <row r="91" spans="2:16" ht="14.1" customHeight="1" x14ac:dyDescent="0.2">
      <c r="E91" s="17"/>
    </row>
    <row r="92" spans="2:16" ht="14.1" customHeight="1" x14ac:dyDescent="0.2">
      <c r="E92" s="17"/>
    </row>
    <row r="93" spans="2:16" ht="14.1" customHeight="1" x14ac:dyDescent="0.2">
      <c r="E93" s="17"/>
    </row>
    <row r="94" spans="2:16" ht="14.1" customHeight="1" x14ac:dyDescent="0.2">
      <c r="E94" s="17"/>
    </row>
    <row r="95" spans="2:16" ht="14.1" customHeight="1" x14ac:dyDescent="0.2"/>
    <row r="96" spans="2:16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  <row r="104" ht="14.1" customHeight="1" x14ac:dyDescent="0.2"/>
    <row r="105" ht="14.1" customHeight="1" x14ac:dyDescent="0.2"/>
    <row r="106" ht="14.1" customHeight="1" x14ac:dyDescent="0.2"/>
    <row r="107" ht="14.1" customHeight="1" x14ac:dyDescent="0.2"/>
    <row r="108" ht="14.1" customHeight="1" x14ac:dyDescent="0.2"/>
    <row r="109" ht="14.1" customHeight="1" x14ac:dyDescent="0.2"/>
    <row r="110" ht="14.1" customHeight="1" x14ac:dyDescent="0.2"/>
    <row r="111" ht="14.1" customHeight="1" x14ac:dyDescent="0.2"/>
    <row r="112" ht="14.1" customHeight="1" x14ac:dyDescent="0.2"/>
    <row r="113" ht="14.1" customHeight="1" x14ac:dyDescent="0.2"/>
    <row r="114" ht="14.1" customHeight="1" x14ac:dyDescent="0.2"/>
    <row r="115" ht="14.1" customHeight="1" x14ac:dyDescent="0.2"/>
    <row r="116" ht="14.1" customHeight="1" x14ac:dyDescent="0.2"/>
    <row r="117" ht="14.1" customHeight="1" x14ac:dyDescent="0.2"/>
    <row r="118" ht="14.1" customHeight="1" x14ac:dyDescent="0.2"/>
    <row r="119" ht="14.1" customHeight="1" x14ac:dyDescent="0.2"/>
    <row r="120" ht="14.1" customHeight="1" x14ac:dyDescent="0.2"/>
    <row r="121" ht="14.1" customHeight="1" x14ac:dyDescent="0.2"/>
    <row r="122" ht="14.1" customHeight="1" x14ac:dyDescent="0.2"/>
    <row r="123" ht="14.1" customHeight="1" x14ac:dyDescent="0.2"/>
    <row r="124" ht="14.1" customHeight="1" x14ac:dyDescent="0.2"/>
    <row r="125" ht="14.1" customHeight="1" x14ac:dyDescent="0.2"/>
    <row r="126" ht="14.1" customHeight="1" x14ac:dyDescent="0.2"/>
    <row r="127" ht="14.1" customHeight="1" x14ac:dyDescent="0.2"/>
    <row r="128" ht="14.1" customHeight="1" x14ac:dyDescent="0.2"/>
    <row r="129" ht="14.1" customHeight="1" x14ac:dyDescent="0.2"/>
    <row r="130" ht="14.1" customHeight="1" x14ac:dyDescent="0.2"/>
    <row r="131" ht="14.1" customHeight="1" x14ac:dyDescent="0.2"/>
    <row r="132" ht="14.1" customHeight="1" x14ac:dyDescent="0.2"/>
    <row r="133" ht="14.1" customHeight="1" x14ac:dyDescent="0.2"/>
    <row r="134" ht="14.1" customHeight="1" x14ac:dyDescent="0.2"/>
    <row r="135" ht="14.1" customHeight="1" x14ac:dyDescent="0.2"/>
    <row r="136" ht="14.1" customHeight="1" x14ac:dyDescent="0.2"/>
    <row r="137" ht="14.1" customHeight="1" x14ac:dyDescent="0.2"/>
    <row r="138" ht="14.1" customHeight="1" x14ac:dyDescent="0.2"/>
    <row r="139" ht="14.1" customHeight="1" x14ac:dyDescent="0.2"/>
    <row r="140" ht="14.1" customHeight="1" x14ac:dyDescent="0.2"/>
    <row r="141" ht="14.1" customHeight="1" x14ac:dyDescent="0.2"/>
    <row r="142" ht="14.1" customHeight="1" x14ac:dyDescent="0.2"/>
    <row r="143" ht="14.1" customHeight="1" x14ac:dyDescent="0.2"/>
    <row r="144" ht="14.1" customHeight="1" x14ac:dyDescent="0.2"/>
    <row r="145" spans="27:27" ht="14.1" customHeight="1" x14ac:dyDescent="0.2"/>
    <row r="146" spans="27:27" ht="14.1" customHeight="1" x14ac:dyDescent="0.2"/>
    <row r="147" spans="27:27" ht="14.1" customHeight="1" x14ac:dyDescent="0.2"/>
    <row r="148" spans="27:27" ht="14.1" customHeight="1" x14ac:dyDescent="0.2"/>
    <row r="149" spans="27:27" ht="14.1" customHeight="1" x14ac:dyDescent="0.2"/>
    <row r="150" spans="27:27" ht="14.1" customHeight="1" x14ac:dyDescent="0.2"/>
    <row r="151" spans="27:27" ht="14.1" customHeight="1" x14ac:dyDescent="0.2"/>
    <row r="152" spans="27:27" ht="14.1" customHeight="1" x14ac:dyDescent="0.2"/>
    <row r="158" spans="27:27" x14ac:dyDescent="0.2">
      <c r="AA158" s="17"/>
    </row>
  </sheetData>
  <pageMargins left="0.7" right="0.7" top="0.25" bottom="0.25" header="0.3" footer="0.3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86752-623A-4A12-AF72-D12FCE070EE0}">
  <sheetPr transitionEvaluation="1" transitionEntry="1">
    <pageSetUpPr fitToPage="1"/>
  </sheetPr>
  <dimension ref="A1:AM158"/>
  <sheetViews>
    <sheetView showGridLines="0" tabSelected="1" zoomScale="90" zoomScaleNormal="90" zoomScaleSheetLayoutView="80" workbookViewId="0">
      <selection activeCell="M27" sqref="M27"/>
    </sheetView>
  </sheetViews>
  <sheetFormatPr defaultRowHeight="12.75" x14ac:dyDescent="0.2"/>
  <cols>
    <col min="1" max="33" width="9.42578125" customWidth="1"/>
    <col min="34" max="38" width="10.7109375" customWidth="1"/>
    <col min="39" max="44" width="9.7109375" customWidth="1"/>
    <col min="45" max="48" width="10.7109375" customWidth="1"/>
    <col min="49" max="49" width="13" customWidth="1"/>
    <col min="50" max="50" width="13.5703125" customWidth="1"/>
    <col min="51" max="51" width="12.5703125" customWidth="1"/>
    <col min="52" max="52" width="10.7109375" customWidth="1"/>
    <col min="53" max="54" width="12.140625" customWidth="1"/>
    <col min="55" max="55" width="14.140625" customWidth="1"/>
    <col min="56" max="59" width="10.7109375" customWidth="1"/>
    <col min="60" max="63" width="12.7109375" customWidth="1"/>
    <col min="64" max="73" width="10.7109375" customWidth="1"/>
  </cols>
  <sheetData>
    <row r="1" spans="1:39" ht="14.1" customHeight="1" x14ac:dyDescent="0.2">
      <c r="A1" t="s">
        <v>80</v>
      </c>
    </row>
    <row r="2" spans="1:39" ht="14.1" customHeight="1" x14ac:dyDescent="0.2">
      <c r="AM2" t="s">
        <v>22</v>
      </c>
    </row>
    <row r="3" spans="1:39" ht="14.1" customHeight="1" x14ac:dyDescent="0.2">
      <c r="Q3" s="396">
        <v>2.5150000000000001</v>
      </c>
      <c r="R3" s="397" t="s">
        <v>37</v>
      </c>
      <c r="S3" s="398"/>
      <c r="T3" s="398"/>
      <c r="U3" s="399"/>
      <c r="V3" s="291" t="s">
        <v>256</v>
      </c>
    </row>
    <row r="4" spans="1:39" ht="14.1" customHeight="1" x14ac:dyDescent="0.2">
      <c r="Q4" s="400">
        <v>4.55</v>
      </c>
      <c r="R4" s="235" t="s">
        <v>1</v>
      </c>
      <c r="S4" s="10"/>
      <c r="T4" s="10"/>
      <c r="U4" s="401"/>
      <c r="V4" t="s">
        <v>243</v>
      </c>
    </row>
    <row r="5" spans="1:39" ht="14.1" customHeight="1" x14ac:dyDescent="0.2">
      <c r="Q5" s="400">
        <v>85</v>
      </c>
      <c r="R5" s="234" t="s">
        <v>8</v>
      </c>
      <c r="S5" s="10"/>
      <c r="T5" s="10"/>
      <c r="U5" s="401"/>
      <c r="V5" s="381" t="s">
        <v>244</v>
      </c>
    </row>
    <row r="6" spans="1:39" ht="14.1" customHeight="1" x14ac:dyDescent="0.25">
      <c r="Q6" s="402">
        <f>(Q4*2.20462*25.4*12)</f>
        <v>3057.4552007999996</v>
      </c>
      <c r="R6" s="97" t="s">
        <v>49</v>
      </c>
      <c r="S6" s="10"/>
      <c r="T6" s="10"/>
      <c r="U6" s="401"/>
      <c r="V6" s="166" t="s">
        <v>245</v>
      </c>
      <c r="W6" s="166"/>
    </row>
    <row r="7" spans="1:39" ht="14.1" customHeight="1" x14ac:dyDescent="0.2">
      <c r="Q7" s="403"/>
      <c r="R7" s="10"/>
      <c r="S7" s="10"/>
      <c r="T7" s="10"/>
      <c r="U7" s="401"/>
    </row>
    <row r="8" spans="1:39" ht="14.1" customHeight="1" x14ac:dyDescent="0.2">
      <c r="Q8" s="404" t="s">
        <v>10</v>
      </c>
      <c r="R8" s="19" t="s">
        <v>9</v>
      </c>
      <c r="S8" s="19" t="s">
        <v>10</v>
      </c>
      <c r="T8" s="25" t="s">
        <v>12</v>
      </c>
      <c r="U8" s="405" t="s">
        <v>11</v>
      </c>
      <c r="V8" s="166" t="s">
        <v>237</v>
      </c>
      <c r="W8" s="166"/>
    </row>
    <row r="9" spans="1:39" ht="14.1" customHeight="1" x14ac:dyDescent="0.2">
      <c r="Q9" s="406"/>
      <c r="R9" s="17">
        <v>1</v>
      </c>
      <c r="S9" s="218">
        <v>33.561842105263182</v>
      </c>
      <c r="T9" s="32">
        <f>S9/R9</f>
        <v>33.561842105263182</v>
      </c>
      <c r="U9" s="407">
        <f>SQRT(12*32.2*T9^2/(4*$Q$5*($Q$4*56)*$Q$3^2))</f>
        <v>0.89122464805571744</v>
      </c>
      <c r="V9" s="381" t="s">
        <v>238</v>
      </c>
      <c r="W9" s="166"/>
    </row>
    <row r="10" spans="1:39" ht="14.1" customHeight="1" x14ac:dyDescent="0.2">
      <c r="Q10" s="408"/>
      <c r="R10" s="31">
        <v>2</v>
      </c>
      <c r="S10" s="219">
        <v>55.500000000000021</v>
      </c>
      <c r="T10" s="33">
        <f t="shared" ref="T10:T18" si="0">S10/R10</f>
        <v>27.750000000000011</v>
      </c>
      <c r="U10" s="414">
        <f>SQRT(12*32.2*T10^2/(4*$Q$5*($Q$4*56)*$Q$3^2))</f>
        <v>0.73689292458913536</v>
      </c>
      <c r="V10" s="166"/>
      <c r="W10" s="381" t="s">
        <v>242</v>
      </c>
    </row>
    <row r="11" spans="1:39" ht="14.1" customHeight="1" x14ac:dyDescent="0.2">
      <c r="B11" s="378" t="s">
        <v>223</v>
      </c>
      <c r="Q11" s="406"/>
      <c r="R11" s="17">
        <v>3</v>
      </c>
      <c r="S11" s="218">
        <v>77.438157894736861</v>
      </c>
      <c r="T11" s="32">
        <f t="shared" si="0"/>
        <v>25.812719298245622</v>
      </c>
      <c r="U11" s="407">
        <f>SQRT(12*32.2*T11^2/(4*$Q$5*($Q$4*56)*$Q$3^2))</f>
        <v>0.68544901676694137</v>
      </c>
      <c r="V11" s="166"/>
      <c r="W11" s="381" t="s">
        <v>241</v>
      </c>
    </row>
    <row r="12" spans="1:39" ht="14.1" customHeight="1" x14ac:dyDescent="0.2">
      <c r="A12" s="382" t="s">
        <v>247</v>
      </c>
      <c r="B12" s="1" t="s">
        <v>228</v>
      </c>
      <c r="Q12" s="406"/>
      <c r="R12" s="17">
        <v>4</v>
      </c>
      <c r="S12" s="218">
        <v>99.376315789473708</v>
      </c>
      <c r="T12" s="32">
        <f t="shared" si="0"/>
        <v>24.844078947368427</v>
      </c>
      <c r="U12" s="407">
        <f>SQRT(12*32.2*T12^2/(4*$Q$5*($Q$4*56)*$Q$3^2))</f>
        <v>0.65972706285584437</v>
      </c>
      <c r="V12" s="166"/>
      <c r="W12" s="166" t="s">
        <v>239</v>
      </c>
    </row>
    <row r="13" spans="1:39" ht="14.1" customHeight="1" x14ac:dyDescent="0.2">
      <c r="B13" t="s">
        <v>229</v>
      </c>
      <c r="Q13" s="408"/>
      <c r="R13" s="31">
        <v>5</v>
      </c>
      <c r="S13" s="219">
        <v>121.31447368421055</v>
      </c>
      <c r="T13" s="33">
        <f t="shared" si="0"/>
        <v>24.26289473684211</v>
      </c>
      <c r="U13" s="414">
        <f>SQRT(12*32.2*T13^2/(4*$Q$5*($Q$4*56)*$Q$3^2))</f>
        <v>0.64429389050918606</v>
      </c>
      <c r="V13" s="166"/>
      <c r="W13" s="166" t="s">
        <v>240</v>
      </c>
    </row>
    <row r="14" spans="1:39" ht="14.1" customHeight="1" x14ac:dyDescent="0.2">
      <c r="C14" s="1" t="s">
        <v>226</v>
      </c>
      <c r="Q14" s="406"/>
      <c r="R14" s="17">
        <v>10</v>
      </c>
      <c r="S14" s="218">
        <v>231.00526315789477</v>
      </c>
      <c r="T14" s="32">
        <f t="shared" si="0"/>
        <v>23.100526315789477</v>
      </c>
      <c r="U14" s="407">
        <f>SQRT(12*32.2*T14^2/(4*$Q$5*($Q$4*56)*$Q$3^2))</f>
        <v>0.61342754581586967</v>
      </c>
    </row>
    <row r="15" spans="1:39" ht="14.1" customHeight="1" x14ac:dyDescent="0.2">
      <c r="B15" t="s">
        <v>225</v>
      </c>
      <c r="Q15" s="406"/>
      <c r="R15" s="17">
        <v>20</v>
      </c>
      <c r="S15" s="218">
        <v>450.38684210526321</v>
      </c>
      <c r="T15" s="32">
        <f t="shared" si="0"/>
        <v>22.51934210526316</v>
      </c>
      <c r="U15" s="407">
        <f>SQRT(12*32.2*T15^2/(4*$Q$5*($Q$4*56)*$Q$3^2))</f>
        <v>0.59799437346921147</v>
      </c>
    </row>
    <row r="16" spans="1:39" ht="14.1" customHeight="1" x14ac:dyDescent="0.2">
      <c r="B16" t="s">
        <v>227</v>
      </c>
      <c r="Q16" s="406"/>
      <c r="R16" s="17">
        <v>30</v>
      </c>
      <c r="S16" s="218">
        <v>669.76842105263165</v>
      </c>
      <c r="T16" s="32">
        <f t="shared" si="0"/>
        <v>22.325614035087721</v>
      </c>
      <c r="U16" s="407">
        <f>SQRT(12*32.2*T16^2/(4*$Q$5*($Q$4*56)*$Q$3^2))</f>
        <v>0.59284998268699207</v>
      </c>
    </row>
    <row r="17" spans="1:38" ht="14.1" customHeight="1" x14ac:dyDescent="0.2">
      <c r="Q17" s="408"/>
      <c r="R17" s="31">
        <v>40</v>
      </c>
      <c r="S17" s="219">
        <v>889.15000000000009</v>
      </c>
      <c r="T17" s="33">
        <f t="shared" si="0"/>
        <v>22.228750000000002</v>
      </c>
      <c r="U17" s="414">
        <f>SQRT(12*32.2*T17^2/(4*$Q$5*($Q$4*56)*$Q$3^2))</f>
        <v>0.59027778729588243</v>
      </c>
    </row>
    <row r="18" spans="1:38" ht="14.1" customHeight="1" x14ac:dyDescent="0.2">
      <c r="B18" t="s">
        <v>174</v>
      </c>
      <c r="Q18" s="409"/>
      <c r="R18" s="410">
        <v>50</v>
      </c>
      <c r="S18" s="411">
        <v>1108.5315789473684</v>
      </c>
      <c r="T18" s="412">
        <f t="shared" si="0"/>
        <v>22.170631578947368</v>
      </c>
      <c r="U18" s="413">
        <f>SQRT(12*32.2*T18^2/(4*$Q$5*($Q$4*56)*$Q$3^2))</f>
        <v>0.58873447006121649</v>
      </c>
    </row>
    <row r="19" spans="1:38" ht="14.1" customHeight="1" x14ac:dyDescent="0.2">
      <c r="B19" s="1" t="s">
        <v>212</v>
      </c>
      <c r="L19" s="76"/>
      <c r="M19" s="17"/>
      <c r="N19" s="218"/>
      <c r="O19" s="32"/>
      <c r="P19" s="78"/>
      <c r="Q19" s="80"/>
      <c r="R19" s="241"/>
    </row>
    <row r="20" spans="1:38" ht="14.1" customHeight="1" x14ac:dyDescent="0.2">
      <c r="B20" t="s">
        <v>203</v>
      </c>
      <c r="L20" s="76"/>
      <c r="M20" s="17"/>
      <c r="N20" s="218"/>
      <c r="O20" s="32"/>
      <c r="P20" s="78"/>
      <c r="Q20" s="80"/>
    </row>
    <row r="21" spans="1:38" ht="14.1" customHeight="1" x14ac:dyDescent="0.2">
      <c r="L21" s="76"/>
      <c r="M21" s="17"/>
      <c r="N21" s="218"/>
      <c r="O21" s="32"/>
      <c r="P21" s="78"/>
      <c r="Q21" s="80"/>
    </row>
    <row r="22" spans="1:38" ht="14.1" customHeight="1" x14ac:dyDescent="0.2">
      <c r="A22" s="1" t="s">
        <v>260</v>
      </c>
      <c r="L22" s="76"/>
      <c r="M22" s="17"/>
      <c r="N22" s="218"/>
      <c r="O22" s="32"/>
      <c r="P22" s="78"/>
      <c r="Q22" s="80"/>
    </row>
    <row r="23" spans="1:38" ht="14.1" customHeight="1" x14ac:dyDescent="0.2">
      <c r="A23" s="1" t="s">
        <v>262</v>
      </c>
      <c r="F23" s="330"/>
      <c r="L23" s="76"/>
      <c r="M23" s="17"/>
      <c r="N23" s="218"/>
      <c r="O23" s="32"/>
      <c r="P23" s="78"/>
      <c r="Q23" s="80"/>
      <c r="R23" t="s">
        <v>257</v>
      </c>
    </row>
    <row r="24" spans="1:38" ht="14.1" customHeight="1" x14ac:dyDescent="0.2">
      <c r="A24" s="1" t="s">
        <v>261</v>
      </c>
      <c r="E24" s="342"/>
      <c r="F24" s="342" t="s">
        <v>205</v>
      </c>
      <c r="R24" s="1" t="s">
        <v>259</v>
      </c>
    </row>
    <row r="25" spans="1:38" ht="14.1" customHeight="1" x14ac:dyDescent="0.25">
      <c r="B25" s="224" t="s">
        <v>123</v>
      </c>
      <c r="C25" s="224" t="s">
        <v>124</v>
      </c>
      <c r="E25" s="27" t="s">
        <v>123</v>
      </c>
      <c r="F25" s="27" t="s">
        <v>204</v>
      </c>
      <c r="G25" s="321" t="s">
        <v>184</v>
      </c>
      <c r="H25" s="334"/>
      <c r="I25" s="332"/>
      <c r="J25" s="332"/>
      <c r="R25" s="1" t="s">
        <v>258</v>
      </c>
      <c r="AJ25" t="s">
        <v>211</v>
      </c>
    </row>
    <row r="26" spans="1:38" ht="14.1" customHeight="1" x14ac:dyDescent="0.25">
      <c r="B26" s="225">
        <v>1</v>
      </c>
      <c r="C26" s="383">
        <v>31.3</v>
      </c>
      <c r="E26" s="29">
        <v>1</v>
      </c>
      <c r="F26" s="227">
        <f>C26</f>
        <v>31.3</v>
      </c>
      <c r="G26" s="279" cm="1">
        <f t="array" ref="G26">_xlfn.SINGLE(INDEX(LINEST(F$26:F$28,(E$26:E$28)^{1,2}),1))</f>
        <v>9.5999999999999891E-2</v>
      </c>
      <c r="H26" s="384">
        <f>C58</f>
        <v>640.19999999999993</v>
      </c>
      <c r="I26" s="344" t="s">
        <v>207</v>
      </c>
      <c r="J26" s="332"/>
    </row>
    <row r="27" spans="1:38" ht="14.1" customHeight="1" x14ac:dyDescent="0.25">
      <c r="B27" s="225">
        <v>51</v>
      </c>
      <c r="C27" s="383">
        <v>1249.0999999999999</v>
      </c>
      <c r="D27" s="233"/>
      <c r="E27" s="29">
        <v>26</v>
      </c>
      <c r="F27" s="415">
        <f>H28</f>
        <v>580.19999999999993</v>
      </c>
      <c r="G27" s="279" cm="1">
        <f t="array" ref="G27">_xlfn.SINGLE(INDEX(LINEST(F$26:F$28,(E$26:E$28)^{1,2}),2))</f>
        <v>19.364000000000008</v>
      </c>
      <c r="H27" s="416">
        <v>-60</v>
      </c>
      <c r="I27" s="344" t="s">
        <v>208</v>
      </c>
      <c r="J27" s="332"/>
      <c r="AJ27" s="27" t="s">
        <v>123</v>
      </c>
      <c r="AK27" s="27" t="s">
        <v>124</v>
      </c>
      <c r="AL27" s="321" t="s">
        <v>185</v>
      </c>
    </row>
    <row r="28" spans="1:38" ht="14.1" customHeight="1" x14ac:dyDescent="0.25">
      <c r="B28" s="394">
        <v>50</v>
      </c>
      <c r="C28" s="395">
        <f>C82</f>
        <v>1224.7440000000001</v>
      </c>
      <c r="D28" s="180"/>
      <c r="E28" s="29">
        <v>51</v>
      </c>
      <c r="F28" s="227">
        <f>C27</f>
        <v>1249.0999999999999</v>
      </c>
      <c r="G28" s="279" cm="1">
        <f t="array" ref="G28">_xlfn.SINGLE(INDEX(LINEST(F$26:F$28,(E$26:E$28)^{1,2}),3))</f>
        <v>11.839999999999819</v>
      </c>
      <c r="H28" s="417">
        <f>SUM(H26:H27)</f>
        <v>580.19999999999993</v>
      </c>
      <c r="I28" s="332"/>
      <c r="J28" s="332"/>
      <c r="O28" s="160" t="s">
        <v>216</v>
      </c>
      <c r="P28" s="160" t="s">
        <v>216</v>
      </c>
      <c r="X28" s="11" t="s">
        <v>243</v>
      </c>
      <c r="Y28" s="12"/>
      <c r="Z28" s="12"/>
      <c r="AA28" s="12"/>
      <c r="AB28" s="12"/>
      <c r="AC28" s="12"/>
      <c r="AD28" s="12"/>
      <c r="AE28" s="12"/>
      <c r="AF28" s="12"/>
      <c r="AG28" s="13"/>
      <c r="AJ28" s="29">
        <v>1</v>
      </c>
      <c r="AK28" s="323">
        <v>30</v>
      </c>
      <c r="AL28" s="322" cm="1">
        <f t="array" ref="AL28">_xlfn.SINGLE(INDEX(LINEST(AK$28:AK$30,(AJ$28:AJ$30)^{1,2,3}),1))</f>
        <v>-1.7664998074701597E-2</v>
      </c>
    </row>
    <row r="29" spans="1:38" ht="14.1" customHeight="1" x14ac:dyDescent="0.2">
      <c r="B29" s="160"/>
      <c r="D29" s="160"/>
      <c r="J29" s="166"/>
      <c r="O29" s="160" t="s">
        <v>215</v>
      </c>
      <c r="P29" s="160" t="s">
        <v>215</v>
      </c>
      <c r="S29" s="180">
        <f>T35</f>
        <v>0.67650753682280151</v>
      </c>
      <c r="X29" s="14" t="s">
        <v>250</v>
      </c>
      <c r="Y29" s="10"/>
      <c r="Z29" s="10"/>
      <c r="AA29" s="10"/>
      <c r="AB29" s="10"/>
      <c r="AC29" s="10"/>
      <c r="AD29" s="10"/>
      <c r="AE29" s="10"/>
      <c r="AF29" s="10"/>
      <c r="AG29" s="16"/>
      <c r="AJ29" s="29">
        <v>25</v>
      </c>
      <c r="AK29" s="323">
        <v>610</v>
      </c>
      <c r="AL29" s="322" cm="1">
        <f t="array" ref="AL29">_xlfn.SINGLE(INDEX(LINEST(AK$28:AK$30,(AJ$28:AJ$30)^{1,2,3}),2))</f>
        <v>1.3717915543575927</v>
      </c>
    </row>
    <row r="30" spans="1:38" ht="14.1" customHeight="1" x14ac:dyDescent="0.2">
      <c r="B30" s="160"/>
      <c r="C30" s="325" cm="1">
        <f t="array" ref="C30">_xlfn.SINGLE(INDEX(LINEST(C26:C27,($B26:$B27)^{1}),1))</f>
        <v>24.356000000000005</v>
      </c>
      <c r="D30" s="160"/>
      <c r="O30" s="160" t="s">
        <v>213</v>
      </c>
      <c r="P30" s="160" t="s">
        <v>213</v>
      </c>
      <c r="S30" s="180">
        <f>T38</f>
        <v>0.58983299607112949</v>
      </c>
      <c r="X30" s="14" t="s">
        <v>251</v>
      </c>
      <c r="Y30" s="10"/>
      <c r="Z30" s="10"/>
      <c r="AA30" s="10"/>
      <c r="AB30" s="10"/>
      <c r="AC30" s="10"/>
      <c r="AD30" s="10"/>
      <c r="AE30" s="10"/>
      <c r="AF30" s="10"/>
      <c r="AG30" s="16"/>
      <c r="AJ30" s="29">
        <v>50</v>
      </c>
      <c r="AK30" s="323">
        <v>1250</v>
      </c>
      <c r="AL30" s="322" cm="1">
        <f t="array" ref="AL30">_xlfn.SINGLE(INDEX(LINEST(AK$28:AK$30,(AJ$28:AJ$30)^{1,2,3}),3))</f>
        <v>0</v>
      </c>
    </row>
    <row r="31" spans="1:38" ht="14.1" customHeight="1" x14ac:dyDescent="0.2">
      <c r="C31" s="325" cm="1">
        <f t="array" ref="C31">INDEX(LINEST(C26:C27,($B26:$B27)^{1}),1,2)</f>
        <v>6.9439999999998463</v>
      </c>
      <c r="E31" s="305"/>
      <c r="F31" s="362" t="s">
        <v>209</v>
      </c>
      <c r="G31" s="363"/>
      <c r="H31" s="305"/>
      <c r="I31" s="335" t="s">
        <v>210</v>
      </c>
      <c r="J31" s="305"/>
      <c r="K31" s="305"/>
      <c r="L31" s="364"/>
      <c r="M31" s="365"/>
      <c r="O31" s="160" t="s">
        <v>214</v>
      </c>
      <c r="P31" s="160" t="s">
        <v>214</v>
      </c>
      <c r="S31" s="180">
        <f>T42</f>
        <v>0.62403544965206026</v>
      </c>
      <c r="X31" s="47" t="s">
        <v>252</v>
      </c>
      <c r="Y31" s="10"/>
      <c r="Z31" s="10"/>
      <c r="AA31" s="10"/>
      <c r="AB31" s="10"/>
      <c r="AC31" s="10"/>
      <c r="AD31" s="10"/>
      <c r="AE31" s="10"/>
      <c r="AF31" s="10"/>
      <c r="AG31" s="16"/>
      <c r="AL31" s="322" cm="1">
        <f t="array" ref="AL31">_xlfn.SINGLE(INDEX(LINEST(AK$28:AK$30,(AJ$28:AJ$30)^{1,2,3}),4))</f>
        <v>28.645873443717392</v>
      </c>
    </row>
    <row r="32" spans="1:38" ht="14.1" customHeight="1" x14ac:dyDescent="0.2">
      <c r="B32" s="338" t="s">
        <v>123</v>
      </c>
      <c r="C32" s="339" t="s">
        <v>124</v>
      </c>
      <c r="D32" s="337"/>
      <c r="E32" s="338" t="s">
        <v>123</v>
      </c>
      <c r="F32" s="340" t="s">
        <v>184</v>
      </c>
      <c r="G32" s="63"/>
      <c r="H32" s="338" t="s">
        <v>123</v>
      </c>
      <c r="I32" s="341" t="s">
        <v>206</v>
      </c>
      <c r="K32" s="338" t="s">
        <v>123</v>
      </c>
      <c r="L32" s="225" t="s">
        <v>201</v>
      </c>
      <c r="M32" s="361" t="s">
        <v>192</v>
      </c>
      <c r="N32" s="27" t="s">
        <v>11</v>
      </c>
      <c r="O32" s="368" t="s">
        <v>192</v>
      </c>
      <c r="P32" s="27" t="s">
        <v>204</v>
      </c>
      <c r="S32" s="372"/>
      <c r="T32" s="372"/>
      <c r="U32" s="385" t="s">
        <v>50</v>
      </c>
      <c r="X32" s="134"/>
      <c r="Y32" s="135" t="s">
        <v>73</v>
      </c>
      <c r="Z32" s="103"/>
      <c r="AA32" s="103" t="s">
        <v>50</v>
      </c>
      <c r="AB32" s="10"/>
      <c r="AC32" s="10"/>
      <c r="AD32" s="10"/>
      <c r="AE32" s="10"/>
      <c r="AF32" s="10"/>
      <c r="AG32" s="16"/>
    </row>
    <row r="33" spans="2:38" ht="14.1" customHeight="1" x14ac:dyDescent="0.2">
      <c r="B33" s="17">
        <v>1</v>
      </c>
      <c r="C33" s="326">
        <f>(C$30*B33)+C$31</f>
        <v>31.299999999999851</v>
      </c>
      <c r="E33" s="17">
        <v>1</v>
      </c>
      <c r="F33" s="287">
        <f t="shared" ref="F33:F83" si="1">(G$26*(E33)^2)+(G$27*(E33)^1)+(G$28)</f>
        <v>31.299999999999827</v>
      </c>
      <c r="H33" s="17">
        <v>1</v>
      </c>
      <c r="I33" s="227">
        <f t="shared" ref="I33:I83" si="2">C33-F33</f>
        <v>0</v>
      </c>
      <c r="K33" s="369">
        <v>1</v>
      </c>
      <c r="L33" s="370">
        <f>F33</f>
        <v>31.299999999999827</v>
      </c>
      <c r="M33" s="371">
        <f>L33/K33</f>
        <v>31.299999999999827</v>
      </c>
      <c r="N33" s="376">
        <f>SQRT(12*32.2*M33^2/(4*$Q$5*($Q$4*56)*$Q$3^2))</f>
        <v>0.83116210953656933</v>
      </c>
      <c r="O33" s="371">
        <f>(N33*$Q$3)*SQRT(4*$Q$5*$Q$6/32.2)/12</f>
        <v>31.299258851939346</v>
      </c>
      <c r="P33" s="371">
        <f>(K33*O33)</f>
        <v>31.299258851939346</v>
      </c>
      <c r="S33" s="372" t="s">
        <v>123</v>
      </c>
      <c r="T33" s="372" t="s">
        <v>47</v>
      </c>
      <c r="U33" s="385" t="s">
        <v>51</v>
      </c>
      <c r="X33" s="134" t="s">
        <v>9</v>
      </c>
      <c r="Y33" s="103" t="s">
        <v>47</v>
      </c>
      <c r="Z33" s="387" t="s">
        <v>56</v>
      </c>
      <c r="AA33" s="103" t="s">
        <v>51</v>
      </c>
      <c r="AB33" s="10"/>
      <c r="AC33" s="10"/>
      <c r="AD33" s="10"/>
      <c r="AE33" s="10"/>
      <c r="AF33" s="10"/>
      <c r="AG33" s="16"/>
      <c r="AL33" s="63"/>
    </row>
    <row r="34" spans="2:38" ht="14.1" customHeight="1" x14ac:dyDescent="0.25">
      <c r="B34" s="17">
        <v>2</v>
      </c>
      <c r="C34" s="326">
        <f>(C$30*B34)+C$31</f>
        <v>55.655999999999857</v>
      </c>
      <c r="E34" s="17">
        <v>2</v>
      </c>
      <c r="F34" s="287">
        <f t="shared" si="1"/>
        <v>50.951999999999835</v>
      </c>
      <c r="H34" s="17">
        <v>2</v>
      </c>
      <c r="I34" s="227">
        <f t="shared" si="2"/>
        <v>4.7040000000000219</v>
      </c>
      <c r="K34" s="369">
        <v>2</v>
      </c>
      <c r="L34" s="370">
        <f>F34</f>
        <v>50.951999999999835</v>
      </c>
      <c r="M34" s="371">
        <f t="shared" ref="M34:M83" si="3">L34/K34</f>
        <v>25.475999999999917</v>
      </c>
      <c r="N34" s="376">
        <f>SQRT(12*32.2*M34^2/(4*$Q$5*($Q$4*56)*$Q$3^2))</f>
        <v>0.67650753682280151</v>
      </c>
      <c r="O34" s="371">
        <f>(N34*$Q$3)*SQRT(4*$Q$5*$Q$6/32.2)/12</f>
        <v>25.475396757572156</v>
      </c>
      <c r="P34" s="371">
        <f t="shared" ref="P34:P83" si="4">(K34*O34)</f>
        <v>50.950793515144312</v>
      </c>
      <c r="S34" s="160">
        <v>1</v>
      </c>
      <c r="T34" s="418">
        <f>N33</f>
        <v>0.83116210953656933</v>
      </c>
      <c r="U34" s="185">
        <f>P33</f>
        <v>31.299258851939346</v>
      </c>
      <c r="X34" s="139">
        <v>1</v>
      </c>
      <c r="Y34" s="111">
        <v>0.92510000000000003</v>
      </c>
      <c r="Z34" s="98">
        <v>34.838084318002032</v>
      </c>
      <c r="AA34" s="157">
        <v>34.838084318002032</v>
      </c>
      <c r="AB34" s="10" t="s">
        <v>248</v>
      </c>
      <c r="AC34" s="10"/>
      <c r="AD34" s="10"/>
      <c r="AE34" s="10"/>
      <c r="AF34" s="10"/>
      <c r="AG34" s="16"/>
      <c r="AJ34" s="2" t="s">
        <v>123</v>
      </c>
      <c r="AK34" s="288" t="s">
        <v>185</v>
      </c>
      <c r="AL34" s="63"/>
    </row>
    <row r="35" spans="2:38" ht="14.1" customHeight="1" x14ac:dyDescent="0.25">
      <c r="B35" s="17">
        <v>3</v>
      </c>
      <c r="C35" s="326">
        <f>(C$30*B35)+C$31</f>
        <v>80.011999999999858</v>
      </c>
      <c r="E35" s="17">
        <v>3</v>
      </c>
      <c r="F35" s="287">
        <f>(G$26*(E35)^2)+(G$27*(E35)^1)+(G$28)</f>
        <v>70.79599999999985</v>
      </c>
      <c r="H35" s="17">
        <v>3</v>
      </c>
      <c r="I35" s="227">
        <f t="shared" si="2"/>
        <v>9.2160000000000082</v>
      </c>
      <c r="K35" s="369">
        <v>3</v>
      </c>
      <c r="L35" s="370">
        <f t="shared" ref="L35:L83" si="5">F35</f>
        <v>70.79599999999985</v>
      </c>
      <c r="M35" s="371">
        <f t="shared" si="3"/>
        <v>23.598666666666617</v>
      </c>
      <c r="N35" s="376">
        <f>SQRT(12*32.2*M35^2/(4*$Q$5*($Q$4*56)*$Q$3^2))</f>
        <v>0.62665551338393144</v>
      </c>
      <c r="O35" s="371">
        <f>(N35*$Q$3)*SQRT(4*$Q$5*$Q$6/32.2)/12</f>
        <v>23.598107877336588</v>
      </c>
      <c r="P35" s="371">
        <f t="shared" si="4"/>
        <v>70.794323632009764</v>
      </c>
      <c r="R35" s="421">
        <f>T35</f>
        <v>0.67650753682280151</v>
      </c>
      <c r="S35" s="373">
        <v>2</v>
      </c>
      <c r="T35" s="419">
        <f>N34</f>
        <v>0.67650753682280151</v>
      </c>
      <c r="U35" s="423">
        <f>P34</f>
        <v>50.950793515144312</v>
      </c>
      <c r="V35" s="1" t="s">
        <v>263</v>
      </c>
      <c r="X35" s="139">
        <v>2</v>
      </c>
      <c r="Y35" s="112">
        <v>0.81499999999999995</v>
      </c>
      <c r="Z35" s="94">
        <v>30.691858954893149</v>
      </c>
      <c r="AA35" s="158">
        <v>61.383717909786299</v>
      </c>
      <c r="AB35" s="15" t="s">
        <v>249</v>
      </c>
      <c r="AC35" s="10"/>
      <c r="AD35" s="10"/>
      <c r="AE35" s="10"/>
      <c r="AF35" s="10"/>
      <c r="AG35" s="16"/>
      <c r="AJ35" s="17">
        <v>1</v>
      </c>
      <c r="AK35" s="287">
        <f>(AL$28*(AJ35)^3)+(AL$29*(AJ35)^2)+(AL$30*(AJ35)^1)+(AL$31)</f>
        <v>30.000000000000284</v>
      </c>
    </row>
    <row r="36" spans="2:38" ht="14.1" customHeight="1" x14ac:dyDescent="0.25">
      <c r="B36" s="17">
        <v>4</v>
      </c>
      <c r="C36" s="326">
        <f>(C$30*B36)+C$31</f>
        <v>104.36799999999987</v>
      </c>
      <c r="E36" s="17">
        <v>4</v>
      </c>
      <c r="F36" s="287">
        <f t="shared" si="1"/>
        <v>90.831999999999852</v>
      </c>
      <c r="H36" s="17">
        <v>4</v>
      </c>
      <c r="I36" s="227">
        <f t="shared" si="2"/>
        <v>13.536000000000016</v>
      </c>
      <c r="K36" s="369">
        <v>4</v>
      </c>
      <c r="L36" s="370">
        <f t="shared" si="5"/>
        <v>90.831999999999852</v>
      </c>
      <c r="M36" s="371">
        <f t="shared" si="3"/>
        <v>22.707999999999963</v>
      </c>
      <c r="N36" s="376">
        <f>SQRT(12*32.2*M36^2/(4*$Q$5*($Q$4*56)*$Q$3^2))</f>
        <v>0.60300412726378561</v>
      </c>
      <c r="O36" s="371">
        <f>(N36*$Q$3)*SQRT(4*$Q$5*$Q$6/32.2)/12</f>
        <v>22.70746230063391</v>
      </c>
      <c r="P36" s="371">
        <f t="shared" si="4"/>
        <v>90.829849202535641</v>
      </c>
      <c r="R36" s="422"/>
      <c r="S36" s="160">
        <v>3</v>
      </c>
      <c r="T36" s="418">
        <f>N35</f>
        <v>0.62665551338393144</v>
      </c>
      <c r="U36" s="185">
        <f>P35</f>
        <v>70.794323632009764</v>
      </c>
      <c r="X36" s="139">
        <v>3</v>
      </c>
      <c r="Y36" s="113">
        <v>0.74</v>
      </c>
      <c r="Z36" s="93">
        <v>27.867454756590096</v>
      </c>
      <c r="AA36" s="91">
        <v>83.602364269770291</v>
      </c>
      <c r="AB36" s="10"/>
      <c r="AC36" s="10"/>
      <c r="AD36" s="10"/>
      <c r="AE36" s="10"/>
      <c r="AF36" s="10"/>
      <c r="AG36" s="16"/>
      <c r="AJ36" s="17">
        <v>2</v>
      </c>
      <c r="AK36" s="287">
        <f>(AL$28*(AJ36)^3)+(AL$29*(AJ36)^2)+(AL$30*(AJ36)^1)+(AL$31)</f>
        <v>33.991719676550147</v>
      </c>
    </row>
    <row r="37" spans="2:38" ht="14.1" customHeight="1" x14ac:dyDescent="0.25">
      <c r="B37" s="17">
        <v>5</v>
      </c>
      <c r="C37" s="326">
        <f>(C$30*B37)+C$31</f>
        <v>128.72399999999988</v>
      </c>
      <c r="E37" s="17">
        <v>5</v>
      </c>
      <c r="F37" s="287">
        <f t="shared" si="1"/>
        <v>111.05999999999985</v>
      </c>
      <c r="G37" s="287"/>
      <c r="H37" s="17">
        <v>5</v>
      </c>
      <c r="I37" s="227">
        <f t="shared" si="2"/>
        <v>17.66400000000003</v>
      </c>
      <c r="K37" s="369">
        <v>5</v>
      </c>
      <c r="L37" s="370">
        <f t="shared" si="5"/>
        <v>111.05999999999985</v>
      </c>
      <c r="M37" s="371">
        <f t="shared" si="3"/>
        <v>22.211999999999968</v>
      </c>
      <c r="N37" s="376">
        <f>SQRT(12*32.2*M37^2/(4*$Q$5*($Q$4*56)*$Q$3^2))</f>
        <v>0.58983299607112949</v>
      </c>
      <c r="O37" s="371">
        <f>(N37*$Q$3)*SQRT(4*$Q$5*$Q$6/32.2)/12</f>
        <v>22.211474045344399</v>
      </c>
      <c r="P37" s="371">
        <f t="shared" si="4"/>
        <v>111.057370226722</v>
      </c>
      <c r="R37" s="422"/>
      <c r="S37" s="160">
        <v>4</v>
      </c>
      <c r="T37" s="418">
        <f>N36</f>
        <v>0.60300412726378561</v>
      </c>
      <c r="U37" s="185">
        <f>P36</f>
        <v>90.829849202535641</v>
      </c>
      <c r="X37" s="139">
        <v>4</v>
      </c>
      <c r="Y37" s="113">
        <v>0.70499999999999996</v>
      </c>
      <c r="Z37" s="93">
        <v>26.549399464048673</v>
      </c>
      <c r="AA37" s="91">
        <v>106.19759785619469</v>
      </c>
      <c r="AB37" s="10"/>
      <c r="AC37" s="10"/>
      <c r="AD37" s="10"/>
      <c r="AE37" s="10"/>
      <c r="AF37" s="10"/>
      <c r="AG37" s="16"/>
      <c r="AJ37" s="17">
        <v>3</v>
      </c>
      <c r="AK37" s="287">
        <f>(AL$28*(AJ37)^3)+(AL$29*(AJ37)^2)+(AL$30*(AJ37)^1)+(AL$31)</f>
        <v>40.51504248491878</v>
      </c>
    </row>
    <row r="38" spans="2:38" ht="14.1" customHeight="1" x14ac:dyDescent="0.25">
      <c r="B38" s="17">
        <v>6</v>
      </c>
      <c r="C38" s="326">
        <f>(C$30*B38)+C$31</f>
        <v>153.07999999999987</v>
      </c>
      <c r="E38" s="17">
        <v>6</v>
      </c>
      <c r="F38" s="287">
        <f t="shared" si="1"/>
        <v>131.47999999999985</v>
      </c>
      <c r="G38" s="287"/>
      <c r="H38" s="17">
        <v>6</v>
      </c>
      <c r="I38" s="227">
        <f t="shared" si="2"/>
        <v>21.600000000000023</v>
      </c>
      <c r="K38" s="17">
        <v>6</v>
      </c>
      <c r="L38" s="287">
        <f t="shared" si="5"/>
        <v>131.47999999999985</v>
      </c>
      <c r="M38" s="227">
        <f t="shared" si="3"/>
        <v>21.913333333333309</v>
      </c>
      <c r="N38" s="377">
        <f>SQRT(12*32.2*M38^2/(4*$Q$5*($Q$4*56)*$Q$3^2))</f>
        <v>0.5819019923422184</v>
      </c>
      <c r="O38" s="227">
        <f>(N38*$Q$3)*SQRT(4*$Q$5*$Q$6/32.2)/12</f>
        <v>21.91281445076147</v>
      </c>
      <c r="P38" s="227">
        <f t="shared" si="4"/>
        <v>131.47688670456881</v>
      </c>
      <c r="R38" s="421">
        <f>T38</f>
        <v>0.58983299607112949</v>
      </c>
      <c r="S38" s="373">
        <v>5</v>
      </c>
      <c r="T38" s="419">
        <f>N37</f>
        <v>0.58983299607112949</v>
      </c>
      <c r="U38" s="420">
        <f>P37</f>
        <v>111.057370226722</v>
      </c>
      <c r="X38" s="139">
        <v>5</v>
      </c>
      <c r="Y38" s="112">
        <v>0.67849999999999999</v>
      </c>
      <c r="Z38" s="94">
        <v>25.551443313981597</v>
      </c>
      <c r="AA38" s="158">
        <v>127.75721656990798</v>
      </c>
      <c r="AB38" s="10"/>
      <c r="AC38" s="10"/>
      <c r="AD38" s="10"/>
      <c r="AE38" s="10"/>
      <c r="AF38" s="10"/>
      <c r="AG38" s="16"/>
      <c r="AJ38" s="17">
        <v>4</v>
      </c>
      <c r="AK38" s="287">
        <f>(AL$28*(AJ38)^3)+(AL$29*(AJ38)^2)+(AL$30*(AJ38)^1)+(AL$31)</f>
        <v>49.463978436657968</v>
      </c>
    </row>
    <row r="39" spans="2:38" ht="14.1" customHeight="1" x14ac:dyDescent="0.25">
      <c r="B39" s="17">
        <v>7</v>
      </c>
      <c r="C39" s="326">
        <f>(C$30*B39)+C$31</f>
        <v>177.43599999999989</v>
      </c>
      <c r="E39" s="17">
        <v>7</v>
      </c>
      <c r="F39" s="287">
        <f t="shared" si="1"/>
        <v>152.09199999999987</v>
      </c>
      <c r="G39" s="287"/>
      <c r="H39" s="17">
        <v>7</v>
      </c>
      <c r="I39" s="227">
        <f>C39-F39</f>
        <v>25.344000000000023</v>
      </c>
      <c r="K39" s="17">
        <v>7</v>
      </c>
      <c r="L39" s="287">
        <f t="shared" si="5"/>
        <v>152.09199999999987</v>
      </c>
      <c r="M39" s="227">
        <f t="shared" si="3"/>
        <v>21.727428571428554</v>
      </c>
      <c r="N39" s="377">
        <f>SQRT(12*32.2*M39^2/(4*$Q$5*($Q$4*56)*$Q$3^2))</f>
        <v>0.5769653471640187</v>
      </c>
      <c r="O39" s="227">
        <f>(N39*$Q$3)*SQRT(4*$Q$5*$Q$6/32.2)/12</f>
        <v>21.726914090868018</v>
      </c>
      <c r="P39" s="227">
        <f t="shared" si="4"/>
        <v>152.08839863607614</v>
      </c>
      <c r="R39" s="422"/>
      <c r="S39" s="160">
        <v>10</v>
      </c>
      <c r="T39" s="418">
        <f>N42</f>
        <v>0.57113848728155336</v>
      </c>
      <c r="U39" s="185">
        <f>P42</f>
        <v>215.07490715256066</v>
      </c>
      <c r="X39" s="139">
        <v>10</v>
      </c>
      <c r="Y39" s="154">
        <v>0.64</v>
      </c>
      <c r="Z39" s="93">
        <v>24.101582492186029</v>
      </c>
      <c r="AA39" s="91">
        <v>241.01582492186029</v>
      </c>
      <c r="AB39" s="10"/>
      <c r="AC39" s="10"/>
      <c r="AD39" s="10"/>
      <c r="AE39" s="10"/>
      <c r="AF39" s="10"/>
      <c r="AG39" s="16"/>
      <c r="AJ39" s="17">
        <v>5</v>
      </c>
      <c r="AK39" s="287">
        <f>(AL$28*(AJ39)^3)+(AL$29*(AJ39)^2)+(AL$30*(AJ39)^1)+(AL$31)</f>
        <v>60.732537543319509</v>
      </c>
      <c r="AL39" s="287"/>
    </row>
    <row r="40" spans="2:38" ht="14.1" customHeight="1" x14ac:dyDescent="0.25">
      <c r="B40" s="17">
        <v>8</v>
      </c>
      <c r="C40" s="326">
        <f>(C$30*B40)+C$31</f>
        <v>201.79199999999989</v>
      </c>
      <c r="E40" s="17">
        <v>8</v>
      </c>
      <c r="F40" s="287">
        <f t="shared" si="1"/>
        <v>172.8959999999999</v>
      </c>
      <c r="G40" s="287"/>
      <c r="H40" s="17">
        <v>8</v>
      </c>
      <c r="I40" s="227">
        <f t="shared" si="2"/>
        <v>28.895999999999987</v>
      </c>
      <c r="K40" s="17">
        <v>8</v>
      </c>
      <c r="L40" s="287">
        <f t="shared" si="5"/>
        <v>172.8959999999999</v>
      </c>
      <c r="M40" s="227">
        <f t="shared" si="3"/>
        <v>21.611999999999988</v>
      </c>
      <c r="N40" s="377">
        <f>SQRT(12*32.2*M40^2/(4*$Q$5*($Q$4*56)*$Q$3^2))</f>
        <v>0.57390017608001354</v>
      </c>
      <c r="O40" s="227">
        <f>(N40*$Q$3)*SQRT(4*$Q$5*$Q$6/32.2)/12</f>
        <v>21.611488252655477</v>
      </c>
      <c r="P40" s="227">
        <f t="shared" si="4"/>
        <v>172.89190602124381</v>
      </c>
      <c r="R40" s="422"/>
      <c r="S40" s="160">
        <v>20</v>
      </c>
      <c r="T40" s="418">
        <f>N52</f>
        <v>0.58091061687610512</v>
      </c>
      <c r="U40" s="185">
        <f>P52</f>
        <v>437.50964002877248</v>
      </c>
      <c r="X40" s="139">
        <v>20</v>
      </c>
      <c r="Y40" s="154">
        <v>0.65</v>
      </c>
      <c r="Z40" s="93">
        <v>24.478169718626436</v>
      </c>
      <c r="AA40" s="91">
        <v>489.56339437252871</v>
      </c>
      <c r="AB40" s="10"/>
      <c r="AC40" s="10"/>
      <c r="AD40" s="10"/>
      <c r="AE40" s="10"/>
      <c r="AF40" s="10"/>
      <c r="AG40" s="16"/>
    </row>
    <row r="41" spans="2:38" ht="14.1" customHeight="1" x14ac:dyDescent="0.25">
      <c r="B41" s="17">
        <v>9</v>
      </c>
      <c r="C41" s="326">
        <f>(C$30*B41)+C$31</f>
        <v>226.14799999999988</v>
      </c>
      <c r="E41" s="17">
        <v>9</v>
      </c>
      <c r="F41" s="287">
        <f t="shared" si="1"/>
        <v>193.89199999999988</v>
      </c>
      <c r="G41" s="287"/>
      <c r="H41" s="17">
        <v>9</v>
      </c>
      <c r="I41" s="227">
        <f t="shared" si="2"/>
        <v>32.256</v>
      </c>
      <c r="K41" s="17">
        <v>9</v>
      </c>
      <c r="L41" s="287">
        <f t="shared" si="5"/>
        <v>193.89199999999988</v>
      </c>
      <c r="M41" s="227">
        <f t="shared" si="3"/>
        <v>21.543555555555542</v>
      </c>
      <c r="N41" s="377">
        <f>SQRT(12*32.2*M41^2/(4*$Q$5*($Q$4*56)*$Q$3^2))</f>
        <v>0.57208265439213801</v>
      </c>
      <c r="O41" s="227">
        <f>(N41*$Q$3)*SQRT(4*$Q$5*$Q$6/32.2)/12</f>
        <v>21.543045428896889</v>
      </c>
      <c r="P41" s="227">
        <f t="shared" si="4"/>
        <v>193.88740886007201</v>
      </c>
      <c r="R41" s="422"/>
      <c r="S41" s="160">
        <v>30</v>
      </c>
      <c r="T41" s="418">
        <f>N62</f>
        <v>0.60116300139814638</v>
      </c>
      <c r="U41" s="185">
        <f>P62</f>
        <v>679.14391827103009</v>
      </c>
      <c r="X41" s="139">
        <v>30</v>
      </c>
      <c r="Y41" s="154">
        <v>0.66500000000000004</v>
      </c>
      <c r="Z41" s="93">
        <v>25.04305055828705</v>
      </c>
      <c r="AA41" s="91">
        <v>751.29151674861146</v>
      </c>
      <c r="AB41" s="10"/>
      <c r="AC41" s="10"/>
      <c r="AD41" s="10"/>
      <c r="AE41" s="10"/>
      <c r="AF41" s="10"/>
      <c r="AG41" s="16"/>
    </row>
    <row r="42" spans="2:38" ht="14.1" customHeight="1" x14ac:dyDescent="0.25">
      <c r="B42" s="17">
        <v>10</v>
      </c>
      <c r="C42" s="326">
        <f>(C$30*B42)+C$31</f>
        <v>250.50399999999991</v>
      </c>
      <c r="E42" s="17">
        <v>10</v>
      </c>
      <c r="F42" s="287">
        <f t="shared" si="1"/>
        <v>215.07999999999987</v>
      </c>
      <c r="G42" s="287"/>
      <c r="H42" s="17">
        <v>10</v>
      </c>
      <c r="I42" s="227">
        <f t="shared" si="2"/>
        <v>35.424000000000035</v>
      </c>
      <c r="K42" s="369">
        <v>10</v>
      </c>
      <c r="L42" s="370">
        <f>F42</f>
        <v>215.07999999999987</v>
      </c>
      <c r="M42" s="371">
        <f t="shared" si="3"/>
        <v>21.507999999999988</v>
      </c>
      <c r="N42" s="376">
        <f>SQRT(12*32.2*M42^2/(4*$Q$5*($Q$4*56)*$Q$3^2))</f>
        <v>0.57113848728155336</v>
      </c>
      <c r="O42" s="371">
        <f>(N42*$Q$3)*SQRT(4*$Q$5*$Q$6/32.2)/12</f>
        <v>21.507490715256065</v>
      </c>
      <c r="P42" s="371">
        <f t="shared" si="4"/>
        <v>215.07490715256066</v>
      </c>
      <c r="R42" s="421">
        <f>T42</f>
        <v>0.62403544965206026</v>
      </c>
      <c r="S42" s="373">
        <v>40</v>
      </c>
      <c r="T42" s="419">
        <f>N72</f>
        <v>0.62403544965206026</v>
      </c>
      <c r="U42" s="423">
        <f>P72</f>
        <v>939.97774187933385</v>
      </c>
      <c r="V42" s="1" t="s">
        <v>264</v>
      </c>
      <c r="X42" s="139">
        <v>40</v>
      </c>
      <c r="Y42" s="155">
        <v>0.68</v>
      </c>
      <c r="Z42" s="94">
        <v>25.607931397947663</v>
      </c>
      <c r="AA42" s="158">
        <v>1024.3172559179066</v>
      </c>
      <c r="AB42" s="10"/>
      <c r="AC42" s="10"/>
      <c r="AD42" s="10"/>
      <c r="AE42" s="10"/>
      <c r="AF42" s="10"/>
      <c r="AG42" s="16"/>
    </row>
    <row r="43" spans="2:38" ht="14.1" customHeight="1" x14ac:dyDescent="0.25">
      <c r="B43" s="17">
        <v>11</v>
      </c>
      <c r="C43" s="326">
        <f>(C$30*B43)+C$31</f>
        <v>274.8599999999999</v>
      </c>
      <c r="E43" s="17">
        <v>11</v>
      </c>
      <c r="F43" s="287">
        <f t="shared" si="1"/>
        <v>236.45999999999987</v>
      </c>
      <c r="G43" s="287"/>
      <c r="H43" s="17">
        <v>11</v>
      </c>
      <c r="I43" s="227">
        <f t="shared" si="2"/>
        <v>38.400000000000034</v>
      </c>
      <c r="K43" s="17">
        <v>11</v>
      </c>
      <c r="L43" s="287">
        <f t="shared" si="5"/>
        <v>236.45999999999987</v>
      </c>
      <c r="M43" s="227">
        <f t="shared" si="3"/>
        <v>21.496363636363625</v>
      </c>
      <c r="N43" s="377">
        <f>SQRT(12*32.2*M43^2/(4*$Q$5*($Q$4*56)*$Q$3^2))</f>
        <v>0.57082948713627113</v>
      </c>
      <c r="O43" s="227">
        <f>(N43*$Q$3)*SQRT(4*$Q$5*$Q$6/32.2)/12</f>
        <v>21.495854627155428</v>
      </c>
      <c r="P43" s="227">
        <f t="shared" si="4"/>
        <v>236.45440089870971</v>
      </c>
      <c r="S43" s="160">
        <v>50</v>
      </c>
      <c r="T43" s="418">
        <f>N82</f>
        <v>0.6479559233987231</v>
      </c>
      <c r="U43" s="185">
        <f>P82</f>
        <v>1220.0111108536837</v>
      </c>
      <c r="X43" s="388">
        <v>50</v>
      </c>
      <c r="Y43" s="389">
        <v>0.7</v>
      </c>
      <c r="Z43" s="390">
        <v>26.361105850828469</v>
      </c>
      <c r="AA43" s="391">
        <v>1318.0552925414236</v>
      </c>
      <c r="AB43" s="3"/>
      <c r="AC43" s="3"/>
      <c r="AD43" s="3"/>
      <c r="AE43" s="3"/>
      <c r="AF43" s="3"/>
      <c r="AG43" s="8"/>
    </row>
    <row r="44" spans="2:38" ht="14.1" customHeight="1" x14ac:dyDescent="0.2">
      <c r="B44" s="17">
        <v>12</v>
      </c>
      <c r="C44" s="326">
        <f>(C$30*B44)+C$31</f>
        <v>299.21599999999989</v>
      </c>
      <c r="E44" s="17">
        <v>12</v>
      </c>
      <c r="F44" s="287">
        <f t="shared" si="1"/>
        <v>258.03199999999993</v>
      </c>
      <c r="G44" s="287"/>
      <c r="H44" s="17">
        <v>12</v>
      </c>
      <c r="I44" s="227">
        <f t="shared" si="2"/>
        <v>41.183999999999969</v>
      </c>
      <c r="K44" s="17">
        <v>12</v>
      </c>
      <c r="L44" s="287">
        <f t="shared" si="5"/>
        <v>258.03199999999993</v>
      </c>
      <c r="M44" s="227">
        <f t="shared" si="3"/>
        <v>21.502666666666659</v>
      </c>
      <c r="N44" s="377">
        <f>SQRT(12*32.2*M44^2/(4*$Q$5*($Q$4*56)*$Q$3^2))</f>
        <v>0.57099686221496582</v>
      </c>
      <c r="O44" s="227">
        <f>(N44*$Q$3)*SQRT(4*$Q$5*$Q$6/32.2)/12</f>
        <v>21.502157508209944</v>
      </c>
      <c r="P44" s="227">
        <f t="shared" si="4"/>
        <v>258.02589009851931</v>
      </c>
      <c r="S44" s="312"/>
    </row>
    <row r="45" spans="2:38" ht="14.1" customHeight="1" x14ac:dyDescent="0.2">
      <c r="B45" s="17">
        <v>13</v>
      </c>
      <c r="C45" s="326">
        <f>(C$30*B45)+C$31</f>
        <v>323.57199999999989</v>
      </c>
      <c r="E45" s="17">
        <v>13</v>
      </c>
      <c r="F45" s="287">
        <f t="shared" si="1"/>
        <v>279.79599999999988</v>
      </c>
      <c r="G45" s="287"/>
      <c r="H45" s="17">
        <v>13</v>
      </c>
      <c r="I45" s="227">
        <f t="shared" si="2"/>
        <v>43.77600000000001</v>
      </c>
      <c r="K45" s="17">
        <v>13</v>
      </c>
      <c r="L45" s="287">
        <f t="shared" si="5"/>
        <v>279.79599999999988</v>
      </c>
      <c r="M45" s="227">
        <f t="shared" si="3"/>
        <v>21.522769230769221</v>
      </c>
      <c r="N45" s="377">
        <f>SQRT(12*32.2*M45^2/(4*$Q$5*($Q$4*56)*$Q$3^2))</f>
        <v>0.57153067977364258</v>
      </c>
      <c r="O45" s="227">
        <f>(N45*$Q$3)*SQRT(4*$Q$5*$Q$6/32.2)/12</f>
        <v>21.522259596306878</v>
      </c>
      <c r="P45" s="227">
        <f t="shared" si="4"/>
        <v>279.78937475198939</v>
      </c>
    </row>
    <row r="46" spans="2:38" ht="14.1" customHeight="1" x14ac:dyDescent="0.2">
      <c r="B46" s="17">
        <v>14</v>
      </c>
      <c r="C46" s="326">
        <f>(C$30*B46)+C$31</f>
        <v>347.92799999999994</v>
      </c>
      <c r="E46" s="17">
        <v>14</v>
      </c>
      <c r="F46" s="287">
        <f t="shared" si="1"/>
        <v>301.7519999999999</v>
      </c>
      <c r="G46" s="287"/>
      <c r="H46" s="17">
        <v>14</v>
      </c>
      <c r="I46" s="227">
        <f t="shared" si="2"/>
        <v>46.176000000000045</v>
      </c>
      <c r="K46" s="17">
        <v>14</v>
      </c>
      <c r="L46" s="287">
        <f t="shared" si="5"/>
        <v>301.7519999999999</v>
      </c>
      <c r="M46" s="227">
        <f t="shared" si="3"/>
        <v>21.553714285714278</v>
      </c>
      <c r="N46" s="377">
        <f>SQRT(12*32.2*M46^2/(4*$Q$5*($Q$4*56)*$Q$3^2))</f>
        <v>0.57235241642373391</v>
      </c>
      <c r="O46" s="227">
        <f>(N46*$Q$3)*SQRT(4*$Q$5*$Q$6/32.2)/12</f>
        <v>21.553203918508562</v>
      </c>
      <c r="P46" s="227">
        <f t="shared" si="4"/>
        <v>301.74485485911987</v>
      </c>
    </row>
    <row r="47" spans="2:38" ht="14.1" customHeight="1" x14ac:dyDescent="0.2">
      <c r="B47" s="17">
        <v>15</v>
      </c>
      <c r="C47" s="326">
        <f>(C$30*B47)+C$31</f>
        <v>372.28399999999993</v>
      </c>
      <c r="E47" s="17">
        <v>15</v>
      </c>
      <c r="F47" s="287">
        <f t="shared" si="1"/>
        <v>323.89999999999986</v>
      </c>
      <c r="G47" s="287"/>
      <c r="H47" s="17">
        <v>15</v>
      </c>
      <c r="I47" s="227">
        <f t="shared" si="2"/>
        <v>48.384000000000071</v>
      </c>
      <c r="K47" s="17">
        <v>15</v>
      </c>
      <c r="L47" s="287">
        <f t="shared" si="5"/>
        <v>323.89999999999986</v>
      </c>
      <c r="M47" s="227">
        <f t="shared" si="3"/>
        <v>21.593333333333323</v>
      </c>
      <c r="N47" s="377">
        <f>SQRT(12*32.2*M47^2/(4*$Q$5*($Q$4*56)*$Q$3^2))</f>
        <v>0.57340448834695668</v>
      </c>
      <c r="O47" s="227">
        <f>(N47*$Q$3)*SQRT(4*$Q$5*$Q$6/32.2)/12</f>
        <v>21.592822027994046</v>
      </c>
      <c r="P47" s="227">
        <f t="shared" si="4"/>
        <v>323.89233041991071</v>
      </c>
    </row>
    <row r="48" spans="2:38" ht="14.1" customHeight="1" x14ac:dyDescent="0.2">
      <c r="B48" s="17">
        <v>16</v>
      </c>
      <c r="C48" s="326">
        <f>(C$30*B48)+C$31</f>
        <v>396.63999999999993</v>
      </c>
      <c r="E48" s="17">
        <v>16</v>
      </c>
      <c r="F48" s="287">
        <f t="shared" si="1"/>
        <v>346.2399999999999</v>
      </c>
      <c r="G48" s="287"/>
      <c r="H48" s="17">
        <v>16</v>
      </c>
      <c r="I48" s="227">
        <f t="shared" si="2"/>
        <v>50.400000000000034</v>
      </c>
      <c r="K48" s="17">
        <v>16</v>
      </c>
      <c r="L48" s="287">
        <f t="shared" si="5"/>
        <v>346.2399999999999</v>
      </c>
      <c r="M48" s="227">
        <f t="shared" si="3"/>
        <v>21.639999999999993</v>
      </c>
      <c r="N48" s="377">
        <f>SQRT(12*32.2*M48^2/(4*$Q$5*($Q$4*56)*$Q$3^2))</f>
        <v>0.57464370767959916</v>
      </c>
      <c r="O48" s="227">
        <f>(N48*$Q$3)*SQRT(4*$Q$5*$Q$6/32.2)/12</f>
        <v>21.639487589647633</v>
      </c>
      <c r="P48" s="227">
        <f t="shared" si="4"/>
        <v>346.23180143436213</v>
      </c>
    </row>
    <row r="49" spans="1:16" ht="14.1" customHeight="1" x14ac:dyDescent="0.2">
      <c r="B49" s="17">
        <v>17</v>
      </c>
      <c r="C49" s="326">
        <f>(C$30*B49)+C$31</f>
        <v>420.99599999999992</v>
      </c>
      <c r="E49" s="17">
        <v>17</v>
      </c>
      <c r="F49" s="287">
        <f t="shared" si="1"/>
        <v>368.77199999999993</v>
      </c>
      <c r="G49" s="287"/>
      <c r="H49" s="17">
        <v>17</v>
      </c>
      <c r="I49" s="227">
        <f t="shared" si="2"/>
        <v>52.22399999999999</v>
      </c>
      <c r="K49" s="17">
        <v>17</v>
      </c>
      <c r="L49" s="287">
        <f t="shared" si="5"/>
        <v>368.77199999999993</v>
      </c>
      <c r="M49" s="227">
        <f t="shared" si="3"/>
        <v>21.692470588235292</v>
      </c>
      <c r="N49" s="377">
        <f>SQRT(12*32.2*M49^2/(4*$Q$5*($Q$4*56)*$Q$3^2))</f>
        <v>0.57603704840823411</v>
      </c>
      <c r="O49" s="227">
        <f>(N49*$Q$3)*SQRT(4*$Q$5*$Q$6/32.2)/12</f>
        <v>21.691956935439652</v>
      </c>
      <c r="P49" s="227">
        <f t="shared" si="4"/>
        <v>368.76326790247407</v>
      </c>
    </row>
    <row r="50" spans="1:16" ht="14.1" customHeight="1" x14ac:dyDescent="0.2">
      <c r="B50" s="17">
        <v>18</v>
      </c>
      <c r="C50" s="326">
        <f>(C$30*B50)+C$31</f>
        <v>445.35199999999992</v>
      </c>
      <c r="E50" s="17">
        <v>18</v>
      </c>
      <c r="F50" s="287">
        <f t="shared" si="1"/>
        <v>391.49599999999992</v>
      </c>
      <c r="G50" s="287"/>
      <c r="H50" s="17">
        <v>18</v>
      </c>
      <c r="I50" s="227">
        <f t="shared" si="2"/>
        <v>53.855999999999995</v>
      </c>
      <c r="K50" s="17">
        <v>18</v>
      </c>
      <c r="L50" s="287">
        <f t="shared" si="5"/>
        <v>391.49599999999992</v>
      </c>
      <c r="M50" s="227">
        <f t="shared" si="3"/>
        <v>21.749777777777773</v>
      </c>
      <c r="N50" s="377">
        <f>SQRT(12*32.2*M50^2/(4*$Q$5*($Q$4*56)*$Q$3^2))</f>
        <v>0.57755882363352939</v>
      </c>
      <c r="O50" s="227">
        <f>(N50*$Q$3)*SQRT(4*$Q$5*$Q$6/32.2)/12</f>
        <v>21.749262768013683</v>
      </c>
      <c r="P50" s="227">
        <f t="shared" si="4"/>
        <v>391.48672982424631</v>
      </c>
    </row>
    <row r="51" spans="1:16" ht="14.1" customHeight="1" x14ac:dyDescent="0.2">
      <c r="B51" s="17">
        <v>19</v>
      </c>
      <c r="C51" s="326">
        <f>(C$30*B51)+C$31</f>
        <v>469.70799999999997</v>
      </c>
      <c r="E51" s="17">
        <v>19</v>
      </c>
      <c r="F51" s="287">
        <f t="shared" si="1"/>
        <v>414.41199999999992</v>
      </c>
      <c r="G51" s="287"/>
      <c r="H51" s="17">
        <v>19</v>
      </c>
      <c r="I51" s="227">
        <f t="shared" si="2"/>
        <v>55.296000000000049</v>
      </c>
      <c r="K51" s="17">
        <v>19</v>
      </c>
      <c r="L51" s="287">
        <f t="shared" si="5"/>
        <v>414.41199999999992</v>
      </c>
      <c r="M51" s="227">
        <f t="shared" si="3"/>
        <v>21.811157894736837</v>
      </c>
      <c r="N51" s="377">
        <f>SQRT(12*32.2*M51^2/(4*$Q$5*($Q$4*56)*$Q$3^2))</f>
        <v>0.5791887542244335</v>
      </c>
      <c r="O51" s="227">
        <f>(N51*$Q$3)*SQRT(4*$Q$5*$Q$6/32.2)/12</f>
        <v>21.810641431562061</v>
      </c>
      <c r="P51" s="227">
        <f t="shared" si="4"/>
        <v>414.40218719967913</v>
      </c>
    </row>
    <row r="52" spans="1:16" ht="14.1" customHeight="1" x14ac:dyDescent="0.2">
      <c r="B52" s="17">
        <v>20</v>
      </c>
      <c r="C52" s="326">
        <f>(C$30*B52)+C$31</f>
        <v>494.06399999999996</v>
      </c>
      <c r="E52" s="17">
        <v>20</v>
      </c>
      <c r="F52" s="287">
        <f t="shared" si="1"/>
        <v>437.51999999999992</v>
      </c>
      <c r="G52" s="287"/>
      <c r="H52" s="17">
        <v>20</v>
      </c>
      <c r="I52" s="227">
        <f t="shared" si="2"/>
        <v>56.54400000000004</v>
      </c>
      <c r="K52" s="369">
        <v>20</v>
      </c>
      <c r="L52" s="370">
        <f t="shared" si="5"/>
        <v>437.51999999999992</v>
      </c>
      <c r="M52" s="371">
        <f t="shared" si="3"/>
        <v>21.875999999999998</v>
      </c>
      <c r="N52" s="376">
        <f>SQRT(12*32.2*M52^2/(4*$Q$5*($Q$4*56)*$Q$3^2))</f>
        <v>0.58091061687610512</v>
      </c>
      <c r="O52" s="371">
        <f>(N52*$Q$3)*SQRT(4*$Q$5*$Q$6/32.2)/12</f>
        <v>21.875482001438623</v>
      </c>
      <c r="P52" s="371">
        <f t="shared" si="4"/>
        <v>437.50964002877248</v>
      </c>
    </row>
    <row r="53" spans="1:16" ht="14.1" customHeight="1" x14ac:dyDescent="0.2">
      <c r="B53" s="17">
        <v>21</v>
      </c>
      <c r="C53" s="326">
        <f>(C$30*B53)+C$31</f>
        <v>518.41999999999996</v>
      </c>
      <c r="E53" s="17">
        <v>21</v>
      </c>
      <c r="F53" s="287">
        <f t="shared" si="1"/>
        <v>460.81999999999994</v>
      </c>
      <c r="G53" s="287"/>
      <c r="H53" s="17">
        <v>21</v>
      </c>
      <c r="I53" s="227">
        <f t="shared" si="2"/>
        <v>57.600000000000023</v>
      </c>
      <c r="K53" s="17">
        <v>21</v>
      </c>
      <c r="L53" s="287">
        <f t="shared" si="5"/>
        <v>460.81999999999994</v>
      </c>
      <c r="M53" s="227">
        <f t="shared" si="3"/>
        <v>21.94380952380952</v>
      </c>
      <c r="N53" s="377">
        <f>SQRT(12*32.2*M53^2/(4*$Q$5*($Q$4*56)*$Q$3^2))</f>
        <v>0.58271127843700588</v>
      </c>
      <c r="O53" s="227">
        <f>(N53*$Q$3)*SQRT(4*$Q$5*$Q$6/32.2)/12</f>
        <v>21.943289919596484</v>
      </c>
      <c r="P53" s="227">
        <f t="shared" si="4"/>
        <v>460.80908831152618</v>
      </c>
    </row>
    <row r="54" spans="1:16" ht="14.1" customHeight="1" x14ac:dyDescent="0.2">
      <c r="B54" s="17">
        <v>22</v>
      </c>
      <c r="C54" s="326">
        <f>(C$30*B54)+C$31</f>
        <v>542.77599999999995</v>
      </c>
      <c r="E54" s="17">
        <v>22</v>
      </c>
      <c r="F54" s="287">
        <f t="shared" si="1"/>
        <v>484.3119999999999</v>
      </c>
      <c r="G54" s="287"/>
      <c r="H54" s="17">
        <v>22</v>
      </c>
      <c r="I54" s="227">
        <f t="shared" si="2"/>
        <v>58.464000000000055</v>
      </c>
      <c r="K54" s="17">
        <v>22</v>
      </c>
      <c r="L54" s="287">
        <f t="shared" si="5"/>
        <v>484.3119999999999</v>
      </c>
      <c r="M54" s="227">
        <f t="shared" si="3"/>
        <v>22.014181818181815</v>
      </c>
      <c r="N54" s="377">
        <f>SQRT(12*32.2*M54^2/(4*$Q$5*($Q$4*56)*$Q$3^2))</f>
        <v>0.58457999360133184</v>
      </c>
      <c r="O54" s="227">
        <f>(N54*$Q$3)*SQRT(4*$Q$5*$Q$6/32.2)/12</f>
        <v>22.013660547633648</v>
      </c>
      <c r="P54" s="227">
        <f t="shared" si="4"/>
        <v>484.30053204794024</v>
      </c>
    </row>
    <row r="55" spans="1:16" ht="14.1" customHeight="1" x14ac:dyDescent="0.2">
      <c r="B55" s="17">
        <v>23</v>
      </c>
      <c r="C55" s="326">
        <f>(C$30*B55)+C$31</f>
        <v>567.13199999999995</v>
      </c>
      <c r="E55" s="17">
        <v>23</v>
      </c>
      <c r="F55" s="287">
        <f t="shared" si="1"/>
        <v>507.99599999999992</v>
      </c>
      <c r="G55" s="287"/>
      <c r="H55" s="17">
        <v>23</v>
      </c>
      <c r="I55" s="227">
        <f t="shared" si="2"/>
        <v>59.136000000000024</v>
      </c>
      <c r="K55" s="17">
        <v>23</v>
      </c>
      <c r="L55" s="287">
        <f t="shared" si="5"/>
        <v>507.99599999999992</v>
      </c>
      <c r="M55" s="227">
        <f t="shared" si="3"/>
        <v>22.08678260869565</v>
      </c>
      <c r="N55" s="377">
        <f>SQRT(12*32.2*M55^2/(4*$Q$5*($Q$4*56)*$Q$3^2))</f>
        <v>0.58650788581211466</v>
      </c>
      <c r="O55" s="227">
        <f>(N55*$Q$3)*SQRT(4*$Q$5*$Q$6/32.2)/12</f>
        <v>22.086259619044124</v>
      </c>
      <c r="P55" s="227">
        <f t="shared" si="4"/>
        <v>507.98397123801487</v>
      </c>
    </row>
    <row r="56" spans="1:16" ht="14.1" customHeight="1" x14ac:dyDescent="0.2">
      <c r="B56" s="17">
        <v>24</v>
      </c>
      <c r="C56" s="326">
        <f>(C$30*B56)+C$31</f>
        <v>591.48799999999994</v>
      </c>
      <c r="E56" s="17">
        <v>24</v>
      </c>
      <c r="F56" s="287">
        <f t="shared" si="1"/>
        <v>531.87199999999996</v>
      </c>
      <c r="G56" s="287"/>
      <c r="H56" s="17">
        <v>24</v>
      </c>
      <c r="I56" s="227">
        <f t="shared" si="2"/>
        <v>59.615999999999985</v>
      </c>
      <c r="K56" s="17">
        <v>24</v>
      </c>
      <c r="L56" s="287">
        <f t="shared" si="5"/>
        <v>531.87199999999996</v>
      </c>
      <c r="M56" s="227">
        <f t="shared" si="3"/>
        <v>22.161333333333332</v>
      </c>
      <c r="N56" s="377">
        <f>SQRT(12*32.2*M56^2/(4*$Q$5*($Q$4*56)*$Q$3^2))</f>
        <v>0.58848755793854712</v>
      </c>
      <c r="O56" s="227">
        <f>(N56*$Q$3)*SQRT(4*$Q$5*$Q$6/32.2)/12</f>
        <v>22.16080857840625</v>
      </c>
      <c r="P56" s="227">
        <f t="shared" si="4"/>
        <v>531.85940588175004</v>
      </c>
    </row>
    <row r="57" spans="1:16" ht="14.1" customHeight="1" x14ac:dyDescent="0.2">
      <c r="B57" s="311">
        <v>25</v>
      </c>
      <c r="C57" s="326">
        <f>(C$30*B57)+C$31</f>
        <v>615.84399999999994</v>
      </c>
      <c r="E57" s="17">
        <v>25</v>
      </c>
      <c r="F57" s="287">
        <f t="shared" si="1"/>
        <v>555.93999999999994</v>
      </c>
      <c r="G57" s="287"/>
      <c r="H57" s="17">
        <v>25</v>
      </c>
      <c r="I57" s="227">
        <f t="shared" si="2"/>
        <v>59.903999999999996</v>
      </c>
      <c r="K57" s="17">
        <v>25</v>
      </c>
      <c r="L57" s="287">
        <f t="shared" si="5"/>
        <v>555.93999999999994</v>
      </c>
      <c r="M57" s="227">
        <f t="shared" si="3"/>
        <v>22.237599999999997</v>
      </c>
      <c r="N57" s="377">
        <f>SQRT(12*32.2*M57^2/(4*$Q$5*($Q$4*56)*$Q$3^2))</f>
        <v>0.59051279639075127</v>
      </c>
      <c r="O57" s="227">
        <f>(N57*$Q$3)*SQRT(4*$Q$5*$Q$6/32.2)/12</f>
        <v>22.237073439165822</v>
      </c>
      <c r="P57" s="227">
        <f t="shared" si="4"/>
        <v>555.92683597914561</v>
      </c>
    </row>
    <row r="58" spans="1:16" ht="14.1" customHeight="1" x14ac:dyDescent="0.2">
      <c r="A58" s="236"/>
      <c r="B58" s="327">
        <v>26</v>
      </c>
      <c r="C58" s="328">
        <f>(C$30*B58)+C$31</f>
        <v>640.19999999999993</v>
      </c>
      <c r="D58" s="237"/>
      <c r="E58" s="327">
        <v>26</v>
      </c>
      <c r="F58" s="329">
        <f t="shared" si="1"/>
        <v>580.19999999999993</v>
      </c>
      <c r="G58" s="329"/>
      <c r="H58" s="327">
        <v>26</v>
      </c>
      <c r="I58" s="336">
        <f t="shared" si="2"/>
        <v>60</v>
      </c>
      <c r="J58" s="237"/>
      <c r="K58" s="327">
        <v>26</v>
      </c>
      <c r="L58" s="287">
        <f t="shared" si="5"/>
        <v>580.19999999999993</v>
      </c>
      <c r="M58" s="367">
        <f t="shared" si="3"/>
        <v>22.315384615384612</v>
      </c>
      <c r="N58" s="377">
        <f>SQRT(12*32.2*M58^2/(4*$Q$5*($Q$4*56)*$Q$3^2))</f>
        <v>0.59257834351575334</v>
      </c>
      <c r="O58" s="227">
        <f>(N58*$Q$3)*SQRT(4*$Q$5*$Q$6/32.2)/12</f>
        <v>22.314856212700054</v>
      </c>
      <c r="P58" s="227">
        <f t="shared" si="4"/>
        <v>580.18626153020136</v>
      </c>
    </row>
    <row r="59" spans="1:16" ht="14.1" customHeight="1" x14ac:dyDescent="0.2">
      <c r="B59" s="17">
        <v>27</v>
      </c>
      <c r="C59" s="326">
        <f>(C$30*B59)+C$31</f>
        <v>664.55600000000004</v>
      </c>
      <c r="E59" s="17">
        <v>27</v>
      </c>
      <c r="F59" s="287">
        <f t="shared" si="1"/>
        <v>604.65199999999993</v>
      </c>
      <c r="G59" s="287"/>
      <c r="H59" s="17">
        <v>27</v>
      </c>
      <c r="I59" s="227">
        <f t="shared" si="2"/>
        <v>59.90400000000011</v>
      </c>
      <c r="K59" s="17">
        <v>27</v>
      </c>
      <c r="L59" s="287">
        <f t="shared" si="5"/>
        <v>604.65199999999993</v>
      </c>
      <c r="M59" s="227">
        <f t="shared" si="3"/>
        <v>22.394518518518517</v>
      </c>
      <c r="N59" s="377">
        <f>SQRT(12*32.2*M59^2/(4*$Q$5*($Q$4*56)*$Q$3^2))</f>
        <v>0.59467972057213159</v>
      </c>
      <c r="O59" s="227">
        <f>(N59*$Q$3)*SQRT(4*$Q$5*$Q$6/32.2)/12</f>
        <v>22.393988242033998</v>
      </c>
      <c r="P59" s="227">
        <f t="shared" si="4"/>
        <v>604.63768253491799</v>
      </c>
    </row>
    <row r="60" spans="1:16" ht="14.1" customHeight="1" x14ac:dyDescent="0.2">
      <c r="B60" s="17">
        <v>28</v>
      </c>
      <c r="C60" s="326">
        <f>(C$30*B60)+C$31</f>
        <v>688.91200000000003</v>
      </c>
      <c r="E60" s="17">
        <v>28</v>
      </c>
      <c r="F60" s="287">
        <f t="shared" si="1"/>
        <v>629.29599999999994</v>
      </c>
      <c r="G60" s="287"/>
      <c r="H60" s="17">
        <v>28</v>
      </c>
      <c r="I60" s="227">
        <f t="shared" si="2"/>
        <v>59.616000000000099</v>
      </c>
      <c r="K60" s="17">
        <v>28</v>
      </c>
      <c r="L60" s="287">
        <f t="shared" si="5"/>
        <v>629.29599999999994</v>
      </c>
      <c r="M60" s="227">
        <f t="shared" si="3"/>
        <v>22.47485714285714</v>
      </c>
      <c r="N60" s="377">
        <f>SQRT(12*32.2*M60^2/(4*$Q$5*($Q$4*56)*$Q$3^2))</f>
        <v>0.596813088638667</v>
      </c>
      <c r="O60" s="227">
        <f>(N60*$Q$3)*SQRT(4*$Q$5*$Q$6/32.2)/12</f>
        <v>22.474324964046247</v>
      </c>
      <c r="P60" s="227">
        <f t="shared" si="4"/>
        <v>629.2810989932949</v>
      </c>
    </row>
    <row r="61" spans="1:16" ht="14.1" customHeight="1" x14ac:dyDescent="0.2">
      <c r="B61" s="17">
        <v>29</v>
      </c>
      <c r="C61" s="326">
        <f>(C$30*B61)+C$31</f>
        <v>713.26800000000003</v>
      </c>
      <c r="E61" s="17">
        <v>29</v>
      </c>
      <c r="F61" s="287">
        <f t="shared" si="1"/>
        <v>654.13199999999995</v>
      </c>
      <c r="G61" s="287"/>
      <c r="H61" s="17">
        <v>29</v>
      </c>
      <c r="I61" s="227">
        <f t="shared" si="2"/>
        <v>59.136000000000081</v>
      </c>
      <c r="K61" s="17">
        <v>29</v>
      </c>
      <c r="L61" s="287">
        <f t="shared" si="5"/>
        <v>654.13199999999995</v>
      </c>
      <c r="M61" s="227">
        <f t="shared" si="3"/>
        <v>22.556275862068965</v>
      </c>
      <c r="N61" s="377">
        <f>SQRT(12*32.2*M61^2/(4*$Q$5*($Q$4*56)*$Q$3^2))</f>
        <v>0.59897513830051574</v>
      </c>
      <c r="O61" s="227">
        <f>(N61*$Q$3)*SQRT(4*$Q$5*$Q$6/32.2)/12</f>
        <v>22.555741755356284</v>
      </c>
      <c r="P61" s="227">
        <f t="shared" si="4"/>
        <v>654.11651090533223</v>
      </c>
    </row>
    <row r="62" spans="1:16" ht="14.1" customHeight="1" x14ac:dyDescent="0.2">
      <c r="B62" s="17">
        <v>30</v>
      </c>
      <c r="C62" s="326">
        <f>(C$30*B62)+C$31</f>
        <v>737.62400000000002</v>
      </c>
      <c r="E62" s="17">
        <v>30</v>
      </c>
      <c r="F62" s="287">
        <f t="shared" si="1"/>
        <v>679.15999999999985</v>
      </c>
      <c r="G62" s="287"/>
      <c r="H62" s="17">
        <v>30</v>
      </c>
      <c r="I62" s="227">
        <f t="shared" si="2"/>
        <v>58.464000000000169</v>
      </c>
      <c r="K62" s="369">
        <v>30</v>
      </c>
      <c r="L62" s="370">
        <f t="shared" si="5"/>
        <v>679.15999999999985</v>
      </c>
      <c r="M62" s="371">
        <f t="shared" si="3"/>
        <v>22.638666666666662</v>
      </c>
      <c r="N62" s="376">
        <f>SQRT(12*32.2*M62^2/(4*$Q$5*($Q$4*56)*$Q$3^2))</f>
        <v>0.60116300139814638</v>
      </c>
      <c r="O62" s="371">
        <f>(N62*$Q$3)*SQRT(4*$Q$5*$Q$6/32.2)/12</f>
        <v>22.638130609034334</v>
      </c>
      <c r="P62" s="371">
        <f t="shared" si="4"/>
        <v>679.14391827103009</v>
      </c>
    </row>
    <row r="63" spans="1:16" ht="14.1" customHeight="1" x14ac:dyDescent="0.2">
      <c r="B63" s="17">
        <v>31</v>
      </c>
      <c r="C63" s="326">
        <f>(C$30*B63)+C$31</f>
        <v>761.98</v>
      </c>
      <c r="E63" s="17">
        <v>31</v>
      </c>
      <c r="F63" s="287">
        <f t="shared" si="1"/>
        <v>704.37999999999988</v>
      </c>
      <c r="G63" s="287"/>
      <c r="H63" s="17">
        <v>31</v>
      </c>
      <c r="I63" s="227">
        <f t="shared" si="2"/>
        <v>57.600000000000136</v>
      </c>
      <c r="K63" s="17">
        <v>31</v>
      </c>
      <c r="L63" s="287">
        <f t="shared" si="5"/>
        <v>704.37999999999988</v>
      </c>
      <c r="M63" s="227">
        <f t="shared" si="3"/>
        <v>22.721935483870965</v>
      </c>
      <c r="N63" s="377">
        <f>SQRT(12*32.2*M63^2/(4*$Q$5*($Q$4*56)*$Q$3^2))</f>
        <v>0.6033741798571286</v>
      </c>
      <c r="O63" s="227">
        <f>(N63*$Q$3)*SQRT(4*$Q$5*$Q$6/32.2)/12</f>
        <v>22.72139745452866</v>
      </c>
      <c r="P63" s="227">
        <f t="shared" si="4"/>
        <v>704.36332109038847</v>
      </c>
    </row>
    <row r="64" spans="1:16" ht="14.1" customHeight="1" x14ac:dyDescent="0.2">
      <c r="B64" s="17">
        <v>32</v>
      </c>
      <c r="C64" s="326">
        <f>(C$30*B64)+C$31</f>
        <v>786.33600000000001</v>
      </c>
      <c r="E64" s="17">
        <v>32</v>
      </c>
      <c r="F64" s="287">
        <f t="shared" si="1"/>
        <v>729.79199999999992</v>
      </c>
      <c r="G64" s="287"/>
      <c r="H64" s="17">
        <v>32</v>
      </c>
      <c r="I64" s="227">
        <f t="shared" si="2"/>
        <v>56.544000000000096</v>
      </c>
      <c r="K64" s="17">
        <v>32</v>
      </c>
      <c r="L64" s="287">
        <f t="shared" si="5"/>
        <v>729.79199999999992</v>
      </c>
      <c r="M64" s="227">
        <f t="shared" si="3"/>
        <v>22.805999999999997</v>
      </c>
      <c r="N64" s="377">
        <f>SQRT(12*32.2*M64^2/(4*$Q$5*($Q$4*56)*$Q$3^2))</f>
        <v>0.60560648786233551</v>
      </c>
      <c r="O64" s="227">
        <f>(N64*$Q$3)*SQRT(4*$Q$5*$Q$6/32.2)/12</f>
        <v>22.805459980106473</v>
      </c>
      <c r="P64" s="227">
        <f t="shared" si="4"/>
        <v>729.77471936340714</v>
      </c>
    </row>
    <row r="65" spans="2:16" ht="14.1" customHeight="1" x14ac:dyDescent="0.2">
      <c r="B65" s="17">
        <v>33</v>
      </c>
      <c r="C65" s="326">
        <f>(C$30*B65)+C$31</f>
        <v>810.69200000000001</v>
      </c>
      <c r="E65" s="17">
        <v>33</v>
      </c>
      <c r="F65" s="287">
        <f t="shared" si="1"/>
        <v>755.39599999999996</v>
      </c>
      <c r="G65" s="287"/>
      <c r="H65" s="17">
        <v>33</v>
      </c>
      <c r="I65" s="227">
        <f t="shared" si="2"/>
        <v>55.296000000000049</v>
      </c>
      <c r="K65" s="17">
        <v>33</v>
      </c>
      <c r="L65" s="287">
        <f t="shared" si="5"/>
        <v>755.39599999999996</v>
      </c>
      <c r="M65" s="227">
        <f t="shared" si="3"/>
        <v>22.890787878787876</v>
      </c>
      <c r="N65" s="377">
        <f>SQRT(12*32.2*M65^2/(4*$Q$5*($Q$4*56)*$Q$3^2))</f>
        <v>0.60785800454592864</v>
      </c>
      <c r="O65" s="227">
        <f>(N65*$Q$3)*SQRT(4*$Q$5*$Q$6/32.2)/12</f>
        <v>22.89024585121474</v>
      </c>
      <c r="P65" s="227">
        <f t="shared" si="4"/>
        <v>755.37811309008646</v>
      </c>
    </row>
    <row r="66" spans="2:16" ht="14.1" customHeight="1" x14ac:dyDescent="0.2">
      <c r="B66" s="17">
        <v>34</v>
      </c>
      <c r="C66" s="326">
        <f>(C$30*B66)+C$31</f>
        <v>835.048</v>
      </c>
      <c r="E66" s="17">
        <v>34</v>
      </c>
      <c r="F66" s="287">
        <f t="shared" si="1"/>
        <v>781.19200000000001</v>
      </c>
      <c r="G66" s="287"/>
      <c r="H66" s="17">
        <v>34</v>
      </c>
      <c r="I66" s="227">
        <f t="shared" si="2"/>
        <v>53.855999999999995</v>
      </c>
      <c r="K66" s="17">
        <v>34</v>
      </c>
      <c r="L66" s="287">
        <f t="shared" si="5"/>
        <v>781.19200000000001</v>
      </c>
      <c r="M66" s="227">
        <f t="shared" si="3"/>
        <v>22.976235294117647</v>
      </c>
      <c r="N66" s="377">
        <f>SQRT(12*32.2*M66^2/(4*$Q$5*($Q$4*56)*$Q$3^2))</f>
        <v>0.61012703502452093</v>
      </c>
      <c r="O66" s="227">
        <f>(N66*$Q$3)*SQRT(4*$Q$5*$Q$6/32.2)/12</f>
        <v>22.975691243247823</v>
      </c>
      <c r="P66" s="227">
        <f t="shared" si="4"/>
        <v>781.17350227042596</v>
      </c>
    </row>
    <row r="67" spans="2:16" ht="14.1" customHeight="1" x14ac:dyDescent="0.2">
      <c r="B67" s="17">
        <v>35</v>
      </c>
      <c r="C67" s="326">
        <f>(C$30*B67)+C$31</f>
        <v>859.404</v>
      </c>
      <c r="E67" s="17">
        <v>35</v>
      </c>
      <c r="F67" s="287">
        <f t="shared" si="1"/>
        <v>807.18</v>
      </c>
      <c r="G67" s="287"/>
      <c r="H67" s="17">
        <v>35</v>
      </c>
      <c r="I67" s="227">
        <f t="shared" si="2"/>
        <v>52.224000000000046</v>
      </c>
      <c r="K67" s="17">
        <v>35</v>
      </c>
      <c r="L67" s="287">
        <f t="shared" si="5"/>
        <v>807.18</v>
      </c>
      <c r="M67" s="227">
        <f t="shared" si="3"/>
        <v>23.062285714285714</v>
      </c>
      <c r="N67" s="377">
        <f>SQRT(12*32.2*M67^2/(4*$Q$5*($Q$4*56)*$Q$3^2))</f>
        <v>0.61241207811568388</v>
      </c>
      <c r="O67" s="227">
        <f>(N67*$Q$3)*SQRT(4*$Q$5*$Q$6/32.2)/12</f>
        <v>23.061739625840747</v>
      </c>
      <c r="P67" s="227">
        <f t="shared" si="4"/>
        <v>807.16088690442621</v>
      </c>
    </row>
    <row r="68" spans="2:16" ht="14.1" customHeight="1" x14ac:dyDescent="0.2">
      <c r="B68" s="17">
        <v>36</v>
      </c>
      <c r="C68" s="326">
        <f>(C$30*B68)+C$31</f>
        <v>883.76</v>
      </c>
      <c r="E68" s="17">
        <v>36</v>
      </c>
      <c r="F68" s="287">
        <f t="shared" si="1"/>
        <v>833.3599999999999</v>
      </c>
      <c r="G68" s="287"/>
      <c r="H68" s="17">
        <v>36</v>
      </c>
      <c r="I68" s="227">
        <f t="shared" si="2"/>
        <v>50.400000000000091</v>
      </c>
      <c r="K68" s="17">
        <v>36</v>
      </c>
      <c r="L68" s="287">
        <f t="shared" si="5"/>
        <v>833.3599999999999</v>
      </c>
      <c r="M68" s="227">
        <f t="shared" si="3"/>
        <v>23.148888888888887</v>
      </c>
      <c r="N68" s="377">
        <f>SQRT(12*32.2*M68^2/(4*$Q$5*($Q$4*56)*$Q$3^2))</f>
        <v>0.61471179943503662</v>
      </c>
      <c r="O68" s="227">
        <f>(N68*$Q$3)*SQRT(4*$Q$5*$Q$6/32.2)/12</f>
        <v>23.148340749780193</v>
      </c>
      <c r="P68" s="227">
        <f t="shared" si="4"/>
        <v>833.34026699208698</v>
      </c>
    </row>
    <row r="69" spans="2:16" ht="14.1" customHeight="1" x14ac:dyDescent="0.2">
      <c r="B69" s="17">
        <v>37</v>
      </c>
      <c r="C69" s="326">
        <f>(C$30*B69)+C$31</f>
        <v>908.11599999999999</v>
      </c>
      <c r="E69" s="17">
        <v>37</v>
      </c>
      <c r="F69" s="287">
        <f t="shared" si="1"/>
        <v>859.73199999999997</v>
      </c>
      <c r="G69" s="287"/>
      <c r="H69" s="17">
        <v>37</v>
      </c>
      <c r="I69" s="227">
        <f t="shared" si="2"/>
        <v>48.384000000000015</v>
      </c>
      <c r="K69" s="17">
        <v>37</v>
      </c>
      <c r="L69" s="287">
        <f t="shared" si="5"/>
        <v>859.73199999999997</v>
      </c>
      <c r="M69" s="227">
        <f t="shared" si="3"/>
        <v>23.236000000000001</v>
      </c>
      <c r="N69" s="377">
        <f>SQRT(12*32.2*M69^2/(4*$Q$5*($Q$4*56)*$Q$3^2))</f>
        <v>0.61702500885596911</v>
      </c>
      <c r="O69" s="227">
        <f>(N69*$Q$3)*SQRT(4*$Q$5*$Q$6/32.2)/12</f>
        <v>23.235449798200218</v>
      </c>
      <c r="P69" s="227">
        <f t="shared" si="4"/>
        <v>859.71164253340805</v>
      </c>
    </row>
    <row r="70" spans="2:16" ht="14.1" customHeight="1" x14ac:dyDescent="0.2">
      <c r="B70" s="17">
        <v>38</v>
      </c>
      <c r="C70" s="326">
        <f>(C$30*B70)+C$31</f>
        <v>932.47200000000009</v>
      </c>
      <c r="E70" s="17">
        <v>38</v>
      </c>
      <c r="F70" s="287">
        <f t="shared" si="1"/>
        <v>886.29599999999994</v>
      </c>
      <c r="G70" s="287"/>
      <c r="H70" s="17">
        <v>38</v>
      </c>
      <c r="I70" s="227">
        <f t="shared" si="2"/>
        <v>46.176000000000158</v>
      </c>
      <c r="K70" s="17">
        <v>38</v>
      </c>
      <c r="L70" s="287">
        <f t="shared" si="5"/>
        <v>886.29599999999994</v>
      </c>
      <c r="M70" s="227">
        <f t="shared" si="3"/>
        <v>23.323578947368418</v>
      </c>
      <c r="N70" s="377">
        <f>SQRT(12*32.2*M70^2/(4*$Q$5*($Q$4*56)*$Q$3^2))</f>
        <v>0.6193506415283565</v>
      </c>
      <c r="O70" s="227">
        <f>(N70*$Q$3)*SQRT(4*$Q$5*$Q$6/32.2)/12</f>
        <v>23.32302667179972</v>
      </c>
      <c r="P70" s="227">
        <f t="shared" si="4"/>
        <v>886.27501352838942</v>
      </c>
    </row>
    <row r="71" spans="2:16" ht="14.1" customHeight="1" x14ac:dyDescent="0.2">
      <c r="B71" s="17">
        <v>39</v>
      </c>
      <c r="C71" s="326">
        <f>(C$30*B71)+C$31</f>
        <v>956.82800000000009</v>
      </c>
      <c r="E71" s="17">
        <v>39</v>
      </c>
      <c r="F71" s="287">
        <f t="shared" si="1"/>
        <v>913.05199999999991</v>
      </c>
      <c r="G71" s="287"/>
      <c r="H71" s="17">
        <v>39</v>
      </c>
      <c r="I71" s="227">
        <f t="shared" si="2"/>
        <v>43.776000000000181</v>
      </c>
      <c r="K71" s="17">
        <v>39</v>
      </c>
      <c r="L71" s="287">
        <f t="shared" si="5"/>
        <v>913.05199999999991</v>
      </c>
      <c r="M71" s="227">
        <f t="shared" si="3"/>
        <v>23.41158974358974</v>
      </c>
      <c r="N71" s="377">
        <f>SQRT(12*32.2*M71^2/(4*$Q$5*($Q$4*56)*$Q$3^2))</f>
        <v>0.62168774181747177</v>
      </c>
      <c r="O71" s="227">
        <f>(N71*$Q$3)*SQRT(4*$Q$5*$Q$6/32.2)/12</f>
        <v>23.411035384026444</v>
      </c>
      <c r="P71" s="227">
        <f t="shared" si="4"/>
        <v>913.03037997703132</v>
      </c>
    </row>
    <row r="72" spans="2:16" ht="14.1" customHeight="1" x14ac:dyDescent="0.2">
      <c r="B72" s="17">
        <v>40</v>
      </c>
      <c r="C72" s="326">
        <f>(C$30*B72)+C$31</f>
        <v>981.18400000000008</v>
      </c>
      <c r="E72" s="17">
        <v>40</v>
      </c>
      <c r="F72" s="287">
        <f t="shared" si="1"/>
        <v>939.99999999999989</v>
      </c>
      <c r="G72" s="287"/>
      <c r="H72" s="17">
        <v>40</v>
      </c>
      <c r="I72" s="227">
        <f t="shared" si="2"/>
        <v>41.184000000000196</v>
      </c>
      <c r="K72" s="369">
        <v>40</v>
      </c>
      <c r="L72" s="370">
        <f t="shared" si="5"/>
        <v>939.99999999999989</v>
      </c>
      <c r="M72" s="371">
        <f t="shared" si="3"/>
        <v>23.499999999999996</v>
      </c>
      <c r="N72" s="376">
        <f>SQRT(12*32.2*M72^2/(4*$Q$5*($Q$4*56)*$Q$3^2))</f>
        <v>0.62403544965206026</v>
      </c>
      <c r="O72" s="371">
        <f>(N72*$Q$3)*SQRT(4*$Q$5*$Q$6/32.2)/12</f>
        <v>23.499443546983347</v>
      </c>
      <c r="P72" s="371">
        <f t="shared" si="4"/>
        <v>939.97774187933385</v>
      </c>
    </row>
    <row r="73" spans="2:16" ht="14.1" customHeight="1" x14ac:dyDescent="0.2">
      <c r="B73" s="17">
        <v>41</v>
      </c>
      <c r="C73" s="326">
        <f>(C$30*B73)+C$31</f>
        <v>1005.5400000000001</v>
      </c>
      <c r="E73" s="17">
        <v>41</v>
      </c>
      <c r="F73" s="287">
        <f t="shared" si="1"/>
        <v>967.14</v>
      </c>
      <c r="G73" s="287"/>
      <c r="H73" s="17">
        <v>41</v>
      </c>
      <c r="I73" s="227">
        <f t="shared" si="2"/>
        <v>38.400000000000091</v>
      </c>
      <c r="K73" s="17">
        <v>41</v>
      </c>
      <c r="L73" s="287">
        <f t="shared" si="5"/>
        <v>967.14</v>
      </c>
      <c r="M73" s="227">
        <f t="shared" si="3"/>
        <v>23.588780487804879</v>
      </c>
      <c r="N73" s="377">
        <f>SQRT(12*32.2*M73^2/(4*$Q$5*($Q$4*56)*$Q$3^2))</f>
        <v>0.62639298887025796</v>
      </c>
      <c r="O73" s="227">
        <f>(N73*$Q$3)*SQRT(4*$Q$5*$Q$6/32.2)/12</f>
        <v>23.588221932568214</v>
      </c>
      <c r="P73" s="227">
        <f t="shared" si="4"/>
        <v>967.11709923529679</v>
      </c>
    </row>
    <row r="74" spans="2:16" ht="14.1" customHeight="1" x14ac:dyDescent="0.2">
      <c r="B74" s="17">
        <v>42</v>
      </c>
      <c r="C74" s="326">
        <f>(C$30*B74)+C$31</f>
        <v>1029.8960000000002</v>
      </c>
      <c r="E74" s="17">
        <v>42</v>
      </c>
      <c r="F74" s="287">
        <f t="shared" si="1"/>
        <v>994.47199999999998</v>
      </c>
      <c r="G74" s="287"/>
      <c r="H74" s="17">
        <v>42</v>
      </c>
      <c r="I74" s="227">
        <f t="shared" si="2"/>
        <v>35.424000000000206</v>
      </c>
      <c r="K74" s="17">
        <v>42</v>
      </c>
      <c r="L74" s="287">
        <f t="shared" si="5"/>
        <v>994.47199999999998</v>
      </c>
      <c r="M74" s="227">
        <f t="shared" si="3"/>
        <v>23.677904761904763</v>
      </c>
      <c r="N74" s="377">
        <f>SQRT(12*32.2*M74^2/(4*$Q$5*($Q$4*56)*$Q$3^2))</f>
        <v>0.62875965723037863</v>
      </c>
      <c r="O74" s="227">
        <f>(N74*$Q$3)*SQRT(4*$Q$5*$Q$6/32.2)/12</f>
        <v>23.677344096307621</v>
      </c>
      <c r="P74" s="227">
        <f t="shared" si="4"/>
        <v>994.44845204492003</v>
      </c>
    </row>
    <row r="75" spans="2:16" ht="14.1" customHeight="1" x14ac:dyDescent="0.2">
      <c r="B75" s="17">
        <v>43</v>
      </c>
      <c r="C75" s="326">
        <f>(C$30*B75)+C$31</f>
        <v>1054.252</v>
      </c>
      <c r="E75" s="17">
        <v>43</v>
      </c>
      <c r="F75" s="287">
        <f t="shared" si="1"/>
        <v>1021.996</v>
      </c>
      <c r="G75" s="287"/>
      <c r="H75" s="17">
        <v>43</v>
      </c>
      <c r="I75" s="227">
        <f t="shared" si="2"/>
        <v>32.255999999999972</v>
      </c>
      <c r="K75" s="17">
        <v>43</v>
      </c>
      <c r="L75" s="287">
        <f t="shared" si="5"/>
        <v>1021.996</v>
      </c>
      <c r="M75" s="227">
        <f t="shared" si="3"/>
        <v>23.767348837209301</v>
      </c>
      <c r="N75" s="377">
        <f>SQRT(12*32.2*M75^2/(4*$Q$5*($Q$4*56)*$Q$3^2))</f>
        <v>0.63113481781554381</v>
      </c>
      <c r="O75" s="227">
        <f>(N75*$Q$3)*SQRT(4*$Q$5*$Q$6/32.2)/12</f>
        <v>23.766786053679159</v>
      </c>
      <c r="P75" s="227">
        <f t="shared" si="4"/>
        <v>1021.9718003082038</v>
      </c>
    </row>
    <row r="76" spans="2:16" ht="14.1" customHeight="1" x14ac:dyDescent="0.2">
      <c r="B76" s="17">
        <v>44</v>
      </c>
      <c r="C76" s="326">
        <f>(C$30*B76)+C$31</f>
        <v>1078.6080000000002</v>
      </c>
      <c r="E76" s="17">
        <v>44</v>
      </c>
      <c r="F76" s="287">
        <f t="shared" si="1"/>
        <v>1049.712</v>
      </c>
      <c r="G76" s="287"/>
      <c r="H76" s="17">
        <v>44</v>
      </c>
      <c r="I76" s="227">
        <f t="shared" si="2"/>
        <v>28.896000000000186</v>
      </c>
      <c r="K76" s="17">
        <v>44</v>
      </c>
      <c r="L76" s="287">
        <f t="shared" si="5"/>
        <v>1049.712</v>
      </c>
      <c r="M76" s="227">
        <f t="shared" si="3"/>
        <v>23.85709090909091</v>
      </c>
      <c r="N76" s="377">
        <f>SQRT(12*32.2*M76^2/(4*$Q$5*($Q$4*56)*$Q$3^2))</f>
        <v>0.63351789161040961</v>
      </c>
      <c r="O76" s="227">
        <f>(N76*$Q$3)*SQRT(4*$Q$5*$Q$6/32.2)/12</f>
        <v>23.856526000571552</v>
      </c>
      <c r="P76" s="227">
        <f t="shared" si="4"/>
        <v>1049.6871440251482</v>
      </c>
    </row>
    <row r="77" spans="2:16" ht="14.1" customHeight="1" x14ac:dyDescent="0.2">
      <c r="B77" s="17">
        <v>45</v>
      </c>
      <c r="C77" s="326">
        <f>(C$30*B77)+C$31</f>
        <v>1102.9639999999999</v>
      </c>
      <c r="E77" s="17">
        <v>45</v>
      </c>
      <c r="F77" s="287">
        <f t="shared" si="1"/>
        <v>1077.6200000000001</v>
      </c>
      <c r="G77" s="287"/>
      <c r="H77" s="17">
        <v>45</v>
      </c>
      <c r="I77" s="227">
        <f t="shared" si="2"/>
        <v>25.343999999999824</v>
      </c>
      <c r="K77" s="17">
        <v>45</v>
      </c>
      <c r="L77" s="287">
        <f t="shared" si="5"/>
        <v>1077.6200000000001</v>
      </c>
      <c r="M77" s="227">
        <f t="shared" si="3"/>
        <v>23.947111111111113</v>
      </c>
      <c r="N77" s="377">
        <f>SQRT(12*32.2*M77^2/(4*$Q$5*($Q$4*56)*$Q$3^2))</f>
        <v>0.63590835106766264</v>
      </c>
      <c r="O77" s="227">
        <f>(N77*$Q$3)*SQRT(4*$Q$5*$Q$6/32.2)/12</f>
        <v>23.946544071016731</v>
      </c>
      <c r="P77" s="227">
        <f t="shared" si="4"/>
        <v>1077.5944831957529</v>
      </c>
    </row>
    <row r="78" spans="2:16" ht="14.1" customHeight="1" x14ac:dyDescent="0.2">
      <c r="B78" s="17">
        <v>46</v>
      </c>
      <c r="C78" s="326">
        <f>(C$30*B78)+C$31</f>
        <v>1127.3200000000002</v>
      </c>
      <c r="E78" s="17">
        <v>46</v>
      </c>
      <c r="F78" s="287">
        <f t="shared" si="1"/>
        <v>1105.72</v>
      </c>
      <c r="G78" s="287"/>
      <c r="H78" s="17">
        <v>46</v>
      </c>
      <c r="I78" s="227">
        <f t="shared" si="2"/>
        <v>21.600000000000136</v>
      </c>
      <c r="K78" s="17">
        <v>46</v>
      </c>
      <c r="L78" s="287">
        <f t="shared" si="5"/>
        <v>1105.72</v>
      </c>
      <c r="M78" s="227">
        <f t="shared" si="3"/>
        <v>24.037391304347828</v>
      </c>
      <c r="N78" s="377">
        <f>SQRT(12*32.2*M78^2/(4*$Q$5*($Q$4*56)*$Q$3^2))</f>
        <v>0.63830571451366902</v>
      </c>
      <c r="O78" s="227">
        <f>(N78*$Q$3)*SQRT(4*$Q$5*$Q$6/32.2)/12</f>
        <v>24.036822126522139</v>
      </c>
      <c r="P78" s="227">
        <f t="shared" si="4"/>
        <v>1105.6938178200185</v>
      </c>
    </row>
    <row r="79" spans="2:16" ht="14.1" customHeight="1" x14ac:dyDescent="0.2">
      <c r="B79" s="17">
        <v>47</v>
      </c>
      <c r="C79" s="326">
        <f>(C$30*B79)+C$31</f>
        <v>1151.6759999999999</v>
      </c>
      <c r="E79" s="17">
        <v>47</v>
      </c>
      <c r="F79" s="287">
        <f t="shared" si="1"/>
        <v>1134.0120000000002</v>
      </c>
      <c r="G79" s="287"/>
      <c r="H79" s="17">
        <v>47</v>
      </c>
      <c r="I79" s="227">
        <f t="shared" si="2"/>
        <v>17.66399999999976</v>
      </c>
      <c r="K79" s="17">
        <v>47</v>
      </c>
      <c r="L79" s="287">
        <f t="shared" si="5"/>
        <v>1134.0120000000002</v>
      </c>
      <c r="M79" s="227">
        <f t="shared" si="3"/>
        <v>24.127914893617024</v>
      </c>
      <c r="N79" s="377">
        <f>SQRT(12*32.2*M79^2/(4*$Q$5*($Q$4*56)*$Q$3^2))</f>
        <v>0.64070954126829538</v>
      </c>
      <c r="O79" s="227">
        <f>(N79*$Q$3)*SQRT(4*$Q$5*$Q$6/32.2)/12</f>
        <v>24.127343572296677</v>
      </c>
      <c r="P79" s="227">
        <f t="shared" si="4"/>
        <v>1133.9851478979438</v>
      </c>
    </row>
    <row r="80" spans="2:16" ht="14.1" customHeight="1" x14ac:dyDescent="0.2">
      <c r="B80" s="17">
        <v>48</v>
      </c>
      <c r="C80" s="326">
        <f>(C$30*B80)+C$31</f>
        <v>1176.0320000000002</v>
      </c>
      <c r="E80" s="17">
        <v>48</v>
      </c>
      <c r="F80" s="287">
        <f t="shared" si="1"/>
        <v>1162.4960000000001</v>
      </c>
      <c r="G80" s="287"/>
      <c r="H80" s="17">
        <v>48</v>
      </c>
      <c r="I80" s="227">
        <f t="shared" si="2"/>
        <v>13.536000000000058</v>
      </c>
      <c r="K80" s="17">
        <v>48</v>
      </c>
      <c r="L80" s="287">
        <f t="shared" si="5"/>
        <v>1162.4960000000001</v>
      </c>
      <c r="M80" s="227">
        <f t="shared" si="3"/>
        <v>24.218666666666667</v>
      </c>
      <c r="N80" s="377">
        <f>SQRT(12*32.2*M80^2/(4*$Q$5*($Q$4*56)*$Q$3^2))</f>
        <v>0.64311942737475314</v>
      </c>
      <c r="O80" s="227">
        <f>(N80*$Q$3)*SQRT(4*$Q$5*$Q$6/32.2)/12</f>
        <v>24.218093196448539</v>
      </c>
      <c r="P80" s="227">
        <f t="shared" si="4"/>
        <v>1162.4684734295299</v>
      </c>
    </row>
    <row r="81" spans="2:16" ht="14.1" customHeight="1" x14ac:dyDescent="0.2">
      <c r="B81" s="17">
        <v>49</v>
      </c>
      <c r="C81" s="326">
        <f>(C$30*B81)+C$31</f>
        <v>1200.3879999999999</v>
      </c>
      <c r="E81" s="17">
        <v>49</v>
      </c>
      <c r="F81" s="287">
        <f t="shared" si="1"/>
        <v>1191.172</v>
      </c>
      <c r="G81" s="287"/>
      <c r="H81" s="17">
        <v>49</v>
      </c>
      <c r="I81" s="227">
        <f t="shared" si="2"/>
        <v>9.2159999999998945</v>
      </c>
      <c r="K81" s="17">
        <v>49</v>
      </c>
      <c r="L81" s="287">
        <f t="shared" si="5"/>
        <v>1191.172</v>
      </c>
      <c r="M81" s="227">
        <f t="shared" si="3"/>
        <v>24.309632653061225</v>
      </c>
      <c r="N81" s="377">
        <f>SQRT(12*32.2*M81^2/(4*$Q$5*($Q$4*56)*$Q$3^2))</f>
        <v>0.64553500185231782</v>
      </c>
      <c r="O81" s="227">
        <f>(N81*$Q$3)*SQRT(4*$Q$5*$Q$6/32.2)/12</f>
        <v>24.309057028872989</v>
      </c>
      <c r="P81" s="227">
        <f t="shared" si="4"/>
        <v>1191.1437944147765</v>
      </c>
    </row>
    <row r="82" spans="2:16" ht="14.1" customHeight="1" x14ac:dyDescent="0.2">
      <c r="B82" s="17">
        <v>50</v>
      </c>
      <c r="C82" s="326">
        <f>(C$30*B82)+C$31</f>
        <v>1224.7440000000001</v>
      </c>
      <c r="E82" s="17">
        <v>50</v>
      </c>
      <c r="F82" s="287">
        <f t="shared" si="1"/>
        <v>1220.04</v>
      </c>
      <c r="G82" s="287"/>
      <c r="H82" s="17">
        <v>50</v>
      </c>
      <c r="I82" s="227">
        <f t="shared" si="2"/>
        <v>4.7040000000001783</v>
      </c>
      <c r="K82" s="369">
        <v>50</v>
      </c>
      <c r="L82" s="370">
        <f t="shared" si="5"/>
        <v>1220.04</v>
      </c>
      <c r="M82" s="371">
        <f t="shared" si="3"/>
        <v>24.4008</v>
      </c>
      <c r="N82" s="376">
        <f>SQRT(12*32.2*M82^2/(4*$Q$5*($Q$4*56)*$Q$3^2))</f>
        <v>0.6479559233987231</v>
      </c>
      <c r="O82" s="371">
        <f>(N82*$Q$3)*SQRT(4*$Q$5*$Q$6/32.2)/12</f>
        <v>24.400222217073672</v>
      </c>
      <c r="P82" s="371">
        <f t="shared" si="4"/>
        <v>1220.0111108536837</v>
      </c>
    </row>
    <row r="83" spans="2:16" ht="14.1" customHeight="1" x14ac:dyDescent="0.2">
      <c r="B83" s="17">
        <v>51</v>
      </c>
      <c r="C83" s="326">
        <f>(C$30*B83)+C$31</f>
        <v>1249.0999999999999</v>
      </c>
      <c r="E83" s="17">
        <v>51</v>
      </c>
      <c r="F83" s="287">
        <f t="shared" si="1"/>
        <v>1249.1000000000001</v>
      </c>
      <c r="G83" s="287"/>
      <c r="H83" s="17">
        <v>51</v>
      </c>
      <c r="I83" s="227">
        <f>C83-F83</f>
        <v>0</v>
      </c>
      <c r="K83" s="17">
        <v>51</v>
      </c>
      <c r="L83" s="287">
        <f t="shared" si="5"/>
        <v>1249.1000000000001</v>
      </c>
      <c r="M83" s="227">
        <f t="shared" si="3"/>
        <v>24.492156862745102</v>
      </c>
      <c r="N83" s="377">
        <f>SQRT(12*32.2*M83^2/(4*$Q$5*($Q$4*56)*$Q$3^2))</f>
        <v>0.6503818774805078</v>
      </c>
      <c r="O83" s="227">
        <f>(N83*$Q$3)*SQRT(4*$Q$5*$Q$6/32.2)/12</f>
        <v>24.491576916593161</v>
      </c>
      <c r="P83" s="227">
        <f t="shared" si="4"/>
        <v>1249.0704227462511</v>
      </c>
    </row>
    <row r="84" spans="2:16" ht="14.1" customHeight="1" x14ac:dyDescent="0.2">
      <c r="E84" s="17"/>
    </row>
    <row r="85" spans="2:16" ht="14.1" customHeight="1" x14ac:dyDescent="0.2">
      <c r="E85" s="17"/>
      <c r="F85" s="386"/>
    </row>
    <row r="86" spans="2:16" ht="14.1" customHeight="1" x14ac:dyDescent="0.2">
      <c r="E86" s="17"/>
    </row>
    <row r="87" spans="2:16" ht="14.1" customHeight="1" x14ac:dyDescent="0.2">
      <c r="E87" s="17"/>
    </row>
    <row r="88" spans="2:16" ht="14.1" customHeight="1" x14ac:dyDescent="0.2">
      <c r="E88" s="17"/>
    </row>
    <row r="89" spans="2:16" ht="14.1" customHeight="1" x14ac:dyDescent="0.2">
      <c r="E89" s="17"/>
    </row>
    <row r="90" spans="2:16" ht="14.1" customHeight="1" x14ac:dyDescent="0.2">
      <c r="E90" s="17"/>
    </row>
    <row r="91" spans="2:16" ht="14.1" customHeight="1" x14ac:dyDescent="0.2">
      <c r="E91" s="17"/>
    </row>
    <row r="92" spans="2:16" ht="14.1" customHeight="1" x14ac:dyDescent="0.2">
      <c r="E92" s="17"/>
    </row>
    <row r="93" spans="2:16" ht="14.1" customHeight="1" x14ac:dyDescent="0.2">
      <c r="E93" s="17"/>
    </row>
    <row r="94" spans="2:16" ht="14.1" customHeight="1" x14ac:dyDescent="0.2">
      <c r="E94" s="17"/>
    </row>
    <row r="95" spans="2:16" ht="14.1" customHeight="1" x14ac:dyDescent="0.2"/>
    <row r="96" spans="2:16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  <row r="104" ht="14.1" customHeight="1" x14ac:dyDescent="0.2"/>
    <row r="105" ht="14.1" customHeight="1" x14ac:dyDescent="0.2"/>
    <row r="106" ht="14.1" customHeight="1" x14ac:dyDescent="0.2"/>
    <row r="107" ht="14.1" customHeight="1" x14ac:dyDescent="0.2"/>
    <row r="108" ht="14.1" customHeight="1" x14ac:dyDescent="0.2"/>
    <row r="109" ht="14.1" customHeight="1" x14ac:dyDescent="0.2"/>
    <row r="110" ht="14.1" customHeight="1" x14ac:dyDescent="0.2"/>
    <row r="111" ht="14.1" customHeight="1" x14ac:dyDescent="0.2"/>
    <row r="112" ht="14.1" customHeight="1" x14ac:dyDescent="0.2"/>
    <row r="113" ht="14.1" customHeight="1" x14ac:dyDescent="0.2"/>
    <row r="114" ht="14.1" customHeight="1" x14ac:dyDescent="0.2"/>
    <row r="115" ht="14.1" customHeight="1" x14ac:dyDescent="0.2"/>
    <row r="116" ht="14.1" customHeight="1" x14ac:dyDescent="0.2"/>
    <row r="117" ht="14.1" customHeight="1" x14ac:dyDescent="0.2"/>
    <row r="118" ht="14.1" customHeight="1" x14ac:dyDescent="0.2"/>
    <row r="119" ht="14.1" customHeight="1" x14ac:dyDescent="0.2"/>
    <row r="120" ht="14.1" customHeight="1" x14ac:dyDescent="0.2"/>
    <row r="121" ht="14.1" customHeight="1" x14ac:dyDescent="0.2"/>
    <row r="122" ht="14.1" customHeight="1" x14ac:dyDescent="0.2"/>
    <row r="123" ht="14.1" customHeight="1" x14ac:dyDescent="0.2"/>
    <row r="124" ht="14.1" customHeight="1" x14ac:dyDescent="0.2"/>
    <row r="125" ht="14.1" customHeight="1" x14ac:dyDescent="0.2"/>
    <row r="126" ht="14.1" customHeight="1" x14ac:dyDescent="0.2"/>
    <row r="127" ht="14.1" customHeight="1" x14ac:dyDescent="0.2"/>
    <row r="128" ht="14.1" customHeight="1" x14ac:dyDescent="0.2"/>
    <row r="129" ht="14.1" customHeight="1" x14ac:dyDescent="0.2"/>
    <row r="130" ht="14.1" customHeight="1" x14ac:dyDescent="0.2"/>
    <row r="131" ht="14.1" customHeight="1" x14ac:dyDescent="0.2"/>
    <row r="132" ht="14.1" customHeight="1" x14ac:dyDescent="0.2"/>
    <row r="133" ht="14.1" customHeight="1" x14ac:dyDescent="0.2"/>
    <row r="134" ht="14.1" customHeight="1" x14ac:dyDescent="0.2"/>
    <row r="135" ht="14.1" customHeight="1" x14ac:dyDescent="0.2"/>
    <row r="136" ht="14.1" customHeight="1" x14ac:dyDescent="0.2"/>
    <row r="137" ht="14.1" customHeight="1" x14ac:dyDescent="0.2"/>
    <row r="138" ht="14.1" customHeight="1" x14ac:dyDescent="0.2"/>
    <row r="139" ht="14.1" customHeight="1" x14ac:dyDescent="0.2"/>
    <row r="140" ht="14.1" customHeight="1" x14ac:dyDescent="0.2"/>
    <row r="141" ht="14.1" customHeight="1" x14ac:dyDescent="0.2"/>
    <row r="142" ht="14.1" customHeight="1" x14ac:dyDescent="0.2"/>
    <row r="143" ht="14.1" customHeight="1" x14ac:dyDescent="0.2"/>
    <row r="144" ht="14.1" customHeight="1" x14ac:dyDescent="0.2"/>
    <row r="145" spans="27:27" ht="14.1" customHeight="1" x14ac:dyDescent="0.2"/>
    <row r="146" spans="27:27" ht="14.1" customHeight="1" x14ac:dyDescent="0.2"/>
    <row r="147" spans="27:27" ht="14.1" customHeight="1" x14ac:dyDescent="0.2"/>
    <row r="148" spans="27:27" ht="14.1" customHeight="1" x14ac:dyDescent="0.2"/>
    <row r="149" spans="27:27" ht="14.1" customHeight="1" x14ac:dyDescent="0.2"/>
    <row r="150" spans="27:27" ht="14.1" customHeight="1" x14ac:dyDescent="0.2"/>
    <row r="151" spans="27:27" ht="14.1" customHeight="1" x14ac:dyDescent="0.2"/>
    <row r="152" spans="27:27" ht="14.1" customHeight="1" x14ac:dyDescent="0.2"/>
    <row r="158" spans="27:27" x14ac:dyDescent="0.2">
      <c r="AA158" s="17"/>
    </row>
  </sheetData>
  <pageMargins left="0.7" right="0.7" top="0.25" bottom="0.25" header="0.3" footer="0.3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3B1B1-462B-4753-9E1C-98E0AAB0DFA7}">
  <sheetPr transitionEvaluation="1" transitionEntry="1">
    <pageSetUpPr fitToPage="1"/>
  </sheetPr>
  <dimension ref="A1:AE158"/>
  <sheetViews>
    <sheetView showGridLines="0" zoomScale="90" zoomScaleNormal="90" zoomScaleSheetLayoutView="80" workbookViewId="0">
      <selection activeCell="L24" sqref="L24"/>
    </sheetView>
  </sheetViews>
  <sheetFormatPr defaultRowHeight="12.75" x14ac:dyDescent="0.2"/>
  <cols>
    <col min="1" max="16" width="11.7109375" customWidth="1"/>
    <col min="17" max="17" width="12.7109375" customWidth="1"/>
    <col min="18" max="30" width="9.7109375" customWidth="1"/>
    <col min="31" max="38" width="10.7109375" customWidth="1"/>
    <col min="39" max="44" width="9.7109375" customWidth="1"/>
    <col min="45" max="48" width="10.7109375" customWidth="1"/>
    <col min="49" max="49" width="13" customWidth="1"/>
    <col min="50" max="50" width="13.5703125" customWidth="1"/>
    <col min="51" max="51" width="12.5703125" customWidth="1"/>
    <col min="52" max="52" width="10.7109375" customWidth="1"/>
    <col min="53" max="54" width="12.140625" customWidth="1"/>
    <col min="55" max="55" width="14.140625" customWidth="1"/>
    <col min="56" max="59" width="10.7109375" customWidth="1"/>
    <col min="60" max="63" width="12.7109375" customWidth="1"/>
    <col min="64" max="73" width="10.7109375" customWidth="1"/>
  </cols>
  <sheetData>
    <row r="1" spans="4:18" ht="14.1" customHeight="1" x14ac:dyDescent="0.2"/>
    <row r="2" spans="4:18" ht="14.1" customHeight="1" x14ac:dyDescent="0.2"/>
    <row r="3" spans="4:18" ht="14.1" customHeight="1" x14ac:dyDescent="0.2">
      <c r="L3" s="345">
        <v>2.5150000000000001</v>
      </c>
      <c r="M3" s="346" t="s">
        <v>37</v>
      </c>
      <c r="N3" s="12"/>
      <c r="O3" s="12"/>
      <c r="P3" s="12"/>
      <c r="Q3" s="12"/>
      <c r="R3" s="13"/>
    </row>
    <row r="4" spans="4:18" ht="14.1" customHeight="1" x14ac:dyDescent="0.2">
      <c r="L4" s="347">
        <v>4.55</v>
      </c>
      <c r="M4" s="235" t="s">
        <v>1</v>
      </c>
      <c r="N4" s="10"/>
      <c r="O4" s="10"/>
      <c r="P4" s="10"/>
      <c r="Q4" s="10"/>
      <c r="R4" s="16"/>
    </row>
    <row r="5" spans="4:18" ht="14.1" customHeight="1" x14ac:dyDescent="0.2">
      <c r="L5" s="347">
        <v>85</v>
      </c>
      <c r="M5" s="234" t="s">
        <v>8</v>
      </c>
      <c r="N5" s="10"/>
      <c r="O5" s="10"/>
      <c r="P5" s="10"/>
      <c r="Q5" s="10"/>
      <c r="R5" s="16"/>
    </row>
    <row r="6" spans="4:18" ht="14.1" customHeight="1" x14ac:dyDescent="0.25">
      <c r="L6" s="366">
        <f>(L4*2.20462*25.4*12)</f>
        <v>3057.4552007999996</v>
      </c>
      <c r="M6" s="97" t="s">
        <v>49</v>
      </c>
      <c r="N6" s="10"/>
      <c r="O6" s="10"/>
      <c r="P6" s="10"/>
      <c r="Q6" s="10"/>
      <c r="R6" s="16"/>
    </row>
    <row r="7" spans="4:18" ht="14.1" customHeight="1" x14ac:dyDescent="0.2">
      <c r="L7" s="14"/>
      <c r="M7" s="10"/>
      <c r="N7" s="10"/>
      <c r="O7" s="10"/>
      <c r="P7" s="10"/>
      <c r="Q7" s="24" t="s">
        <v>13</v>
      </c>
      <c r="R7" s="16"/>
    </row>
    <row r="8" spans="4:18" ht="14.1" customHeight="1" x14ac:dyDescent="0.2">
      <c r="L8" s="348" t="s">
        <v>10</v>
      </c>
      <c r="M8" s="19" t="s">
        <v>9</v>
      </c>
      <c r="N8" s="19" t="s">
        <v>10</v>
      </c>
      <c r="O8" s="25" t="s">
        <v>12</v>
      </c>
      <c r="P8" s="19" t="s">
        <v>11</v>
      </c>
      <c r="Q8" s="26" t="s">
        <v>11</v>
      </c>
      <c r="R8" s="349" t="s">
        <v>11</v>
      </c>
    </row>
    <row r="9" spans="4:18" ht="14.1" customHeight="1" x14ac:dyDescent="0.2">
      <c r="L9" s="350"/>
      <c r="M9" s="17">
        <v>1</v>
      </c>
      <c r="N9" s="218">
        <v>33.561842105263182</v>
      </c>
      <c r="O9" s="32">
        <f>N9/M9</f>
        <v>33.561842105263182</v>
      </c>
      <c r="P9" s="78">
        <f t="shared" ref="P9:P18" si="0">SQRT(12*32.2*O9^2/(4*$L$5*($L$4*56)*$L$3^2))</f>
        <v>0.89122464805571744</v>
      </c>
      <c r="Q9" s="80">
        <v>0.69992745230334086</v>
      </c>
      <c r="R9" s="351">
        <f>(P9)</f>
        <v>0.89122464805571744</v>
      </c>
    </row>
    <row r="10" spans="4:18" ht="14.1" customHeight="1" x14ac:dyDescent="0.2">
      <c r="L10" s="352"/>
      <c r="M10" s="31">
        <v>2</v>
      </c>
      <c r="N10" s="219">
        <v>55.500000000000021</v>
      </c>
      <c r="O10" s="33">
        <f t="shared" ref="O10:O18" si="1">N10/M10</f>
        <v>27.750000000000011</v>
      </c>
      <c r="P10" s="78">
        <f t="shared" si="0"/>
        <v>0.73689292458913536</v>
      </c>
      <c r="Q10" s="81">
        <v>0.69992745230334086</v>
      </c>
      <c r="R10" s="353">
        <f>(P10)</f>
        <v>0.73689292458913536</v>
      </c>
    </row>
    <row r="11" spans="4:18" ht="14.1" customHeight="1" x14ac:dyDescent="0.2">
      <c r="L11" s="350"/>
      <c r="M11" s="17">
        <v>3</v>
      </c>
      <c r="N11" s="218">
        <v>77.438157894736861</v>
      </c>
      <c r="O11" s="32">
        <f t="shared" si="1"/>
        <v>25.812719298245622</v>
      </c>
      <c r="P11" s="78">
        <f t="shared" si="0"/>
        <v>0.68544901676694137</v>
      </c>
      <c r="Q11" s="80">
        <v>0.70001912583998827</v>
      </c>
      <c r="R11" s="351">
        <f t="shared" ref="R11:R18" si="2">(P11)</f>
        <v>0.68544901676694137</v>
      </c>
    </row>
    <row r="12" spans="4:18" ht="14.1" customHeight="1" x14ac:dyDescent="0.2">
      <c r="E12" s="378" t="s">
        <v>223</v>
      </c>
      <c r="L12" s="350"/>
      <c r="M12" s="17">
        <v>4</v>
      </c>
      <c r="N12" s="218">
        <v>99.376315789473708</v>
      </c>
      <c r="O12" s="32">
        <f t="shared" si="1"/>
        <v>24.844078947368427</v>
      </c>
      <c r="P12" s="78">
        <f t="shared" si="0"/>
        <v>0.65972706285584437</v>
      </c>
      <c r="Q12" s="80">
        <v>0.69999620745582647</v>
      </c>
      <c r="R12" s="351">
        <f t="shared" si="2"/>
        <v>0.65972706285584437</v>
      </c>
    </row>
    <row r="13" spans="4:18" ht="14.1" customHeight="1" x14ac:dyDescent="0.2">
      <c r="D13" s="382" t="s">
        <v>247</v>
      </c>
      <c r="E13" s="1" t="s">
        <v>228</v>
      </c>
      <c r="L13" s="352"/>
      <c r="M13" s="31">
        <v>5</v>
      </c>
      <c r="N13" s="219">
        <v>121.31447368421055</v>
      </c>
      <c r="O13" s="33">
        <f t="shared" si="1"/>
        <v>24.26289473684211</v>
      </c>
      <c r="P13" s="78">
        <f t="shared" si="0"/>
        <v>0.64429389050918606</v>
      </c>
      <c r="Q13" s="81">
        <v>0.70003746054731775</v>
      </c>
      <c r="R13" s="353">
        <f t="shared" si="2"/>
        <v>0.64429389050918606</v>
      </c>
    </row>
    <row r="14" spans="4:18" ht="14.1" customHeight="1" x14ac:dyDescent="0.2">
      <c r="E14" t="s">
        <v>229</v>
      </c>
      <c r="L14" s="350"/>
      <c r="M14" s="17">
        <v>10</v>
      </c>
      <c r="N14" s="218">
        <v>231.00526315789477</v>
      </c>
      <c r="O14" s="32">
        <f t="shared" si="1"/>
        <v>23.100526315789477</v>
      </c>
      <c r="P14" s="78">
        <f t="shared" si="0"/>
        <v>0.61342754581586967</v>
      </c>
      <c r="Q14" s="80">
        <v>0.70000995848632352</v>
      </c>
      <c r="R14" s="351">
        <f t="shared" si="2"/>
        <v>0.61342754581586967</v>
      </c>
    </row>
    <row r="15" spans="4:18" ht="14.1" customHeight="1" x14ac:dyDescent="0.2">
      <c r="F15" s="1" t="s">
        <v>226</v>
      </c>
      <c r="L15" s="350"/>
      <c r="M15" s="17">
        <v>20</v>
      </c>
      <c r="N15" s="218">
        <v>450.38684210526321</v>
      </c>
      <c r="O15" s="32">
        <f t="shared" si="1"/>
        <v>22.51934210526316</v>
      </c>
      <c r="P15" s="78">
        <f t="shared" si="0"/>
        <v>0.59799437346921147</v>
      </c>
      <c r="Q15" s="80">
        <v>0.69999620745582647</v>
      </c>
      <c r="R15" s="351">
        <f t="shared" si="2"/>
        <v>0.59799437346921147</v>
      </c>
    </row>
    <row r="16" spans="4:18" ht="14.1" customHeight="1" x14ac:dyDescent="0.2">
      <c r="E16" t="s">
        <v>225</v>
      </c>
      <c r="L16" s="350"/>
      <c r="M16" s="17">
        <v>30</v>
      </c>
      <c r="N16" s="218">
        <v>669.76842105263165</v>
      </c>
      <c r="O16" s="32">
        <f t="shared" si="1"/>
        <v>22.325614035087721</v>
      </c>
      <c r="P16" s="78">
        <f t="shared" si="0"/>
        <v>0.59284998268699207</v>
      </c>
      <c r="Q16" s="80">
        <v>0.70001912583998827</v>
      </c>
      <c r="R16" s="351">
        <f t="shared" si="2"/>
        <v>0.59284998268699207</v>
      </c>
    </row>
    <row r="17" spans="2:31" ht="14.1" customHeight="1" x14ac:dyDescent="0.2">
      <c r="E17" t="s">
        <v>227</v>
      </c>
      <c r="L17" s="352"/>
      <c r="M17" s="31">
        <v>40</v>
      </c>
      <c r="N17" s="219">
        <v>889.15000000000009</v>
      </c>
      <c r="O17" s="33">
        <f t="shared" si="1"/>
        <v>22.228750000000002</v>
      </c>
      <c r="P17" s="78">
        <f t="shared" si="0"/>
        <v>0.59027778729588243</v>
      </c>
      <c r="Q17" s="81">
        <v>0.69999620745582647</v>
      </c>
      <c r="R17" s="353">
        <f t="shared" si="2"/>
        <v>0.59027778729588243</v>
      </c>
    </row>
    <row r="18" spans="2:31" ht="13.5" customHeight="1" x14ac:dyDescent="0.2">
      <c r="L18" s="354"/>
      <c r="M18" s="355">
        <v>50</v>
      </c>
      <c r="N18" s="356">
        <v>1108.5315789473684</v>
      </c>
      <c r="O18" s="357">
        <f t="shared" si="1"/>
        <v>22.170631578947368</v>
      </c>
      <c r="P18" s="358">
        <f t="shared" si="0"/>
        <v>0.58873447006121649</v>
      </c>
      <c r="Q18" s="359">
        <v>0.69998795683752812</v>
      </c>
      <c r="R18" s="360">
        <f t="shared" si="2"/>
        <v>0.58873447006121649</v>
      </c>
    </row>
    <row r="19" spans="2:31" ht="13.5" customHeight="1" x14ac:dyDescent="0.2">
      <c r="E19" t="s">
        <v>174</v>
      </c>
      <c r="L19" s="76"/>
      <c r="M19" s="17"/>
      <c r="N19" s="218"/>
      <c r="O19" s="32"/>
      <c r="P19" s="78"/>
      <c r="Q19" s="80"/>
      <c r="R19" s="241"/>
    </row>
    <row r="20" spans="2:31" ht="13.5" customHeight="1" x14ac:dyDescent="0.2">
      <c r="E20" s="1" t="s">
        <v>212</v>
      </c>
      <c r="L20" s="76"/>
      <c r="M20" s="17"/>
      <c r="N20" s="218"/>
      <c r="O20" s="32"/>
      <c r="P20" s="78"/>
      <c r="Q20" s="80"/>
      <c r="R20" s="241"/>
    </row>
    <row r="21" spans="2:31" ht="48" customHeight="1" x14ac:dyDescent="0.35">
      <c r="E21" t="s">
        <v>203</v>
      </c>
      <c r="K21" s="424" t="s">
        <v>265</v>
      </c>
      <c r="L21" s="76"/>
      <c r="M21" s="17"/>
      <c r="N21" s="218"/>
      <c r="O21" s="32"/>
      <c r="P21" s="78"/>
      <c r="Q21" s="80"/>
      <c r="R21" s="241"/>
    </row>
    <row r="22" spans="2:31" ht="14.1" customHeight="1" x14ac:dyDescent="0.2">
      <c r="L22" s="76"/>
      <c r="M22" s="17"/>
      <c r="N22" s="218"/>
      <c r="O22" s="32"/>
      <c r="P22" s="78"/>
      <c r="Q22" s="80"/>
      <c r="R22" s="241"/>
    </row>
    <row r="23" spans="2:31" ht="14.1" customHeight="1" x14ac:dyDescent="0.2">
      <c r="B23" s="1" t="s">
        <v>254</v>
      </c>
      <c r="E23" s="342" t="s">
        <v>205</v>
      </c>
      <c r="F23" s="330"/>
      <c r="L23" s="76"/>
      <c r="M23" s="17"/>
      <c r="N23" s="218"/>
      <c r="O23" s="32"/>
      <c r="P23" s="78"/>
      <c r="Q23" s="80"/>
      <c r="R23" s="241"/>
    </row>
    <row r="24" spans="2:31" ht="14.1" customHeight="1" x14ac:dyDescent="0.2">
      <c r="B24" t="s">
        <v>255</v>
      </c>
    </row>
    <row r="25" spans="2:31" ht="14.1" customHeight="1" x14ac:dyDescent="0.25">
      <c r="B25" s="224" t="s">
        <v>123</v>
      </c>
      <c r="C25" s="224" t="s">
        <v>124</v>
      </c>
      <c r="E25" s="27" t="s">
        <v>123</v>
      </c>
      <c r="F25" s="27" t="s">
        <v>204</v>
      </c>
      <c r="G25" s="321" t="s">
        <v>184</v>
      </c>
      <c r="H25" s="334"/>
      <c r="I25" s="332"/>
      <c r="J25" s="332"/>
      <c r="AC25" t="s">
        <v>211</v>
      </c>
    </row>
    <row r="26" spans="2:31" ht="14.1" customHeight="1" x14ac:dyDescent="0.25">
      <c r="B26" s="225">
        <v>1</v>
      </c>
      <c r="C26" s="324">
        <v>30</v>
      </c>
      <c r="E26" s="29">
        <v>1</v>
      </c>
      <c r="F26" s="323">
        <v>30</v>
      </c>
      <c r="G26" s="279" cm="1">
        <f t="array" ref="G26">_xlfn.SINGLE(INDEX(LINEST(F$26:F$28,(E$26:E$28)^{1,2}),1))</f>
        <v>9.599999999999996E-2</v>
      </c>
      <c r="H26" s="331">
        <v>640</v>
      </c>
      <c r="I26" s="344" t="s">
        <v>207</v>
      </c>
      <c r="J26" s="332"/>
    </row>
    <row r="27" spans="2:31" ht="14.1" customHeight="1" x14ac:dyDescent="0.25">
      <c r="B27" s="225">
        <v>51</v>
      </c>
      <c r="C27" s="324">
        <v>1250</v>
      </c>
      <c r="D27" s="233"/>
      <c r="E27" s="29">
        <v>26</v>
      </c>
      <c r="F27" s="323">
        <v>580</v>
      </c>
      <c r="G27" s="279" cm="1">
        <f t="array" ref="G27">_xlfn.SINGLE(INDEX(LINEST(F$26:F$28,(E$26:E$28)^{1,2}),2))</f>
        <v>19.408000000000005</v>
      </c>
      <c r="H27" s="343">
        <v>-60</v>
      </c>
      <c r="I27" s="344" t="s">
        <v>208</v>
      </c>
      <c r="J27" s="332"/>
      <c r="P27" s="160" t="s">
        <v>219</v>
      </c>
      <c r="AC27" s="27" t="s">
        <v>123</v>
      </c>
      <c r="AD27" s="27" t="s">
        <v>124</v>
      </c>
      <c r="AE27" s="321" t="s">
        <v>185</v>
      </c>
    </row>
    <row r="28" spans="2:31" ht="14.1" customHeight="1" x14ac:dyDescent="0.25">
      <c r="B28" s="392">
        <v>50</v>
      </c>
      <c r="C28" s="393">
        <f>C82</f>
        <v>1225.5999999999999</v>
      </c>
      <c r="D28" s="180"/>
      <c r="E28" s="29">
        <v>51</v>
      </c>
      <c r="F28" s="323">
        <v>1250</v>
      </c>
      <c r="G28" s="279" cm="1">
        <f t="array" ref="G28">_xlfn.SINGLE(INDEX(LINEST(F$26:F$28,(E$26:E$28)^{1,2}),3))</f>
        <v>10.495999999999924</v>
      </c>
      <c r="H28" s="333">
        <f>SUM(H26:H27)</f>
        <v>580</v>
      </c>
      <c r="I28" s="332"/>
      <c r="J28" s="332"/>
      <c r="O28" s="160" t="s">
        <v>216</v>
      </c>
      <c r="P28" s="160" t="s">
        <v>220</v>
      </c>
      <c r="AC28" s="29">
        <v>1</v>
      </c>
      <c r="AD28" s="323">
        <v>30</v>
      </c>
      <c r="AE28" s="322" cm="1">
        <f t="array" ref="AE28">_xlfn.SINGLE(INDEX(LINEST(AD$28:AD$30,(AC$28:AC$30)^{1,2,3}),1))</f>
        <v>-1.7664998074701597E-2</v>
      </c>
    </row>
    <row r="29" spans="2:31" ht="14.1" customHeight="1" x14ac:dyDescent="0.2">
      <c r="B29" s="160"/>
      <c r="D29" s="160"/>
      <c r="J29" s="166" t="s">
        <v>222</v>
      </c>
      <c r="O29" s="160" t="s">
        <v>215</v>
      </c>
      <c r="P29" s="217" t="s">
        <v>221</v>
      </c>
      <c r="R29" s="180">
        <f>S35</f>
        <v>0.65983118523210105</v>
      </c>
      <c r="AC29" s="29">
        <v>25</v>
      </c>
      <c r="AD29" s="323">
        <v>610</v>
      </c>
      <c r="AE29" s="322" cm="1">
        <f t="array" ref="AE29">_xlfn.SINGLE(INDEX(LINEST(AD$28:AD$30,(AC$28:AC$30)^{1,2,3}),2))</f>
        <v>1.3717915543575927</v>
      </c>
    </row>
    <row r="30" spans="2:31" ht="14.1" customHeight="1" x14ac:dyDescent="0.2">
      <c r="B30" s="160"/>
      <c r="C30" s="325" cm="1">
        <f t="array" ref="C30">_xlfn.SINGLE(INDEX(LINEST(C26:C27,($B26:$B27)^{1}),1))</f>
        <v>24.400000000000002</v>
      </c>
      <c r="D30" s="160"/>
      <c r="O30" s="160" t="s">
        <v>213</v>
      </c>
      <c r="P30" s="160" t="s">
        <v>217</v>
      </c>
      <c r="R30" s="180">
        <f>S38</f>
        <v>0.58386349951445848</v>
      </c>
      <c r="AC30" s="29">
        <v>50</v>
      </c>
      <c r="AD30" s="323">
        <v>1250</v>
      </c>
      <c r="AE30" s="322" cm="1">
        <f t="array" ref="AE30">_xlfn.SINGLE(INDEX(LINEST(AD$28:AD$30,(AC$28:AC$30)^{1,2,3}),3))</f>
        <v>0</v>
      </c>
    </row>
    <row r="31" spans="2:31" ht="14.1" customHeight="1" x14ac:dyDescent="0.2">
      <c r="C31" s="325" cm="1">
        <f t="array" ref="C31">INDEX(LINEST(C26:C27,($B26:$B27)^{1}),1,2)</f>
        <v>5.5999999999999091</v>
      </c>
      <c r="E31" s="305"/>
      <c r="F31" s="362" t="s">
        <v>209</v>
      </c>
      <c r="G31" s="363"/>
      <c r="H31" s="305"/>
      <c r="I31" s="335" t="s">
        <v>210</v>
      </c>
      <c r="J31" s="305"/>
      <c r="K31" s="305"/>
      <c r="L31" s="364"/>
      <c r="M31" s="365"/>
      <c r="O31" s="160" t="s">
        <v>214</v>
      </c>
      <c r="P31" s="217" t="s">
        <v>218</v>
      </c>
      <c r="R31" s="180">
        <f>S42</f>
        <v>0.6243116185319062</v>
      </c>
      <c r="AE31" s="322" cm="1">
        <f t="array" ref="AE31">_xlfn.SINGLE(INDEX(LINEST(AD$28:AD$30,(AC$28:AC$30)^{1,2,3}),4))</f>
        <v>28.645873443717392</v>
      </c>
    </row>
    <row r="32" spans="2:31" ht="14.1" customHeight="1" x14ac:dyDescent="0.2">
      <c r="B32" s="338" t="s">
        <v>123</v>
      </c>
      <c r="C32" s="339" t="s">
        <v>124</v>
      </c>
      <c r="D32" s="337"/>
      <c r="E32" s="338" t="s">
        <v>123</v>
      </c>
      <c r="F32" s="340" t="s">
        <v>184</v>
      </c>
      <c r="G32" s="63"/>
      <c r="H32" s="338" t="s">
        <v>123</v>
      </c>
      <c r="I32" s="341" t="s">
        <v>206</v>
      </c>
      <c r="K32" s="338" t="s">
        <v>123</v>
      </c>
      <c r="L32" s="225" t="s">
        <v>201</v>
      </c>
      <c r="M32" s="361" t="s">
        <v>192</v>
      </c>
      <c r="N32" s="27" t="s">
        <v>11</v>
      </c>
      <c r="O32" s="368" t="s">
        <v>192</v>
      </c>
      <c r="P32" s="27" t="s">
        <v>204</v>
      </c>
      <c r="R32" s="372"/>
      <c r="S32" s="372"/>
      <c r="T32" s="385" t="s">
        <v>50</v>
      </c>
    </row>
    <row r="33" spans="2:31" ht="14.1" customHeight="1" x14ac:dyDescent="0.2">
      <c r="B33" s="17">
        <v>1</v>
      </c>
      <c r="C33" s="326">
        <f>(C$30*B33)+C$31</f>
        <v>29.999999999999911</v>
      </c>
      <c r="E33" s="17">
        <v>1</v>
      </c>
      <c r="F33" s="287">
        <f t="shared" ref="F33:F64" si="3">(G$26*(E33)^2)+(G$27*(E33)^1)+(G$28)</f>
        <v>29.999999999999929</v>
      </c>
      <c r="H33" s="17">
        <v>1</v>
      </c>
      <c r="I33" s="227">
        <f t="shared" ref="I33:I64" si="4">C33-F33</f>
        <v>0</v>
      </c>
      <c r="K33" s="369">
        <v>1</v>
      </c>
      <c r="L33" s="370">
        <f>F33</f>
        <v>29.999999999999929</v>
      </c>
      <c r="M33" s="371">
        <f>L33/K33</f>
        <v>29.999999999999929</v>
      </c>
      <c r="N33" s="376">
        <f>SQRT(12*32.2*M33^2/(4*$L$5*($L$4*56)*$L$3^2))</f>
        <v>0.7966409995558198</v>
      </c>
      <c r="O33" s="371">
        <f>(N33*$L$3)*SQRT(4*$L$5*$L$6/32.2)/12</f>
        <v>29.999289634446754</v>
      </c>
      <c r="P33" s="371">
        <f>(K33*O33)</f>
        <v>29.999289634446754</v>
      </c>
      <c r="R33" s="372" t="s">
        <v>123</v>
      </c>
      <c r="S33" s="372" t="s">
        <v>47</v>
      </c>
      <c r="T33" s="385" t="s">
        <v>51</v>
      </c>
      <c r="AE33" s="63"/>
    </row>
    <row r="34" spans="2:31" ht="14.1" customHeight="1" x14ac:dyDescent="0.2">
      <c r="B34" s="17">
        <v>2</v>
      </c>
      <c r="C34" s="326">
        <f>(C$30*B34)+C$31</f>
        <v>54.399999999999913</v>
      </c>
      <c r="E34" s="17">
        <v>2</v>
      </c>
      <c r="F34" s="287">
        <f t="shared" si="3"/>
        <v>49.695999999999934</v>
      </c>
      <c r="H34" s="17">
        <v>2</v>
      </c>
      <c r="I34" s="227">
        <f t="shared" si="4"/>
        <v>4.7039999999999793</v>
      </c>
      <c r="K34" s="369">
        <v>2</v>
      </c>
      <c r="L34" s="370">
        <f>F34</f>
        <v>49.695999999999934</v>
      </c>
      <c r="M34" s="371">
        <f t="shared" ref="M34:M83" si="5">L34/K34</f>
        <v>24.847999999999967</v>
      </c>
      <c r="N34" s="376">
        <f>SQRT(12*32.2*M34^2/(4*$L$5*($L$4*56)*$L$3^2))</f>
        <v>0.65983118523210105</v>
      </c>
      <c r="O34" s="371">
        <f t="shared" ref="O34:O35" si="6">(N34*$L$3)*SQRT(4*$L$5*$L$6/32.2)/12</f>
        <v>24.847411627891123</v>
      </c>
      <c r="P34" s="371">
        <f t="shared" ref="P34:P83" si="7">(K34*O34)</f>
        <v>49.694823255782246</v>
      </c>
      <c r="R34" s="160">
        <v>1</v>
      </c>
      <c r="S34" s="374">
        <f>N33</f>
        <v>0.7966409995558198</v>
      </c>
      <c r="T34" s="185">
        <f>P33</f>
        <v>29.999289634446754</v>
      </c>
      <c r="AC34" s="2" t="s">
        <v>123</v>
      </c>
      <c r="AD34" s="288" t="s">
        <v>185</v>
      </c>
      <c r="AE34" s="63"/>
    </row>
    <row r="35" spans="2:31" ht="14.1" customHeight="1" x14ac:dyDescent="0.2">
      <c r="B35" s="17">
        <v>3</v>
      </c>
      <c r="C35" s="326">
        <f>(C$30*B35)+C$31</f>
        <v>78.799999999999912</v>
      </c>
      <c r="E35" s="17">
        <v>3</v>
      </c>
      <c r="F35" s="287">
        <f>(G$26*(E35)^2)+(G$27*(E35)^1)+(G$28)</f>
        <v>69.583999999999946</v>
      </c>
      <c r="H35" s="17">
        <v>3</v>
      </c>
      <c r="I35" s="227">
        <f t="shared" si="4"/>
        <v>9.2159999999999656</v>
      </c>
      <c r="K35" s="369">
        <v>3</v>
      </c>
      <c r="L35" s="370">
        <f t="shared" ref="L35:L83" si="8">F35</f>
        <v>69.583999999999946</v>
      </c>
      <c r="M35" s="371">
        <f t="shared" si="5"/>
        <v>23.194666666666649</v>
      </c>
      <c r="N35" s="376">
        <f t="shared" ref="N35:N83" si="9">SQRT(12*32.2*M35^2/(4*$L$5*($L$4*56)*$L$3^2))</f>
        <v>0.61592741458991385</v>
      </c>
      <c r="O35" s="371">
        <f t="shared" si="6"/>
        <v>23.194117443592734</v>
      </c>
      <c r="P35" s="371">
        <f t="shared" si="7"/>
        <v>69.582352330778207</v>
      </c>
      <c r="Q35" s="221">
        <f>S35</f>
        <v>0.65983118523210105</v>
      </c>
      <c r="R35" s="373">
        <v>2</v>
      </c>
      <c r="S35" s="375">
        <f>N34</f>
        <v>0.65983118523210105</v>
      </c>
      <c r="T35" s="420">
        <f>P34</f>
        <v>49.694823255782246</v>
      </c>
      <c r="AC35" s="17">
        <v>1</v>
      </c>
      <c r="AD35" s="287">
        <f>(AE$28*(AC35)^3)+(AE$29*(AC35)^2)+(AE$30*(AC35)^1)+(AE$31)</f>
        <v>30.000000000000284</v>
      </c>
    </row>
    <row r="36" spans="2:31" ht="14.1" customHeight="1" x14ac:dyDescent="0.2">
      <c r="B36" s="17">
        <v>4</v>
      </c>
      <c r="C36" s="326">
        <f>(C$30*B36)+C$31</f>
        <v>103.19999999999992</v>
      </c>
      <c r="E36" s="17">
        <v>4</v>
      </c>
      <c r="F36" s="287">
        <f t="shared" si="3"/>
        <v>89.663999999999945</v>
      </c>
      <c r="H36" s="17">
        <v>4</v>
      </c>
      <c r="I36" s="227">
        <f t="shared" si="4"/>
        <v>13.535999999999973</v>
      </c>
      <c r="K36" s="369">
        <v>4</v>
      </c>
      <c r="L36" s="370">
        <f t="shared" si="8"/>
        <v>89.663999999999945</v>
      </c>
      <c r="M36" s="371">
        <f t="shared" si="5"/>
        <v>22.415999999999986</v>
      </c>
      <c r="N36" s="376">
        <f t="shared" si="9"/>
        <v>0.5952501548681095</v>
      </c>
      <c r="O36" s="371">
        <f t="shared" ref="O36:O83" si="10">(N36*$L$3)*SQRT(4*$L$5*$L$6/32.2)/12</f>
        <v>22.41546921485865</v>
      </c>
      <c r="P36" s="371">
        <f t="shared" si="7"/>
        <v>89.661876859434599</v>
      </c>
      <c r="R36" s="160">
        <v>3</v>
      </c>
      <c r="S36" s="374">
        <f>N35</f>
        <v>0.61592741458991385</v>
      </c>
      <c r="T36" s="185">
        <f>P35</f>
        <v>69.582352330778207</v>
      </c>
      <c r="AC36" s="17">
        <v>2</v>
      </c>
      <c r="AD36" s="287">
        <f>(AE$28*(AC36)^3)+(AE$29*(AC36)^2)+(AE$30*(AC36)^1)+(AE$31)</f>
        <v>33.991719676550147</v>
      </c>
    </row>
    <row r="37" spans="2:31" ht="14.1" customHeight="1" x14ac:dyDescent="0.2">
      <c r="B37" s="17">
        <v>5</v>
      </c>
      <c r="C37" s="326">
        <f>(C$30*B37)+C$31</f>
        <v>127.59999999999992</v>
      </c>
      <c r="E37" s="17">
        <v>5</v>
      </c>
      <c r="F37" s="287">
        <f t="shared" si="3"/>
        <v>109.93599999999995</v>
      </c>
      <c r="G37" s="287"/>
      <c r="H37" s="17">
        <v>5</v>
      </c>
      <c r="I37" s="227">
        <f t="shared" si="4"/>
        <v>17.663999999999973</v>
      </c>
      <c r="K37" s="369">
        <v>5</v>
      </c>
      <c r="L37" s="370">
        <f t="shared" si="8"/>
        <v>109.93599999999995</v>
      </c>
      <c r="M37" s="371">
        <f t="shared" si="5"/>
        <v>21.987199999999991</v>
      </c>
      <c r="N37" s="376">
        <f t="shared" si="9"/>
        <v>0.58386349951445848</v>
      </c>
      <c r="O37" s="371">
        <f t="shared" si="10"/>
        <v>21.986679368350298</v>
      </c>
      <c r="P37" s="371">
        <f t="shared" si="7"/>
        <v>109.93339684175149</v>
      </c>
      <c r="R37" s="160">
        <v>4</v>
      </c>
      <c r="S37" s="374">
        <f>N36</f>
        <v>0.5952501548681095</v>
      </c>
      <c r="T37" s="185">
        <f>P36</f>
        <v>89.661876859434599</v>
      </c>
      <c r="AC37" s="17">
        <v>3</v>
      </c>
      <c r="AD37" s="287">
        <f>(AE$28*(AC37)^3)+(AE$29*(AC37)^2)+(AE$30*(AC37)^1)+(AE$31)</f>
        <v>40.51504248491878</v>
      </c>
    </row>
    <row r="38" spans="2:31" ht="14.1" customHeight="1" x14ac:dyDescent="0.2">
      <c r="B38" s="17">
        <v>6</v>
      </c>
      <c r="C38" s="326">
        <f>(C$30*B38)+C$31</f>
        <v>151.99999999999991</v>
      </c>
      <c r="E38" s="17">
        <v>6</v>
      </c>
      <c r="F38" s="287">
        <f t="shared" si="3"/>
        <v>130.39999999999998</v>
      </c>
      <c r="G38" s="287"/>
      <c r="H38" s="17">
        <v>6</v>
      </c>
      <c r="I38" s="227">
        <f t="shared" si="4"/>
        <v>21.599999999999937</v>
      </c>
      <c r="K38" s="17">
        <v>6</v>
      </c>
      <c r="L38" s="287">
        <f t="shared" si="8"/>
        <v>130.39999999999998</v>
      </c>
      <c r="M38" s="227">
        <f t="shared" si="5"/>
        <v>21.733333333333331</v>
      </c>
      <c r="N38" s="377">
        <f t="shared" si="9"/>
        <v>0.57712214634488401</v>
      </c>
      <c r="O38" s="227">
        <f t="shared" si="10"/>
        <v>21.732818712954806</v>
      </c>
      <c r="P38" s="227">
        <f t="shared" si="7"/>
        <v>130.39691227772883</v>
      </c>
      <c r="Q38" s="221">
        <f>S38</f>
        <v>0.58386349951445848</v>
      </c>
      <c r="R38" s="373">
        <v>5</v>
      </c>
      <c r="S38" s="375">
        <f>N37</f>
        <v>0.58386349951445848</v>
      </c>
      <c r="T38" s="420">
        <f>P37</f>
        <v>109.93339684175149</v>
      </c>
      <c r="AC38" s="17">
        <v>4</v>
      </c>
      <c r="AD38" s="287">
        <f>(AE$28*(AC38)^3)+(AE$29*(AC38)^2)+(AE$30*(AC38)^1)+(AE$31)</f>
        <v>49.463978436657968</v>
      </c>
    </row>
    <row r="39" spans="2:31" ht="14.1" customHeight="1" x14ac:dyDescent="0.2">
      <c r="B39" s="17">
        <v>7</v>
      </c>
      <c r="C39" s="326">
        <f>(C$30*B39)+C$31</f>
        <v>176.39999999999992</v>
      </c>
      <c r="E39" s="17">
        <v>7</v>
      </c>
      <c r="F39" s="287">
        <f t="shared" si="3"/>
        <v>151.05599999999995</v>
      </c>
      <c r="G39" s="287"/>
      <c r="H39" s="17">
        <v>7</v>
      </c>
      <c r="I39" s="227">
        <f t="shared" si="4"/>
        <v>25.343999999999966</v>
      </c>
      <c r="K39" s="17">
        <v>7</v>
      </c>
      <c r="L39" s="287">
        <f t="shared" si="8"/>
        <v>151.05599999999995</v>
      </c>
      <c r="M39" s="227">
        <f t="shared" si="5"/>
        <v>21.579428571428565</v>
      </c>
      <c r="N39" s="377">
        <f t="shared" si="9"/>
        <v>0.57303525156621027</v>
      </c>
      <c r="O39" s="227">
        <f t="shared" si="10"/>
        <v>21.578917595338087</v>
      </c>
      <c r="P39" s="227">
        <f t="shared" si="7"/>
        <v>151.05242316736661</v>
      </c>
      <c r="R39" s="160">
        <v>10</v>
      </c>
      <c r="S39" s="374">
        <f>N42</f>
        <v>0.5687379424028921</v>
      </c>
      <c r="T39" s="185">
        <f>P42</f>
        <v>214.17092855824276</v>
      </c>
      <c r="AC39" s="17">
        <v>5</v>
      </c>
      <c r="AD39" s="287">
        <f>(AE$28*(AC39)^3)+(AE$29*(AC39)^2)+(AE$30*(AC39)^1)+(AE$31)</f>
        <v>60.732537543319509</v>
      </c>
      <c r="AE39" s="287"/>
    </row>
    <row r="40" spans="2:31" ht="14.1" customHeight="1" x14ac:dyDescent="0.2">
      <c r="B40" s="17">
        <v>8</v>
      </c>
      <c r="C40" s="326">
        <f>(C$30*B40)+C$31</f>
        <v>200.79999999999993</v>
      </c>
      <c r="E40" s="17">
        <v>8</v>
      </c>
      <c r="F40" s="287">
        <f t="shared" si="3"/>
        <v>171.90399999999997</v>
      </c>
      <c r="G40" s="287"/>
      <c r="H40" s="17">
        <v>8</v>
      </c>
      <c r="I40" s="227">
        <f t="shared" si="4"/>
        <v>28.895999999999958</v>
      </c>
      <c r="K40" s="17">
        <v>8</v>
      </c>
      <c r="L40" s="287">
        <f t="shared" si="8"/>
        <v>171.90399999999997</v>
      </c>
      <c r="M40" s="227">
        <f t="shared" si="5"/>
        <v>21.487999999999996</v>
      </c>
      <c r="N40" s="377">
        <f t="shared" si="9"/>
        <v>0.57060739328184973</v>
      </c>
      <c r="O40" s="227">
        <f t="shared" si="10"/>
        <v>21.487491188833104</v>
      </c>
      <c r="P40" s="227">
        <f t="shared" si="7"/>
        <v>171.89992951066483</v>
      </c>
      <c r="R40" s="160">
        <v>20</v>
      </c>
      <c r="S40" s="374">
        <f>N52</f>
        <v>0.58029454783644863</v>
      </c>
      <c r="T40" s="185">
        <f>P52</f>
        <v>437.04565101575974</v>
      </c>
    </row>
    <row r="41" spans="2:31" ht="14.1" customHeight="1" x14ac:dyDescent="0.2">
      <c r="B41" s="17">
        <v>9</v>
      </c>
      <c r="C41" s="326">
        <f>(C$30*B41)+C$31</f>
        <v>225.19999999999993</v>
      </c>
      <c r="E41" s="17">
        <v>9</v>
      </c>
      <c r="F41" s="287">
        <f t="shared" si="3"/>
        <v>192.94399999999999</v>
      </c>
      <c r="G41" s="287"/>
      <c r="H41" s="17">
        <v>9</v>
      </c>
      <c r="I41" s="227">
        <f t="shared" si="4"/>
        <v>32.255999999999943</v>
      </c>
      <c r="K41" s="17">
        <v>9</v>
      </c>
      <c r="L41" s="287">
        <f t="shared" si="8"/>
        <v>192.94399999999999</v>
      </c>
      <c r="M41" s="227">
        <f t="shared" si="5"/>
        <v>21.438222222222223</v>
      </c>
      <c r="N41" s="377">
        <f t="shared" si="9"/>
        <v>0.56928555932703129</v>
      </c>
      <c r="O41" s="227">
        <f t="shared" si="10"/>
        <v>21.437714589735958</v>
      </c>
      <c r="P41" s="227">
        <f t="shared" si="7"/>
        <v>192.93943130762361</v>
      </c>
      <c r="R41" s="160">
        <v>30</v>
      </c>
      <c r="S41" s="374">
        <f>N62</f>
        <v>0.60114175763815825</v>
      </c>
      <c r="T41" s="185">
        <f>P62</f>
        <v>679.11991883932251</v>
      </c>
    </row>
    <row r="42" spans="2:31" ht="14.1" customHeight="1" x14ac:dyDescent="0.2">
      <c r="B42" s="17">
        <v>10</v>
      </c>
      <c r="C42" s="326">
        <f>(C$30*B42)+C$31</f>
        <v>249.59999999999994</v>
      </c>
      <c r="E42" s="17">
        <v>10</v>
      </c>
      <c r="F42" s="287">
        <f t="shared" si="3"/>
        <v>214.17599999999996</v>
      </c>
      <c r="G42" s="287"/>
      <c r="H42" s="17">
        <v>10</v>
      </c>
      <c r="I42" s="227">
        <f>C42-F42</f>
        <v>35.423999999999978</v>
      </c>
      <c r="K42" s="369">
        <v>10</v>
      </c>
      <c r="L42" s="370">
        <f t="shared" si="8"/>
        <v>214.17599999999996</v>
      </c>
      <c r="M42" s="371">
        <f t="shared" si="5"/>
        <v>21.417599999999997</v>
      </c>
      <c r="N42" s="376">
        <f t="shared" si="9"/>
        <v>0.5687379424028921</v>
      </c>
      <c r="O42" s="371">
        <f t="shared" si="10"/>
        <v>21.417092855824276</v>
      </c>
      <c r="P42" s="371">
        <f t="shared" si="7"/>
        <v>214.17092855824276</v>
      </c>
      <c r="Q42" s="221">
        <f>S42</f>
        <v>0.6243116185319062</v>
      </c>
      <c r="R42" s="373">
        <v>40</v>
      </c>
      <c r="S42" s="375">
        <f>N72</f>
        <v>0.6243116185319062</v>
      </c>
      <c r="T42" s="420">
        <f>P72</f>
        <v>940.39373202893148</v>
      </c>
    </row>
    <row r="43" spans="2:31" ht="14.1" customHeight="1" x14ac:dyDescent="0.2">
      <c r="B43" s="17">
        <v>11</v>
      </c>
      <c r="C43" s="326">
        <f>(C$30*B43)+C$31</f>
        <v>273.99999999999994</v>
      </c>
      <c r="E43" s="17">
        <v>11</v>
      </c>
      <c r="F43" s="287">
        <f t="shared" si="3"/>
        <v>235.59999999999997</v>
      </c>
      <c r="G43" s="287"/>
      <c r="H43" s="17">
        <v>11</v>
      </c>
      <c r="I43" s="227">
        <f t="shared" si="4"/>
        <v>38.399999999999977</v>
      </c>
      <c r="K43" s="17">
        <v>11</v>
      </c>
      <c r="L43" s="287">
        <f t="shared" si="8"/>
        <v>235.59999999999997</v>
      </c>
      <c r="M43" s="227">
        <f t="shared" si="5"/>
        <v>21.418181818181814</v>
      </c>
      <c r="N43" s="377">
        <f t="shared" si="9"/>
        <v>0.56875339241015621</v>
      </c>
      <c r="O43" s="227">
        <f t="shared" si="10"/>
        <v>21.417674660229306</v>
      </c>
      <c r="P43" s="227">
        <f t="shared" si="7"/>
        <v>235.59442126252236</v>
      </c>
      <c r="R43" s="160">
        <v>50</v>
      </c>
      <c r="S43" s="374">
        <f>N82</f>
        <v>0.64841053986246955</v>
      </c>
      <c r="T43" s="185">
        <f>P82</f>
        <v>1220.8670905845861</v>
      </c>
    </row>
    <row r="44" spans="2:31" ht="14.1" customHeight="1" x14ac:dyDescent="0.2">
      <c r="B44" s="17">
        <v>12</v>
      </c>
      <c r="C44" s="326">
        <f>(C$30*B44)+C$31</f>
        <v>298.39999999999992</v>
      </c>
      <c r="E44" s="17">
        <v>12</v>
      </c>
      <c r="F44" s="287">
        <f t="shared" si="3"/>
        <v>257.21600000000001</v>
      </c>
      <c r="G44" s="287"/>
      <c r="H44" s="17">
        <v>12</v>
      </c>
      <c r="I44" s="227">
        <f t="shared" si="4"/>
        <v>41.183999999999912</v>
      </c>
      <c r="K44" s="17">
        <v>12</v>
      </c>
      <c r="L44" s="287">
        <f t="shared" si="8"/>
        <v>257.21600000000001</v>
      </c>
      <c r="M44" s="227">
        <f t="shared" si="5"/>
        <v>21.434666666666669</v>
      </c>
      <c r="N44" s="377">
        <f t="shared" si="9"/>
        <v>0.56919114261597292</v>
      </c>
      <c r="O44" s="227">
        <f t="shared" si="10"/>
        <v>21.434159118371877</v>
      </c>
      <c r="P44" s="227">
        <f t="shared" si="7"/>
        <v>257.20990942046251</v>
      </c>
      <c r="S44" s="312"/>
    </row>
    <row r="45" spans="2:31" ht="14.1" customHeight="1" x14ac:dyDescent="0.2">
      <c r="B45" s="17">
        <v>13</v>
      </c>
      <c r="C45" s="326">
        <f>(C$30*B45)+C$31</f>
        <v>322.79999999999995</v>
      </c>
      <c r="E45" s="17">
        <v>13</v>
      </c>
      <c r="F45" s="287">
        <f t="shared" si="3"/>
        <v>279.024</v>
      </c>
      <c r="G45" s="287"/>
      <c r="H45" s="17">
        <v>13</v>
      </c>
      <c r="I45" s="227">
        <f t="shared" si="4"/>
        <v>43.775999999999954</v>
      </c>
      <c r="K45" s="17">
        <v>13</v>
      </c>
      <c r="L45" s="287">
        <f t="shared" si="8"/>
        <v>279.024</v>
      </c>
      <c r="M45" s="227">
        <f t="shared" si="5"/>
        <v>21.463384615384616</v>
      </c>
      <c r="N45" s="377">
        <f t="shared" si="9"/>
        <v>0.56995373912836822</v>
      </c>
      <c r="O45" s="227">
        <f t="shared" si="10"/>
        <v>21.462876387081774</v>
      </c>
      <c r="P45" s="227">
        <f t="shared" si="7"/>
        <v>279.01739303206307</v>
      </c>
    </row>
    <row r="46" spans="2:31" ht="14.1" customHeight="1" x14ac:dyDescent="0.2">
      <c r="B46" s="17">
        <v>14</v>
      </c>
      <c r="C46" s="326">
        <f>(C$30*B46)+C$31</f>
        <v>347.19999999999993</v>
      </c>
      <c r="E46" s="17">
        <v>14</v>
      </c>
      <c r="F46" s="287">
        <f t="shared" si="3"/>
        <v>301.02399999999994</v>
      </c>
      <c r="G46" s="287"/>
      <c r="H46" s="17">
        <v>14</v>
      </c>
      <c r="I46" s="227">
        <f t="shared" si="4"/>
        <v>46.175999999999988</v>
      </c>
      <c r="K46" s="17">
        <v>14</v>
      </c>
      <c r="L46" s="287">
        <f t="shared" si="8"/>
        <v>301.02399999999994</v>
      </c>
      <c r="M46" s="227">
        <f t="shared" si="5"/>
        <v>21.501714285714282</v>
      </c>
      <c r="N46" s="377">
        <f t="shared" si="9"/>
        <v>0.57097157202450388</v>
      </c>
      <c r="O46" s="227">
        <f t="shared" si="10"/>
        <v>21.501205149808857</v>
      </c>
      <c r="P46" s="227">
        <f t="shared" si="7"/>
        <v>301.01687209732398</v>
      </c>
    </row>
    <row r="47" spans="2:31" ht="14.1" customHeight="1" x14ac:dyDescent="0.2">
      <c r="B47" s="17">
        <v>15</v>
      </c>
      <c r="C47" s="326">
        <f>(C$30*B47)+C$31</f>
        <v>371.59999999999997</v>
      </c>
      <c r="E47" s="17">
        <v>15</v>
      </c>
      <c r="F47" s="287">
        <f t="shared" si="3"/>
        <v>323.21599999999995</v>
      </c>
      <c r="G47" s="287"/>
      <c r="H47" s="17">
        <v>15</v>
      </c>
      <c r="I47" s="227">
        <f t="shared" si="4"/>
        <v>48.384000000000015</v>
      </c>
      <c r="K47" s="17">
        <v>15</v>
      </c>
      <c r="L47" s="287">
        <f t="shared" si="8"/>
        <v>323.21599999999995</v>
      </c>
      <c r="M47" s="227">
        <f t="shared" si="5"/>
        <v>21.54773333333333</v>
      </c>
      <c r="N47" s="377">
        <f t="shared" si="9"/>
        <v>0.57219359402763204</v>
      </c>
      <c r="O47" s="227">
        <f t="shared" si="10"/>
        <v>21.547223107749698</v>
      </c>
      <c r="P47" s="227">
        <f t="shared" si="7"/>
        <v>323.20834661624548</v>
      </c>
    </row>
    <row r="48" spans="2:31" ht="14.1" customHeight="1" x14ac:dyDescent="0.2">
      <c r="B48" s="17">
        <v>16</v>
      </c>
      <c r="C48" s="326">
        <f>(C$30*B48)+C$31</f>
        <v>395.99999999999994</v>
      </c>
      <c r="E48" s="17">
        <v>16</v>
      </c>
      <c r="F48" s="287">
        <f t="shared" si="3"/>
        <v>345.59999999999997</v>
      </c>
      <c r="G48" s="287"/>
      <c r="H48" s="17">
        <v>16</v>
      </c>
      <c r="I48" s="227">
        <f t="shared" si="4"/>
        <v>50.399999999999977</v>
      </c>
      <c r="K48" s="17">
        <v>16</v>
      </c>
      <c r="L48" s="287">
        <f t="shared" si="8"/>
        <v>345.59999999999997</v>
      </c>
      <c r="M48" s="227">
        <f t="shared" si="5"/>
        <v>21.599999999999998</v>
      </c>
      <c r="N48" s="377">
        <f t="shared" si="9"/>
        <v>0.57358151968019155</v>
      </c>
      <c r="O48" s="227">
        <f t="shared" si="10"/>
        <v>21.599488536801715</v>
      </c>
      <c r="P48" s="227">
        <f t="shared" si="7"/>
        <v>345.59181658882744</v>
      </c>
    </row>
    <row r="49" spans="1:16" ht="14.1" customHeight="1" x14ac:dyDescent="0.2">
      <c r="B49" s="17">
        <v>17</v>
      </c>
      <c r="C49" s="326">
        <f>(C$30*B49)+C$31</f>
        <v>420.39999999999992</v>
      </c>
      <c r="E49" s="17">
        <v>17</v>
      </c>
      <c r="F49" s="287">
        <f t="shared" si="3"/>
        <v>368.17599999999999</v>
      </c>
      <c r="G49" s="287"/>
      <c r="H49" s="17">
        <v>17</v>
      </c>
      <c r="I49" s="227">
        <f t="shared" si="4"/>
        <v>52.223999999999933</v>
      </c>
      <c r="K49" s="17">
        <v>17</v>
      </c>
      <c r="L49" s="287">
        <f t="shared" si="8"/>
        <v>368.17599999999999</v>
      </c>
      <c r="M49" s="227">
        <f t="shared" si="5"/>
        <v>21.657411764705881</v>
      </c>
      <c r="N49" s="377">
        <f t="shared" si="9"/>
        <v>0.57510607186757678</v>
      </c>
      <c r="O49" s="227">
        <f t="shared" si="10"/>
        <v>21.656898942062924</v>
      </c>
      <c r="P49" s="227">
        <f t="shared" si="7"/>
        <v>368.1672820150697</v>
      </c>
    </row>
    <row r="50" spans="1:16" ht="14.1" customHeight="1" x14ac:dyDescent="0.2">
      <c r="B50" s="17">
        <v>18</v>
      </c>
      <c r="C50" s="326">
        <f>(C$30*B50)+C$31</f>
        <v>444.79999999999995</v>
      </c>
      <c r="E50" s="17">
        <v>18</v>
      </c>
      <c r="F50" s="287">
        <f t="shared" si="3"/>
        <v>390.94400000000002</v>
      </c>
      <c r="G50" s="287"/>
      <c r="H50" s="17">
        <v>18</v>
      </c>
      <c r="I50" s="227">
        <f t="shared" si="4"/>
        <v>53.855999999999938</v>
      </c>
      <c r="K50" s="17">
        <v>18</v>
      </c>
      <c r="L50" s="287">
        <f t="shared" si="8"/>
        <v>390.94400000000002</v>
      </c>
      <c r="M50" s="227">
        <f t="shared" si="5"/>
        <v>21.719111111111111</v>
      </c>
      <c r="N50" s="377">
        <f t="shared" si="9"/>
        <v>0.57674447950065033</v>
      </c>
      <c r="O50" s="227">
        <f t="shared" si="10"/>
        <v>21.718596827498484</v>
      </c>
      <c r="P50" s="227">
        <f t="shared" si="7"/>
        <v>390.93474289497271</v>
      </c>
    </row>
    <row r="51" spans="1:16" ht="14.1" customHeight="1" x14ac:dyDescent="0.2">
      <c r="B51" s="17">
        <v>19</v>
      </c>
      <c r="C51" s="326">
        <f>(C$30*B51)+C$31</f>
        <v>469.19999999999993</v>
      </c>
      <c r="E51" s="17">
        <v>19</v>
      </c>
      <c r="F51" s="287">
        <f t="shared" si="3"/>
        <v>413.904</v>
      </c>
      <c r="G51" s="287"/>
      <c r="H51" s="17">
        <v>19</v>
      </c>
      <c r="I51" s="227">
        <f t="shared" si="4"/>
        <v>55.295999999999935</v>
      </c>
      <c r="K51" s="17">
        <v>19</v>
      </c>
      <c r="L51" s="287">
        <f t="shared" si="8"/>
        <v>413.904</v>
      </c>
      <c r="M51" s="227">
        <f t="shared" si="5"/>
        <v>21.784421052631579</v>
      </c>
      <c r="N51" s="377">
        <f t="shared" si="9"/>
        <v>0.57847876540377685</v>
      </c>
      <c r="O51" s="227">
        <f t="shared" si="10"/>
        <v>21.783905222554523</v>
      </c>
      <c r="P51" s="227">
        <f t="shared" si="7"/>
        <v>413.89419922853597</v>
      </c>
    </row>
    <row r="52" spans="1:16" ht="14.1" customHeight="1" x14ac:dyDescent="0.2">
      <c r="B52" s="17">
        <v>20</v>
      </c>
      <c r="C52" s="326">
        <f>(C$30*B52)+C$31</f>
        <v>493.59999999999997</v>
      </c>
      <c r="E52" s="17">
        <v>20</v>
      </c>
      <c r="F52" s="287">
        <f t="shared" si="3"/>
        <v>437.05599999999998</v>
      </c>
      <c r="G52" s="287"/>
      <c r="H52" s="17">
        <v>20</v>
      </c>
      <c r="I52" s="227">
        <f t="shared" si="4"/>
        <v>56.543999999999983</v>
      </c>
      <c r="K52" s="369">
        <v>20</v>
      </c>
      <c r="L52" s="370">
        <f t="shared" si="8"/>
        <v>437.05599999999998</v>
      </c>
      <c r="M52" s="371">
        <f t="shared" si="5"/>
        <v>21.852799999999998</v>
      </c>
      <c r="N52" s="376">
        <f t="shared" si="9"/>
        <v>0.58029454783644863</v>
      </c>
      <c r="O52" s="371">
        <f t="shared" si="10"/>
        <v>21.852282550787987</v>
      </c>
      <c r="P52" s="371">
        <f t="shared" si="7"/>
        <v>437.04565101575974</v>
      </c>
    </row>
    <row r="53" spans="1:16" ht="14.1" customHeight="1" x14ac:dyDescent="0.2">
      <c r="B53" s="17">
        <v>21</v>
      </c>
      <c r="C53" s="326">
        <f>(C$30*B53)+C$31</f>
        <v>518</v>
      </c>
      <c r="E53" s="17">
        <v>21</v>
      </c>
      <c r="F53" s="287">
        <f t="shared" si="3"/>
        <v>460.40000000000003</v>
      </c>
      <c r="G53" s="287"/>
      <c r="H53" s="17">
        <v>21</v>
      </c>
      <c r="I53" s="227">
        <f t="shared" si="4"/>
        <v>57.599999999999966</v>
      </c>
      <c r="K53" s="17">
        <v>21</v>
      </c>
      <c r="L53" s="287">
        <f t="shared" si="8"/>
        <v>460.40000000000003</v>
      </c>
      <c r="M53" s="227">
        <f t="shared" si="5"/>
        <v>21.923809523809524</v>
      </c>
      <c r="N53" s="377">
        <f t="shared" si="9"/>
        <v>0.58218018443730213</v>
      </c>
      <c r="O53" s="227">
        <f t="shared" si="10"/>
        <v>21.92329039317352</v>
      </c>
      <c r="P53" s="227">
        <f t="shared" si="7"/>
        <v>460.38909825664393</v>
      </c>
    </row>
    <row r="54" spans="1:16" ht="14.1" customHeight="1" x14ac:dyDescent="0.2">
      <c r="B54" s="17">
        <v>22</v>
      </c>
      <c r="C54" s="326">
        <f>(C$30*B54)+C$31</f>
        <v>542.4</v>
      </c>
      <c r="E54" s="17">
        <v>22</v>
      </c>
      <c r="F54" s="287">
        <f t="shared" si="3"/>
        <v>483.93600000000004</v>
      </c>
      <c r="G54" s="287"/>
      <c r="H54" s="17">
        <v>22</v>
      </c>
      <c r="I54" s="227">
        <f t="shared" si="4"/>
        <v>58.463999999999942</v>
      </c>
      <c r="K54" s="17">
        <v>22</v>
      </c>
      <c r="L54" s="287">
        <f t="shared" si="8"/>
        <v>483.93600000000004</v>
      </c>
      <c r="M54" s="227">
        <f t="shared" si="5"/>
        <v>21.997090909090911</v>
      </c>
      <c r="N54" s="377">
        <f t="shared" si="9"/>
        <v>0.58412614963794873</v>
      </c>
      <c r="O54" s="227">
        <f t="shared" si="10"/>
        <v>21.996570043235849</v>
      </c>
      <c r="P54" s="227">
        <f t="shared" si="7"/>
        <v>483.92454095118865</v>
      </c>
    </row>
    <row r="55" spans="1:16" ht="14.1" customHeight="1" x14ac:dyDescent="0.2">
      <c r="B55" s="17">
        <v>23</v>
      </c>
      <c r="C55" s="326">
        <f>(C$30*B55)+C$31</f>
        <v>566.79999999999995</v>
      </c>
      <c r="E55" s="17">
        <v>23</v>
      </c>
      <c r="F55" s="287">
        <f t="shared" si="3"/>
        <v>507.66400000000004</v>
      </c>
      <c r="G55" s="287"/>
      <c r="H55" s="17">
        <v>23</v>
      </c>
      <c r="I55" s="227">
        <f t="shared" si="4"/>
        <v>59.13599999999991</v>
      </c>
      <c r="K55" s="17">
        <v>23</v>
      </c>
      <c r="L55" s="287">
        <f t="shared" si="8"/>
        <v>507.66400000000004</v>
      </c>
      <c r="M55" s="227">
        <f t="shared" si="5"/>
        <v>22.072347826086958</v>
      </c>
      <c r="N55" s="377">
        <f t="shared" si="9"/>
        <v>0.58612457449058941</v>
      </c>
      <c r="O55" s="227">
        <f t="shared" si="10"/>
        <v>22.071825178234516</v>
      </c>
      <c r="P55" s="227">
        <f t="shared" si="7"/>
        <v>507.65197909939388</v>
      </c>
    </row>
    <row r="56" spans="1:16" ht="14.1" customHeight="1" x14ac:dyDescent="0.2">
      <c r="B56" s="17">
        <v>24</v>
      </c>
      <c r="C56" s="326">
        <f>(C$30*B56)+C$31</f>
        <v>591.19999999999993</v>
      </c>
      <c r="E56" s="17">
        <v>24</v>
      </c>
      <c r="F56" s="287">
        <f t="shared" si="3"/>
        <v>531.58400000000006</v>
      </c>
      <c r="G56" s="287"/>
      <c r="H56" s="17">
        <v>24</v>
      </c>
      <c r="I56" s="227">
        <f t="shared" si="4"/>
        <v>59.615999999999872</v>
      </c>
      <c r="K56" s="17">
        <v>24</v>
      </c>
      <c r="L56" s="287">
        <f t="shared" si="8"/>
        <v>531.58400000000006</v>
      </c>
      <c r="M56" s="227">
        <f t="shared" si="5"/>
        <v>22.149333333333335</v>
      </c>
      <c r="N56" s="377">
        <f t="shared" si="9"/>
        <v>0.58816890153872492</v>
      </c>
      <c r="O56" s="227">
        <f t="shared" si="10"/>
        <v>22.148808862552475</v>
      </c>
      <c r="P56" s="227">
        <f t="shared" si="7"/>
        <v>531.57141270125942</v>
      </c>
    </row>
    <row r="57" spans="1:16" ht="14.1" customHeight="1" x14ac:dyDescent="0.2">
      <c r="B57" s="311">
        <v>25</v>
      </c>
      <c r="C57" s="326">
        <f>(C$30*B57)+C$31</f>
        <v>615.59999999999991</v>
      </c>
      <c r="E57" s="17">
        <v>25</v>
      </c>
      <c r="F57" s="287">
        <f t="shared" si="3"/>
        <v>555.69599999999991</v>
      </c>
      <c r="G57" s="287"/>
      <c r="H57" s="17">
        <v>25</v>
      </c>
      <c r="I57" s="227">
        <f t="shared" si="4"/>
        <v>59.903999999999996</v>
      </c>
      <c r="K57" s="17">
        <v>25</v>
      </c>
      <c r="L57" s="287">
        <f t="shared" si="8"/>
        <v>555.69599999999991</v>
      </c>
      <c r="M57" s="227">
        <f t="shared" si="5"/>
        <v>22.227839999999997</v>
      </c>
      <c r="N57" s="377">
        <f t="shared" si="9"/>
        <v>0.59025362251889579</v>
      </c>
      <c r="O57" s="227">
        <f t="shared" si="10"/>
        <v>22.227313670271414</v>
      </c>
      <c r="P57" s="227">
        <f t="shared" si="7"/>
        <v>555.68284175678536</v>
      </c>
    </row>
    <row r="58" spans="1:16" ht="14.1" customHeight="1" x14ac:dyDescent="0.2">
      <c r="A58" s="236"/>
      <c r="B58" s="327">
        <v>26</v>
      </c>
      <c r="C58" s="328">
        <f>(C$30*B58)+C$31</f>
        <v>640</v>
      </c>
      <c r="D58" s="237"/>
      <c r="E58" s="327">
        <v>26</v>
      </c>
      <c r="F58" s="329">
        <f t="shared" si="3"/>
        <v>580</v>
      </c>
      <c r="G58" s="329"/>
      <c r="H58" s="327">
        <v>26</v>
      </c>
      <c r="I58" s="336">
        <f t="shared" si="4"/>
        <v>60</v>
      </c>
      <c r="J58" s="237"/>
      <c r="K58" s="327">
        <v>26</v>
      </c>
      <c r="L58" s="287">
        <f t="shared" si="8"/>
        <v>580</v>
      </c>
      <c r="M58" s="367">
        <f t="shared" si="5"/>
        <v>22.307692307692307</v>
      </c>
      <c r="N58" s="377">
        <f t="shared" si="9"/>
        <v>0.5923740765927904</v>
      </c>
      <c r="O58" s="227">
        <f t="shared" si="10"/>
        <v>22.307164087152767</v>
      </c>
      <c r="P58" s="227">
        <f t="shared" si="7"/>
        <v>579.98626626597195</v>
      </c>
    </row>
    <row r="59" spans="1:16" ht="14.1" customHeight="1" x14ac:dyDescent="0.2">
      <c r="B59" s="17">
        <v>27</v>
      </c>
      <c r="C59" s="326">
        <f>(C$30*B59)+C$31</f>
        <v>664.4</v>
      </c>
      <c r="E59" s="17">
        <v>27</v>
      </c>
      <c r="F59" s="287">
        <f t="shared" si="3"/>
        <v>604.49599999999987</v>
      </c>
      <c r="G59" s="287"/>
      <c r="H59" s="17">
        <v>27</v>
      </c>
      <c r="I59" s="227">
        <f>C59-F59</f>
        <v>59.90400000000011</v>
      </c>
      <c r="K59" s="17">
        <v>27</v>
      </c>
      <c r="L59" s="287">
        <f t="shared" si="8"/>
        <v>604.49599999999987</v>
      </c>
      <c r="M59" s="227">
        <f t="shared" si="5"/>
        <v>22.388740740740737</v>
      </c>
      <c r="N59" s="377">
        <f t="shared" si="9"/>
        <v>0.59452629341666152</v>
      </c>
      <c r="O59" s="227">
        <f t="shared" si="10"/>
        <v>22.38821060106736</v>
      </c>
      <c r="P59" s="227">
        <f t="shared" si="7"/>
        <v>604.48168622881872</v>
      </c>
    </row>
    <row r="60" spans="1:16" ht="14.1" customHeight="1" x14ac:dyDescent="0.2">
      <c r="B60" s="17">
        <v>28</v>
      </c>
      <c r="C60" s="326">
        <f>(C$30*B60)+C$31</f>
        <v>688.8</v>
      </c>
      <c r="E60" s="17">
        <v>28</v>
      </c>
      <c r="F60" s="287">
        <f t="shared" si="3"/>
        <v>629.18399999999997</v>
      </c>
      <c r="G60" s="287"/>
      <c r="H60" s="17">
        <v>28</v>
      </c>
      <c r="I60" s="227">
        <f t="shared" si="4"/>
        <v>59.615999999999985</v>
      </c>
      <c r="K60" s="17">
        <v>28</v>
      </c>
      <c r="L60" s="287">
        <f t="shared" si="8"/>
        <v>629.18399999999997</v>
      </c>
      <c r="M60" s="227">
        <f t="shared" si="5"/>
        <v>22.470857142857142</v>
      </c>
      <c r="N60" s="377">
        <f t="shared" si="9"/>
        <v>0.59670686983872623</v>
      </c>
      <c r="O60" s="227">
        <f t="shared" si="10"/>
        <v>22.470325058761656</v>
      </c>
      <c r="P60" s="227">
        <f t="shared" si="7"/>
        <v>629.16910164532635</v>
      </c>
    </row>
    <row r="61" spans="1:16" ht="14.1" customHeight="1" x14ac:dyDescent="0.2">
      <c r="B61" s="17">
        <v>29</v>
      </c>
      <c r="C61" s="326">
        <f>(C$30*B61)+C$31</f>
        <v>713.19999999999993</v>
      </c>
      <c r="E61" s="17">
        <v>29</v>
      </c>
      <c r="F61" s="287">
        <f t="shared" si="3"/>
        <v>654.06400000000008</v>
      </c>
      <c r="G61" s="287"/>
      <c r="H61" s="17">
        <v>29</v>
      </c>
      <c r="I61" s="227">
        <f t="shared" si="4"/>
        <v>59.135999999999854</v>
      </c>
      <c r="K61" s="17">
        <v>29</v>
      </c>
      <c r="L61" s="287">
        <f t="shared" si="8"/>
        <v>654.06400000000008</v>
      </c>
      <c r="M61" s="227">
        <f t="shared" si="5"/>
        <v>22.553931034482762</v>
      </c>
      <c r="N61" s="377">
        <f t="shared" si="9"/>
        <v>0.59891287210744715</v>
      </c>
      <c r="O61" s="227">
        <f t="shared" si="10"/>
        <v>22.55339698329291</v>
      </c>
      <c r="P61" s="227">
        <f t="shared" si="7"/>
        <v>654.04851251549439</v>
      </c>
    </row>
    <row r="62" spans="1:16" ht="14.1" customHeight="1" x14ac:dyDescent="0.2">
      <c r="B62" s="17">
        <v>30</v>
      </c>
      <c r="C62" s="326">
        <f>(C$30*B62)+C$31</f>
        <v>737.6</v>
      </c>
      <c r="E62" s="17">
        <v>30</v>
      </c>
      <c r="F62" s="287">
        <f t="shared" si="3"/>
        <v>679.13599999999997</v>
      </c>
      <c r="G62" s="287"/>
      <c r="H62" s="17">
        <v>30</v>
      </c>
      <c r="I62" s="227">
        <f t="shared" si="4"/>
        <v>58.464000000000055</v>
      </c>
      <c r="K62" s="369">
        <v>30</v>
      </c>
      <c r="L62" s="370">
        <f t="shared" si="8"/>
        <v>679.13599999999997</v>
      </c>
      <c r="M62" s="371">
        <f t="shared" si="5"/>
        <v>22.637866666666664</v>
      </c>
      <c r="N62" s="376">
        <f t="shared" si="9"/>
        <v>0.60114175763815825</v>
      </c>
      <c r="O62" s="371">
        <f t="shared" si="10"/>
        <v>22.637330627977416</v>
      </c>
      <c r="P62" s="371">
        <f t="shared" si="7"/>
        <v>679.11991883932251</v>
      </c>
    </row>
    <row r="63" spans="1:16" ht="14.1" customHeight="1" x14ac:dyDescent="0.2">
      <c r="B63" s="17">
        <v>31</v>
      </c>
      <c r="C63" s="326">
        <f>(C$30*B63)+C$31</f>
        <v>762</v>
      </c>
      <c r="E63" s="17">
        <v>31</v>
      </c>
      <c r="F63" s="287">
        <f t="shared" si="3"/>
        <v>704.40000000000009</v>
      </c>
      <c r="G63" s="287"/>
      <c r="H63" s="17">
        <v>31</v>
      </c>
      <c r="I63" s="227">
        <f t="shared" si="4"/>
        <v>57.599999999999909</v>
      </c>
      <c r="K63" s="17">
        <v>31</v>
      </c>
      <c r="L63" s="287">
        <f t="shared" si="8"/>
        <v>704.40000000000009</v>
      </c>
      <c r="M63" s="227">
        <f t="shared" si="5"/>
        <v>22.722580645161294</v>
      </c>
      <c r="N63" s="377">
        <f t="shared" si="9"/>
        <v>0.60339131192163531</v>
      </c>
      <c r="O63" s="227">
        <f t="shared" si="10"/>
        <v>22.722042600542309</v>
      </c>
      <c r="P63" s="227">
        <f t="shared" si="7"/>
        <v>704.3833206168116</v>
      </c>
    </row>
    <row r="64" spans="1:16" ht="14.1" customHeight="1" x14ac:dyDescent="0.2">
      <c r="B64" s="17">
        <v>32</v>
      </c>
      <c r="C64" s="326">
        <f>(C$30*B64)+C$31</f>
        <v>786.4</v>
      </c>
      <c r="E64" s="17">
        <v>32</v>
      </c>
      <c r="F64" s="287">
        <f t="shared" si="3"/>
        <v>729.85599999999999</v>
      </c>
      <c r="G64" s="287"/>
      <c r="H64" s="17">
        <v>32</v>
      </c>
      <c r="I64" s="227">
        <f t="shared" si="4"/>
        <v>56.543999999999983</v>
      </c>
      <c r="K64" s="17">
        <v>32</v>
      </c>
      <c r="L64" s="287">
        <f t="shared" si="8"/>
        <v>729.85599999999999</v>
      </c>
      <c r="M64" s="227">
        <f t="shared" si="5"/>
        <v>22.808</v>
      </c>
      <c r="N64" s="377">
        <f t="shared" si="9"/>
        <v>0.605659597262306</v>
      </c>
      <c r="O64" s="227">
        <f t="shared" si="10"/>
        <v>22.807459932748774</v>
      </c>
      <c r="P64" s="227">
        <f t="shared" si="7"/>
        <v>729.83871784796077</v>
      </c>
    </row>
    <row r="65" spans="2:16" ht="14.1" customHeight="1" x14ac:dyDescent="0.2">
      <c r="B65" s="17">
        <v>33</v>
      </c>
      <c r="C65" s="326">
        <f>(C$30*B65)+C$31</f>
        <v>810.8</v>
      </c>
      <c r="E65" s="17">
        <v>33</v>
      </c>
      <c r="F65" s="287">
        <f t="shared" ref="F65:F83" si="11">(G$26*(E65)^2)+(G$27*(E65)^1)+(G$28)</f>
        <v>755.50400000000013</v>
      </c>
      <c r="G65" s="287"/>
      <c r="H65" s="17">
        <v>33</v>
      </c>
      <c r="I65" s="227">
        <f t="shared" ref="I65:I83" si="12">C65-F65</f>
        <v>55.295999999999822</v>
      </c>
      <c r="K65" s="17">
        <v>33</v>
      </c>
      <c r="L65" s="287">
        <f t="shared" si="8"/>
        <v>755.50400000000013</v>
      </c>
      <c r="M65" s="227">
        <f t="shared" si="5"/>
        <v>22.894060606060609</v>
      </c>
      <c r="N65" s="377">
        <f t="shared" si="9"/>
        <v>0.60794491083678937</v>
      </c>
      <c r="O65" s="227">
        <f t="shared" si="10"/>
        <v>22.893518500993043</v>
      </c>
      <c r="P65" s="227">
        <f t="shared" si="7"/>
        <v>755.48611053277045</v>
      </c>
    </row>
    <row r="66" spans="2:16" ht="14.1" customHeight="1" x14ac:dyDescent="0.2">
      <c r="B66" s="17">
        <v>34</v>
      </c>
      <c r="C66" s="326">
        <f>(C$30*B66)+C$31</f>
        <v>835.19999999999993</v>
      </c>
      <c r="E66" s="17">
        <v>34</v>
      </c>
      <c r="F66" s="287">
        <f t="shared" si="11"/>
        <v>781.34400000000005</v>
      </c>
      <c r="G66" s="287"/>
      <c r="H66" s="17">
        <v>34</v>
      </c>
      <c r="I66" s="227">
        <f t="shared" si="12"/>
        <v>53.855999999999881</v>
      </c>
      <c r="K66" s="17">
        <v>34</v>
      </c>
      <c r="L66" s="287">
        <f t="shared" si="8"/>
        <v>781.34400000000005</v>
      </c>
      <c r="M66" s="227">
        <f t="shared" si="5"/>
        <v>22.980705882352943</v>
      </c>
      <c r="N66" s="377">
        <f t="shared" si="9"/>
        <v>0.61024575015386662</v>
      </c>
      <c r="O66" s="227">
        <f t="shared" si="10"/>
        <v>22.980161725624725</v>
      </c>
      <c r="P66" s="227">
        <f t="shared" si="7"/>
        <v>781.32549867124067</v>
      </c>
    </row>
    <row r="67" spans="2:16" ht="14.1" customHeight="1" x14ac:dyDescent="0.2">
      <c r="B67" s="17">
        <v>35</v>
      </c>
      <c r="C67" s="326">
        <f>(C$30*B67)+C$31</f>
        <v>859.6</v>
      </c>
      <c r="E67" s="17">
        <v>35</v>
      </c>
      <c r="F67" s="287">
        <f t="shared" si="11"/>
        <v>807.37599999999998</v>
      </c>
      <c r="G67" s="287"/>
      <c r="H67" s="17">
        <v>35</v>
      </c>
      <c r="I67" s="227">
        <f t="shared" si="12"/>
        <v>52.224000000000046</v>
      </c>
      <c r="K67" s="17">
        <v>35</v>
      </c>
      <c r="L67" s="287">
        <f t="shared" si="8"/>
        <v>807.37599999999998</v>
      </c>
      <c r="M67" s="227">
        <f t="shared" si="5"/>
        <v>23.067885714285712</v>
      </c>
      <c r="N67" s="377">
        <f t="shared" si="9"/>
        <v>0.61256078443560091</v>
      </c>
      <c r="O67" s="227">
        <f t="shared" si="10"/>
        <v>23.067339493239174</v>
      </c>
      <c r="P67" s="227">
        <f t="shared" si="7"/>
        <v>807.35688226337106</v>
      </c>
    </row>
    <row r="68" spans="2:16" ht="14.1" customHeight="1" x14ac:dyDescent="0.2">
      <c r="B68" s="17">
        <v>36</v>
      </c>
      <c r="C68" s="326">
        <f>(C$30*B68)+C$31</f>
        <v>884</v>
      </c>
      <c r="E68" s="17">
        <v>36</v>
      </c>
      <c r="F68" s="287">
        <f t="shared" si="11"/>
        <v>833.60000000000014</v>
      </c>
      <c r="G68" s="287"/>
      <c r="H68" s="17">
        <v>36</v>
      </c>
      <c r="I68" s="227">
        <f t="shared" si="12"/>
        <v>50.399999999999864</v>
      </c>
      <c r="K68" s="17">
        <v>36</v>
      </c>
      <c r="L68" s="287">
        <f t="shared" si="8"/>
        <v>833.60000000000014</v>
      </c>
      <c r="M68" s="227">
        <f t="shared" si="5"/>
        <v>23.155555555555559</v>
      </c>
      <c r="N68" s="377">
        <f t="shared" si="9"/>
        <v>0.61488883076827128</v>
      </c>
      <c r="O68" s="227">
        <f t="shared" si="10"/>
        <v>23.155007258587847</v>
      </c>
      <c r="P68" s="227">
        <f t="shared" si="7"/>
        <v>833.58026130916255</v>
      </c>
    </row>
    <row r="69" spans="2:16" ht="14.1" customHeight="1" x14ac:dyDescent="0.2">
      <c r="B69" s="17">
        <v>37</v>
      </c>
      <c r="C69" s="326">
        <f>(C$30*B69)+C$31</f>
        <v>908.4</v>
      </c>
      <c r="E69" s="17">
        <v>37</v>
      </c>
      <c r="F69" s="287">
        <f t="shared" si="11"/>
        <v>860.01600000000008</v>
      </c>
      <c r="G69" s="287"/>
      <c r="H69" s="17">
        <v>37</v>
      </c>
      <c r="I69" s="227">
        <f t="shared" si="12"/>
        <v>48.383999999999901</v>
      </c>
      <c r="K69" s="17">
        <v>37</v>
      </c>
      <c r="L69" s="287">
        <f t="shared" si="8"/>
        <v>860.01600000000008</v>
      </c>
      <c r="M69" s="227">
        <f t="shared" si="5"/>
        <v>23.243675675675679</v>
      </c>
      <c r="N69" s="377">
        <f t="shared" si="9"/>
        <v>0.61722883412072038</v>
      </c>
      <c r="O69" s="227">
        <f t="shared" si="10"/>
        <v>23.243125292124706</v>
      </c>
      <c r="P69" s="227">
        <f t="shared" si="7"/>
        <v>859.99563580861411</v>
      </c>
    </row>
    <row r="70" spans="2:16" ht="14.1" customHeight="1" x14ac:dyDescent="0.2">
      <c r="B70" s="17">
        <v>38</v>
      </c>
      <c r="C70" s="326">
        <f>(C$30*B70)+C$31</f>
        <v>932.8</v>
      </c>
      <c r="E70" s="17">
        <v>38</v>
      </c>
      <c r="F70" s="287">
        <f t="shared" si="11"/>
        <v>886.62400000000002</v>
      </c>
      <c r="G70" s="287"/>
      <c r="H70" s="17">
        <v>38</v>
      </c>
      <c r="I70" s="227">
        <f t="shared" si="12"/>
        <v>46.175999999999931</v>
      </c>
      <c r="K70" s="17">
        <v>38</v>
      </c>
      <c r="L70" s="287">
        <f t="shared" si="8"/>
        <v>886.62400000000002</v>
      </c>
      <c r="M70" s="227">
        <f t="shared" si="5"/>
        <v>23.332210526315791</v>
      </c>
      <c r="N70" s="377">
        <f t="shared" si="9"/>
        <v>0.61957985051770248</v>
      </c>
      <c r="O70" s="227">
        <f t="shared" si="10"/>
        <v>23.331658046361213</v>
      </c>
      <c r="P70" s="227">
        <f t="shared" si="7"/>
        <v>886.60300576172608</v>
      </c>
    </row>
    <row r="71" spans="2:16" ht="14.1" customHeight="1" x14ac:dyDescent="0.2">
      <c r="B71" s="17">
        <v>39</v>
      </c>
      <c r="C71" s="326">
        <f>(C$30*B71)+C$31</f>
        <v>957.2</v>
      </c>
      <c r="E71" s="17">
        <v>39</v>
      </c>
      <c r="F71" s="287">
        <f t="shared" si="11"/>
        <v>913.42399999999998</v>
      </c>
      <c r="G71" s="287"/>
      <c r="H71" s="17">
        <v>39</v>
      </c>
      <c r="I71" s="227">
        <f t="shared" si="12"/>
        <v>43.776000000000067</v>
      </c>
      <c r="K71" s="17">
        <v>39</v>
      </c>
      <c r="L71" s="287">
        <f t="shared" si="8"/>
        <v>913.42399999999998</v>
      </c>
      <c r="M71" s="227">
        <f t="shared" si="5"/>
        <v>23.421128205128205</v>
      </c>
      <c r="N71" s="377">
        <f t="shared" si="9"/>
        <v>0.62194103280194601</v>
      </c>
      <c r="O71" s="227">
        <f t="shared" si="10"/>
        <v>23.420573619705092</v>
      </c>
      <c r="P71" s="227">
        <f t="shared" si="7"/>
        <v>913.40237116849858</v>
      </c>
    </row>
    <row r="72" spans="2:16" ht="14.1" customHeight="1" x14ac:dyDescent="0.2">
      <c r="B72" s="17">
        <v>40</v>
      </c>
      <c r="C72" s="326">
        <f>(C$30*B72)+C$31</f>
        <v>981.6</v>
      </c>
      <c r="E72" s="17">
        <v>40</v>
      </c>
      <c r="F72" s="287">
        <f t="shared" si="11"/>
        <v>940.41599999999994</v>
      </c>
      <c r="G72" s="287"/>
      <c r="H72" s="17">
        <v>40</v>
      </c>
      <c r="I72" s="227">
        <f t="shared" si="12"/>
        <v>41.184000000000083</v>
      </c>
      <c r="K72" s="369">
        <v>40</v>
      </c>
      <c r="L72" s="370">
        <f t="shared" si="8"/>
        <v>940.41599999999994</v>
      </c>
      <c r="M72" s="371">
        <f t="shared" si="5"/>
        <v>23.510399999999997</v>
      </c>
      <c r="N72" s="376">
        <f t="shared" si="9"/>
        <v>0.6243116185319062</v>
      </c>
      <c r="O72" s="371">
        <f t="shared" si="10"/>
        <v>23.509843300723286</v>
      </c>
      <c r="P72" s="371">
        <f t="shared" si="7"/>
        <v>940.39373202893148</v>
      </c>
    </row>
    <row r="73" spans="2:16" ht="14.1" customHeight="1" x14ac:dyDescent="0.2">
      <c r="B73" s="17">
        <v>41</v>
      </c>
      <c r="C73" s="326">
        <f>(C$30*B73)+C$31</f>
        <v>1006</v>
      </c>
      <c r="E73" s="17">
        <v>41</v>
      </c>
      <c r="F73" s="287">
        <f t="shared" si="11"/>
        <v>967.59999999999991</v>
      </c>
      <c r="G73" s="287"/>
      <c r="H73" s="17">
        <v>41</v>
      </c>
      <c r="I73" s="227">
        <f t="shared" si="12"/>
        <v>38.400000000000091</v>
      </c>
      <c r="K73" s="17">
        <v>41</v>
      </c>
      <c r="L73" s="287">
        <f t="shared" si="8"/>
        <v>967.59999999999991</v>
      </c>
      <c r="M73" s="227">
        <f t="shared" si="5"/>
        <v>23.599999999999998</v>
      </c>
      <c r="N73" s="377">
        <f t="shared" si="9"/>
        <v>0.62669091965057966</v>
      </c>
      <c r="O73" s="227">
        <f t="shared" si="10"/>
        <v>23.599441179098168</v>
      </c>
      <c r="P73" s="227">
        <f t="shared" si="7"/>
        <v>967.57708834302491</v>
      </c>
    </row>
    <row r="74" spans="2:16" ht="14.1" customHeight="1" x14ac:dyDescent="0.2">
      <c r="B74" s="17">
        <v>42</v>
      </c>
      <c r="C74" s="326">
        <f>(C$30*B74)+C$31</f>
        <v>1030.4000000000001</v>
      </c>
      <c r="E74" s="17">
        <v>42</v>
      </c>
      <c r="F74" s="287">
        <f t="shared" si="11"/>
        <v>994.97600000000011</v>
      </c>
      <c r="G74" s="287"/>
      <c r="H74" s="17">
        <v>42</v>
      </c>
      <c r="I74" s="227">
        <f t="shared" si="12"/>
        <v>35.423999999999978</v>
      </c>
      <c r="K74" s="17">
        <v>42</v>
      </c>
      <c r="L74" s="287">
        <f t="shared" si="8"/>
        <v>994.97600000000011</v>
      </c>
      <c r="M74" s="227">
        <f t="shared" si="5"/>
        <v>23.689904761904764</v>
      </c>
      <c r="N74" s="377">
        <f t="shared" si="9"/>
        <v>0.62907831363020106</v>
      </c>
      <c r="O74" s="227">
        <f t="shared" si="10"/>
        <v>23.689343812161407</v>
      </c>
      <c r="P74" s="227">
        <f t="shared" si="7"/>
        <v>994.95244011077909</v>
      </c>
    </row>
    <row r="75" spans="2:16" ht="14.1" customHeight="1" x14ac:dyDescent="0.2">
      <c r="B75" s="17">
        <v>43</v>
      </c>
      <c r="C75" s="326">
        <f>(C$30*B75)+C$31</f>
        <v>1054.8</v>
      </c>
      <c r="E75" s="17">
        <v>43</v>
      </c>
      <c r="F75" s="287">
        <f t="shared" si="11"/>
        <v>1022.5440000000001</v>
      </c>
      <c r="G75" s="287"/>
      <c r="H75" s="17">
        <v>43</v>
      </c>
      <c r="I75" s="227">
        <f t="shared" si="12"/>
        <v>32.255999999999858</v>
      </c>
      <c r="K75" s="17">
        <v>43</v>
      </c>
      <c r="L75" s="287">
        <f t="shared" si="8"/>
        <v>1022.5440000000001</v>
      </c>
      <c r="M75" s="227">
        <f t="shared" si="5"/>
        <v>23.780093023255816</v>
      </c>
      <c r="N75" s="377">
        <f t="shared" si="9"/>
        <v>0.63147323585256443</v>
      </c>
      <c r="O75" s="227">
        <f t="shared" si="10"/>
        <v>23.779529937957978</v>
      </c>
      <c r="P75" s="227">
        <f t="shared" si="7"/>
        <v>1022.519787332193</v>
      </c>
    </row>
    <row r="76" spans="2:16" ht="14.1" customHeight="1" x14ac:dyDescent="0.2">
      <c r="B76" s="17">
        <v>44</v>
      </c>
      <c r="C76" s="326">
        <f>(C$30*B76)+C$31</f>
        <v>1079.2</v>
      </c>
      <c r="E76" s="17">
        <v>44</v>
      </c>
      <c r="F76" s="287">
        <f t="shared" si="11"/>
        <v>1050.3040000000001</v>
      </c>
      <c r="G76" s="287"/>
      <c r="H76" s="17">
        <v>44</v>
      </c>
      <c r="I76" s="227">
        <f t="shared" si="12"/>
        <v>28.895999999999958</v>
      </c>
      <c r="K76" s="17">
        <v>44</v>
      </c>
      <c r="L76" s="287">
        <f t="shared" si="8"/>
        <v>1050.3040000000001</v>
      </c>
      <c r="M76" s="227">
        <f t="shared" si="5"/>
        <v>23.870545454545457</v>
      </c>
      <c r="N76" s="377">
        <f t="shared" si="9"/>
        <v>0.63387517302839225</v>
      </c>
      <c r="O76" s="227">
        <f t="shared" si="10"/>
        <v>23.869980227437907</v>
      </c>
      <c r="P76" s="227">
        <f t="shared" si="7"/>
        <v>1050.2791300072679</v>
      </c>
    </row>
    <row r="77" spans="2:16" ht="14.1" customHeight="1" x14ac:dyDescent="0.2">
      <c r="B77" s="17">
        <v>45</v>
      </c>
      <c r="C77" s="326">
        <f>(C$30*B77)+C$31</f>
        <v>1103.5999999999999</v>
      </c>
      <c r="E77" s="17">
        <v>45</v>
      </c>
      <c r="F77" s="287">
        <f t="shared" si="11"/>
        <v>1078.2560000000001</v>
      </c>
      <c r="G77" s="287"/>
      <c r="H77" s="17">
        <v>45</v>
      </c>
      <c r="I77" s="227">
        <f t="shared" si="12"/>
        <v>25.343999999999824</v>
      </c>
      <c r="K77" s="17">
        <v>45</v>
      </c>
      <c r="L77" s="287">
        <f t="shared" si="8"/>
        <v>1078.2560000000001</v>
      </c>
      <c r="M77" s="227">
        <f t="shared" si="5"/>
        <v>23.961244444444446</v>
      </c>
      <c r="N77" s="377">
        <f t="shared" si="9"/>
        <v>0.63628365749412008</v>
      </c>
      <c r="O77" s="227">
        <f t="shared" si="10"/>
        <v>23.960677069688959</v>
      </c>
      <c r="P77" s="227">
        <f t="shared" si="7"/>
        <v>1078.2304681360031</v>
      </c>
    </row>
    <row r="78" spans="2:16" ht="14.1" customHeight="1" x14ac:dyDescent="0.2">
      <c r="B78" s="17">
        <v>46</v>
      </c>
      <c r="C78" s="326">
        <f>(C$30*B78)+C$31</f>
        <v>1128</v>
      </c>
      <c r="E78" s="17">
        <v>46</v>
      </c>
      <c r="F78" s="287">
        <f t="shared" si="11"/>
        <v>1106.4000000000001</v>
      </c>
      <c r="G78" s="287"/>
      <c r="H78" s="17">
        <v>46</v>
      </c>
      <c r="I78" s="227">
        <f t="shared" si="12"/>
        <v>21.599999999999909</v>
      </c>
      <c r="K78" s="17">
        <v>46</v>
      </c>
      <c r="L78" s="287">
        <f t="shared" si="8"/>
        <v>1106.4000000000001</v>
      </c>
      <c r="M78" s="227">
        <f t="shared" si="5"/>
        <v>24.052173913043479</v>
      </c>
      <c r="N78" s="377">
        <f t="shared" si="9"/>
        <v>0.63869826225258053</v>
      </c>
      <c r="O78" s="227">
        <f t="shared" si="10"/>
        <v>24.051604385182586</v>
      </c>
      <c r="P78" s="227">
        <f t="shared" si="7"/>
        <v>1106.3738017183989</v>
      </c>
    </row>
    <row r="79" spans="2:16" ht="14.1" customHeight="1" x14ac:dyDescent="0.2">
      <c r="B79" s="17">
        <v>47</v>
      </c>
      <c r="C79" s="326">
        <f>(C$30*B79)+C$31</f>
        <v>1152.4000000000001</v>
      </c>
      <c r="E79" s="17">
        <v>47</v>
      </c>
      <c r="F79" s="287">
        <f t="shared" si="11"/>
        <v>1134.7360000000001</v>
      </c>
      <c r="G79" s="287"/>
      <c r="H79" s="17">
        <v>47</v>
      </c>
      <c r="I79" s="227">
        <f t="shared" si="12"/>
        <v>17.663999999999987</v>
      </c>
      <c r="K79" s="17">
        <v>47</v>
      </c>
      <c r="L79" s="287">
        <f t="shared" si="8"/>
        <v>1134.7360000000001</v>
      </c>
      <c r="M79" s="227">
        <f t="shared" si="5"/>
        <v>24.143319148936172</v>
      </c>
      <c r="N79" s="377">
        <f t="shared" si="9"/>
        <v>0.64111859664679072</v>
      </c>
      <c r="O79" s="227">
        <f t="shared" si="10"/>
        <v>24.142747462860751</v>
      </c>
      <c r="P79" s="227">
        <f t="shared" si="7"/>
        <v>1134.7091307544554</v>
      </c>
    </row>
    <row r="80" spans="2:16" ht="14.1" customHeight="1" x14ac:dyDescent="0.2">
      <c r="B80" s="17">
        <v>48</v>
      </c>
      <c r="C80" s="326">
        <f>(C$30*B80)+C$31</f>
        <v>1176.8</v>
      </c>
      <c r="E80" s="17">
        <v>48</v>
      </c>
      <c r="F80" s="287">
        <f t="shared" si="11"/>
        <v>1163.2640000000001</v>
      </c>
      <c r="G80" s="287"/>
      <c r="H80" s="17">
        <v>48</v>
      </c>
      <c r="I80" s="227">
        <f t="shared" si="12"/>
        <v>13.535999999999831</v>
      </c>
      <c r="K80" s="17">
        <v>48</v>
      </c>
      <c r="L80" s="287">
        <f t="shared" si="8"/>
        <v>1163.2640000000001</v>
      </c>
      <c r="M80" s="227">
        <f t="shared" si="5"/>
        <v>24.234666666666669</v>
      </c>
      <c r="N80" s="377">
        <f t="shared" si="9"/>
        <v>0.64354430257451634</v>
      </c>
      <c r="O80" s="227">
        <f t="shared" si="10"/>
        <v>24.234092817586916</v>
      </c>
      <c r="P80" s="227">
        <f t="shared" si="7"/>
        <v>1163.236455244172</v>
      </c>
    </row>
    <row r="81" spans="2:16" ht="14.1" customHeight="1" x14ac:dyDescent="0.2">
      <c r="B81" s="17">
        <v>49</v>
      </c>
      <c r="C81" s="326">
        <f>(C$30*B81)+C$31</f>
        <v>1201.2</v>
      </c>
      <c r="E81" s="17">
        <v>49</v>
      </c>
      <c r="F81" s="287">
        <f t="shared" si="11"/>
        <v>1191.9839999999999</v>
      </c>
      <c r="G81" s="287"/>
      <c r="H81" s="17">
        <v>49</v>
      </c>
      <c r="I81" s="227">
        <f t="shared" si="12"/>
        <v>9.2160000000001219</v>
      </c>
      <c r="K81" s="17">
        <v>49</v>
      </c>
      <c r="L81" s="287">
        <f t="shared" si="8"/>
        <v>1191.9839999999999</v>
      </c>
      <c r="M81" s="227">
        <f t="shared" si="5"/>
        <v>24.326204081632653</v>
      </c>
      <c r="N81" s="377">
        <f t="shared" si="9"/>
        <v>0.64597505116635812</v>
      </c>
      <c r="O81" s="227">
        <f t="shared" si="10"/>
        <v>24.325628065052015</v>
      </c>
      <c r="P81" s="227">
        <f t="shared" si="7"/>
        <v>1191.9557751875489</v>
      </c>
    </row>
    <row r="82" spans="2:16" ht="14.1" customHeight="1" x14ac:dyDescent="0.2">
      <c r="B82" s="17">
        <v>50</v>
      </c>
      <c r="C82" s="326">
        <f>(C$30*B82)+C$31</f>
        <v>1225.5999999999999</v>
      </c>
      <c r="E82" s="17">
        <v>50</v>
      </c>
      <c r="F82" s="287">
        <f t="shared" si="11"/>
        <v>1220.896</v>
      </c>
      <c r="G82" s="287"/>
      <c r="H82" s="17">
        <v>50</v>
      </c>
      <c r="I82" s="227">
        <f t="shared" si="12"/>
        <v>4.7039999999999509</v>
      </c>
      <c r="K82" s="369">
        <v>50</v>
      </c>
      <c r="L82" s="370">
        <f t="shared" si="8"/>
        <v>1220.896</v>
      </c>
      <c r="M82" s="371">
        <f t="shared" si="5"/>
        <v>24.417919999999999</v>
      </c>
      <c r="N82" s="376">
        <f t="shared" si="9"/>
        <v>0.64841053986246955</v>
      </c>
      <c r="O82" s="371">
        <f t="shared" si="10"/>
        <v>24.417341811691724</v>
      </c>
      <c r="P82" s="371">
        <f t="shared" si="7"/>
        <v>1220.8670905845861</v>
      </c>
    </row>
    <row r="83" spans="2:16" ht="14.1" customHeight="1" x14ac:dyDescent="0.2">
      <c r="B83" s="17">
        <v>51</v>
      </c>
      <c r="C83" s="326">
        <f>(C$30*B83)+C$31</f>
        <v>1250</v>
      </c>
      <c r="E83" s="17">
        <v>51</v>
      </c>
      <c r="F83" s="287">
        <f t="shared" si="11"/>
        <v>1250</v>
      </c>
      <c r="G83" s="287"/>
      <c r="H83" s="17">
        <v>51</v>
      </c>
      <c r="I83" s="227">
        <f t="shared" si="12"/>
        <v>0</v>
      </c>
      <c r="K83" s="17">
        <v>51</v>
      </c>
      <c r="L83" s="287">
        <f t="shared" si="8"/>
        <v>1250</v>
      </c>
      <c r="M83" s="227">
        <f t="shared" si="5"/>
        <v>24.509803921568629</v>
      </c>
      <c r="N83" s="377">
        <f t="shared" si="9"/>
        <v>0.65085048983318772</v>
      </c>
      <c r="O83" s="227">
        <f t="shared" si="10"/>
        <v>24.509223557554602</v>
      </c>
      <c r="P83" s="227">
        <f t="shared" si="7"/>
        <v>1249.9704014352847</v>
      </c>
    </row>
    <row r="84" spans="2:16" ht="14.1" customHeight="1" x14ac:dyDescent="0.2">
      <c r="E84" s="17"/>
    </row>
    <row r="85" spans="2:16" ht="14.1" customHeight="1" x14ac:dyDescent="0.2">
      <c r="E85" s="17"/>
    </row>
    <row r="86" spans="2:16" ht="14.1" customHeight="1" x14ac:dyDescent="0.2">
      <c r="E86" s="17"/>
    </row>
    <row r="87" spans="2:16" ht="14.1" customHeight="1" x14ac:dyDescent="0.2">
      <c r="E87" s="17"/>
    </row>
    <row r="88" spans="2:16" ht="14.1" customHeight="1" x14ac:dyDescent="0.2">
      <c r="E88" s="17"/>
    </row>
    <row r="89" spans="2:16" ht="14.1" customHeight="1" x14ac:dyDescent="0.2">
      <c r="E89" s="17"/>
    </row>
    <row r="90" spans="2:16" ht="14.1" customHeight="1" x14ac:dyDescent="0.2">
      <c r="E90" s="17"/>
    </row>
    <row r="91" spans="2:16" ht="14.1" customHeight="1" x14ac:dyDescent="0.2">
      <c r="E91" s="17"/>
    </row>
    <row r="92" spans="2:16" ht="14.1" customHeight="1" x14ac:dyDescent="0.2">
      <c r="E92" s="17"/>
    </row>
    <row r="93" spans="2:16" ht="14.1" customHeight="1" x14ac:dyDescent="0.2">
      <c r="E93" s="17"/>
    </row>
    <row r="94" spans="2:16" ht="14.1" customHeight="1" x14ac:dyDescent="0.2">
      <c r="E94" s="17"/>
    </row>
    <row r="95" spans="2:16" ht="14.1" customHeight="1" x14ac:dyDescent="0.2"/>
    <row r="96" spans="2:16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  <row r="104" ht="14.1" customHeight="1" x14ac:dyDescent="0.2"/>
    <row r="105" ht="14.1" customHeight="1" x14ac:dyDescent="0.2"/>
    <row r="106" ht="14.1" customHeight="1" x14ac:dyDescent="0.2"/>
    <row r="107" ht="14.1" customHeight="1" x14ac:dyDescent="0.2"/>
    <row r="108" ht="14.1" customHeight="1" x14ac:dyDescent="0.2"/>
    <row r="109" ht="14.1" customHeight="1" x14ac:dyDescent="0.2"/>
    <row r="110" ht="14.1" customHeight="1" x14ac:dyDescent="0.2"/>
    <row r="111" ht="14.1" customHeight="1" x14ac:dyDescent="0.2"/>
    <row r="112" ht="14.1" customHeight="1" x14ac:dyDescent="0.2"/>
    <row r="113" ht="14.1" customHeight="1" x14ac:dyDescent="0.2"/>
    <row r="114" ht="14.1" customHeight="1" x14ac:dyDescent="0.2"/>
    <row r="115" ht="14.1" customHeight="1" x14ac:dyDescent="0.2"/>
    <row r="116" ht="14.1" customHeight="1" x14ac:dyDescent="0.2"/>
    <row r="117" ht="14.1" customHeight="1" x14ac:dyDescent="0.2"/>
    <row r="118" ht="14.1" customHeight="1" x14ac:dyDescent="0.2"/>
    <row r="119" ht="14.1" customHeight="1" x14ac:dyDescent="0.2"/>
    <row r="120" ht="14.1" customHeight="1" x14ac:dyDescent="0.2"/>
    <row r="121" ht="14.1" customHeight="1" x14ac:dyDescent="0.2"/>
    <row r="122" ht="14.1" customHeight="1" x14ac:dyDescent="0.2"/>
    <row r="123" ht="14.1" customHeight="1" x14ac:dyDescent="0.2"/>
    <row r="124" ht="14.1" customHeight="1" x14ac:dyDescent="0.2"/>
    <row r="125" ht="14.1" customHeight="1" x14ac:dyDescent="0.2"/>
    <row r="126" ht="14.1" customHeight="1" x14ac:dyDescent="0.2"/>
    <row r="127" ht="14.1" customHeight="1" x14ac:dyDescent="0.2"/>
    <row r="128" ht="14.1" customHeight="1" x14ac:dyDescent="0.2"/>
    <row r="129" ht="14.1" customHeight="1" x14ac:dyDescent="0.2"/>
    <row r="130" ht="14.1" customHeight="1" x14ac:dyDescent="0.2"/>
    <row r="131" ht="14.1" customHeight="1" x14ac:dyDescent="0.2"/>
    <row r="132" ht="14.1" customHeight="1" x14ac:dyDescent="0.2"/>
    <row r="133" ht="14.1" customHeight="1" x14ac:dyDescent="0.2"/>
    <row r="134" ht="14.1" customHeight="1" x14ac:dyDescent="0.2"/>
    <row r="135" ht="14.1" customHeight="1" x14ac:dyDescent="0.2"/>
    <row r="136" ht="14.1" customHeight="1" x14ac:dyDescent="0.2"/>
    <row r="137" ht="14.1" customHeight="1" x14ac:dyDescent="0.2"/>
    <row r="138" ht="14.1" customHeight="1" x14ac:dyDescent="0.2"/>
    <row r="139" ht="14.1" customHeight="1" x14ac:dyDescent="0.2"/>
    <row r="140" ht="14.1" customHeight="1" x14ac:dyDescent="0.2"/>
    <row r="141" ht="14.1" customHeight="1" x14ac:dyDescent="0.2"/>
    <row r="142" ht="14.1" customHeight="1" x14ac:dyDescent="0.2"/>
    <row r="143" ht="14.1" customHeight="1" x14ac:dyDescent="0.2"/>
    <row r="144" ht="14.1" customHeight="1" x14ac:dyDescent="0.2"/>
    <row r="145" spans="27:27" ht="14.1" customHeight="1" x14ac:dyDescent="0.2"/>
    <row r="146" spans="27:27" ht="14.1" customHeight="1" x14ac:dyDescent="0.2"/>
    <row r="147" spans="27:27" ht="14.1" customHeight="1" x14ac:dyDescent="0.2"/>
    <row r="148" spans="27:27" ht="14.1" customHeight="1" x14ac:dyDescent="0.2"/>
    <row r="149" spans="27:27" ht="14.1" customHeight="1" x14ac:dyDescent="0.2"/>
    <row r="150" spans="27:27" ht="14.1" customHeight="1" x14ac:dyDescent="0.2"/>
    <row r="151" spans="27:27" ht="14.1" customHeight="1" x14ac:dyDescent="0.2"/>
    <row r="152" spans="27:27" ht="14.1" customHeight="1" x14ac:dyDescent="0.2"/>
    <row r="158" spans="27:27" x14ac:dyDescent="0.2">
      <c r="AA158" s="17"/>
    </row>
  </sheetData>
  <pageMargins left="0.7" right="0.7" top="0.25" bottom="0.25" header="0.3" footer="0.3"/>
  <pageSetup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475A5-B02E-4D20-9E89-70E6CF109B67}">
  <sheetPr transitionEvaluation="1" transitionEntry="1">
    <pageSetUpPr fitToPage="1"/>
  </sheetPr>
  <dimension ref="A1:BV254"/>
  <sheetViews>
    <sheetView showGridLines="0" topLeftCell="A46" zoomScale="90" zoomScaleNormal="90" zoomScaleSheetLayoutView="80" workbookViewId="0"/>
  </sheetViews>
  <sheetFormatPr defaultRowHeight="12.75" x14ac:dyDescent="0.2"/>
  <cols>
    <col min="1" max="13" width="9.7109375" customWidth="1"/>
    <col min="14" max="21" width="10.7109375" customWidth="1"/>
    <col min="22" max="27" width="9.7109375" customWidth="1"/>
    <col min="28" max="31" width="10.7109375" customWidth="1"/>
    <col min="32" max="32" width="13" customWidth="1"/>
    <col min="33" max="33" width="13.5703125" customWidth="1"/>
    <col min="34" max="34" width="12.5703125" customWidth="1"/>
    <col min="35" max="35" width="10.7109375" customWidth="1"/>
    <col min="36" max="37" width="12.140625" customWidth="1"/>
    <col min="38" max="38" width="14.140625" customWidth="1"/>
    <col min="39" max="42" width="10.7109375" customWidth="1"/>
    <col min="43" max="46" width="12.7109375" customWidth="1"/>
    <col min="47" max="56" width="10.7109375" customWidth="1"/>
  </cols>
  <sheetData>
    <row r="1" spans="2:74" x14ac:dyDescent="0.2">
      <c r="B1" t="s">
        <v>174</v>
      </c>
      <c r="R1" s="45" t="s">
        <v>85</v>
      </c>
      <c r="AW1" t="s">
        <v>22</v>
      </c>
      <c r="BV1" t="s">
        <v>22</v>
      </c>
    </row>
    <row r="2" spans="2:74" x14ac:dyDescent="0.2">
      <c r="B2" s="1" t="s">
        <v>175</v>
      </c>
    </row>
    <row r="3" spans="2:74" x14ac:dyDescent="0.2">
      <c r="B3" s="1" t="s">
        <v>176</v>
      </c>
    </row>
    <row r="4" spans="2:74" x14ac:dyDescent="0.2">
      <c r="B4" s="1"/>
    </row>
    <row r="5" spans="2:74" ht="18" x14ac:dyDescent="0.25">
      <c r="B5" s="1"/>
      <c r="I5" s="379" t="s">
        <v>224</v>
      </c>
    </row>
    <row r="6" spans="2:74" x14ac:dyDescent="0.2">
      <c r="B6" s="18">
        <v>2.52</v>
      </c>
      <c r="C6" s="234" t="s">
        <v>37</v>
      </c>
      <c r="F6" s="10"/>
      <c r="G6" s="10"/>
      <c r="H6" s="10"/>
    </row>
    <row r="7" spans="2:74" x14ac:dyDescent="0.2">
      <c r="B7" s="18">
        <v>4.55</v>
      </c>
      <c r="C7" s="235" t="s">
        <v>1</v>
      </c>
      <c r="D7" s="10"/>
      <c r="E7" s="10"/>
      <c r="F7" s="10"/>
      <c r="G7" s="10"/>
      <c r="H7" s="10"/>
    </row>
    <row r="8" spans="2:74" x14ac:dyDescent="0.2">
      <c r="B8" s="18">
        <v>85</v>
      </c>
      <c r="C8" s="234" t="s">
        <v>8</v>
      </c>
      <c r="D8" s="6"/>
      <c r="E8" s="10"/>
      <c r="F8" s="10"/>
      <c r="G8" s="24" t="s">
        <v>13</v>
      </c>
      <c r="H8" s="10"/>
    </row>
    <row r="9" spans="2:74" x14ac:dyDescent="0.2">
      <c r="B9" s="2" t="s">
        <v>10</v>
      </c>
      <c r="C9" s="19" t="s">
        <v>9</v>
      </c>
      <c r="D9" s="19" t="s">
        <v>10</v>
      </c>
      <c r="E9" s="25" t="s">
        <v>12</v>
      </c>
      <c r="F9" s="19" t="s">
        <v>11</v>
      </c>
      <c r="G9" s="26" t="s">
        <v>11</v>
      </c>
      <c r="H9" s="19" t="s">
        <v>11</v>
      </c>
    </row>
    <row r="10" spans="2:74" ht="15" x14ac:dyDescent="0.2">
      <c r="B10" s="76"/>
      <c r="C10" s="17">
        <v>1</v>
      </c>
      <c r="D10" s="218">
        <v>33.561842105263182</v>
      </c>
      <c r="E10" s="32">
        <f>D10/C10</f>
        <v>33.561842105263182</v>
      </c>
      <c r="F10" s="78">
        <f t="shared" ref="F10:F19" si="0">SQRT(12*32.2*E10^2/(4*$B$8*($B$7*56)*$B$6^2))</f>
        <v>0.88945634518259098</v>
      </c>
      <c r="G10" s="80">
        <v>0.69992745230334086</v>
      </c>
      <c r="H10" s="241">
        <f>(F10)</f>
        <v>0.88945634518259098</v>
      </c>
    </row>
    <row r="11" spans="2:74" ht="15" x14ac:dyDescent="0.2">
      <c r="B11" s="77"/>
      <c r="C11" s="31">
        <v>2</v>
      </c>
      <c r="D11" s="219">
        <v>55.500000000000021</v>
      </c>
      <c r="E11" s="33">
        <f t="shared" ref="E11:E19" si="1">D11/C11</f>
        <v>27.750000000000011</v>
      </c>
      <c r="F11" s="79">
        <f t="shared" si="0"/>
        <v>0.73543083545304577</v>
      </c>
      <c r="G11" s="81">
        <v>0.69992745230334086</v>
      </c>
      <c r="H11" s="242">
        <f>(F11)</f>
        <v>0.73543083545304577</v>
      </c>
    </row>
    <row r="12" spans="2:74" ht="15" x14ac:dyDescent="0.2">
      <c r="B12" s="76"/>
      <c r="C12" s="17">
        <v>3</v>
      </c>
      <c r="D12" s="218">
        <v>77.438157894736861</v>
      </c>
      <c r="E12" s="32">
        <f t="shared" si="1"/>
        <v>25.812719298245622</v>
      </c>
      <c r="F12" s="78">
        <f t="shared" si="0"/>
        <v>0.68408899887653074</v>
      </c>
      <c r="G12" s="80">
        <v>0.70001912583998827</v>
      </c>
      <c r="H12" s="241">
        <f t="shared" ref="H12:H19" si="2">(F12)</f>
        <v>0.68408899887653074</v>
      </c>
    </row>
    <row r="13" spans="2:74" ht="15" x14ac:dyDescent="0.2">
      <c r="B13" s="76"/>
      <c r="C13" s="17">
        <v>4</v>
      </c>
      <c r="D13" s="218">
        <v>99.376315789473708</v>
      </c>
      <c r="E13" s="32">
        <f t="shared" si="1"/>
        <v>24.844078947368427</v>
      </c>
      <c r="F13" s="78">
        <f t="shared" si="0"/>
        <v>0.65841808058827322</v>
      </c>
      <c r="G13" s="80">
        <v>0.69999620745582647</v>
      </c>
      <c r="H13" s="241">
        <f t="shared" si="2"/>
        <v>0.65841808058827322</v>
      </c>
    </row>
    <row r="14" spans="2:74" ht="15" x14ac:dyDescent="0.2">
      <c r="B14" s="77"/>
      <c r="C14" s="31">
        <v>5</v>
      </c>
      <c r="D14" s="219">
        <v>121.31447368421055</v>
      </c>
      <c r="E14" s="33">
        <f t="shared" si="1"/>
        <v>24.26289473684211</v>
      </c>
      <c r="F14" s="79">
        <f t="shared" si="0"/>
        <v>0.6430155296153186</v>
      </c>
      <c r="G14" s="81">
        <v>0.70003746054731775</v>
      </c>
      <c r="H14" s="242">
        <f t="shared" si="2"/>
        <v>0.6430155296153186</v>
      </c>
    </row>
    <row r="15" spans="2:74" ht="15" x14ac:dyDescent="0.2">
      <c r="B15" s="76"/>
      <c r="C15" s="17">
        <v>10</v>
      </c>
      <c r="D15" s="218">
        <v>231.00526315789477</v>
      </c>
      <c r="E15" s="32">
        <f t="shared" si="1"/>
        <v>23.100526315789477</v>
      </c>
      <c r="F15" s="78">
        <f t="shared" si="0"/>
        <v>0.6122104276694097</v>
      </c>
      <c r="G15" s="80">
        <v>0.70000995848632352</v>
      </c>
      <c r="H15" s="241">
        <f t="shared" si="2"/>
        <v>0.6122104276694097</v>
      </c>
    </row>
    <row r="16" spans="2:74" ht="15" x14ac:dyDescent="0.2">
      <c r="B16" s="76"/>
      <c r="C16" s="17">
        <v>20</v>
      </c>
      <c r="D16" s="218">
        <v>450.38684210526321</v>
      </c>
      <c r="E16" s="32">
        <f t="shared" si="1"/>
        <v>22.51934210526316</v>
      </c>
      <c r="F16" s="78">
        <f t="shared" si="0"/>
        <v>0.59680787669645508</v>
      </c>
      <c r="G16" s="80">
        <v>0.69999620745582647</v>
      </c>
      <c r="H16" s="241">
        <f t="shared" si="2"/>
        <v>0.59680787669645508</v>
      </c>
    </row>
    <row r="17" spans="1:31" ht="15" x14ac:dyDescent="0.2">
      <c r="B17" s="76"/>
      <c r="C17" s="17">
        <v>30</v>
      </c>
      <c r="D17" s="218">
        <v>669.76842105263165</v>
      </c>
      <c r="E17" s="32">
        <f t="shared" si="1"/>
        <v>22.325614035087721</v>
      </c>
      <c r="F17" s="78">
        <f t="shared" si="0"/>
        <v>0.59167369303880357</v>
      </c>
      <c r="G17" s="80">
        <v>0.70001912583998827</v>
      </c>
      <c r="H17" s="241">
        <f t="shared" si="2"/>
        <v>0.59167369303880357</v>
      </c>
    </row>
    <row r="18" spans="1:31" ht="15" x14ac:dyDescent="0.2">
      <c r="B18" s="77"/>
      <c r="C18" s="31">
        <v>40</v>
      </c>
      <c r="D18" s="219">
        <v>889.15000000000009</v>
      </c>
      <c r="E18" s="33">
        <f t="shared" si="1"/>
        <v>22.228750000000002</v>
      </c>
      <c r="F18" s="79">
        <f t="shared" si="0"/>
        <v>0.58910660120997782</v>
      </c>
      <c r="G18" s="81">
        <v>0.69999620745582647</v>
      </c>
      <c r="H18" s="242">
        <f t="shared" si="2"/>
        <v>0.58910660120997782</v>
      </c>
      <c r="J18" s="11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3"/>
    </row>
    <row r="19" spans="1:31" ht="15" x14ac:dyDescent="0.2">
      <c r="A19" s="1"/>
      <c r="B19" s="76"/>
      <c r="C19" s="17">
        <v>50</v>
      </c>
      <c r="D19" s="218">
        <v>1108.5315789473684</v>
      </c>
      <c r="E19" s="32">
        <f t="shared" si="1"/>
        <v>22.170631578947368</v>
      </c>
      <c r="F19" s="78">
        <f t="shared" si="0"/>
        <v>0.58756634611268244</v>
      </c>
      <c r="G19" s="80">
        <v>0.69998795683752812</v>
      </c>
      <c r="H19" s="241">
        <f t="shared" si="2"/>
        <v>0.58756634611268244</v>
      </c>
      <c r="J19" s="14"/>
      <c r="K19" s="15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45" t="s">
        <v>85</v>
      </c>
      <c r="AA19" s="10"/>
      <c r="AB19" s="10"/>
      <c r="AC19" s="10"/>
      <c r="AD19" s="16"/>
    </row>
    <row r="20" spans="1:31" x14ac:dyDescent="0.2">
      <c r="A20" s="1"/>
      <c r="D20" s="10"/>
      <c r="J20" s="14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6"/>
    </row>
    <row r="21" spans="1:31" x14ac:dyDescent="0.2">
      <c r="J21" s="14"/>
      <c r="K21" s="15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6"/>
    </row>
    <row r="22" spans="1:31" x14ac:dyDescent="0.2">
      <c r="J22" s="14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6"/>
    </row>
    <row r="23" spans="1:31" x14ac:dyDescent="0.2">
      <c r="J23" s="14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6"/>
    </row>
    <row r="24" spans="1:31" x14ac:dyDescent="0.2">
      <c r="J24" s="14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6"/>
    </row>
    <row r="25" spans="1:31" ht="15" x14ac:dyDescent="0.25">
      <c r="A25" s="236"/>
      <c r="B25" s="229">
        <v>48</v>
      </c>
      <c r="C25" s="230">
        <f>B25+$C26</f>
        <v>50.5</v>
      </c>
      <c r="D25" s="230">
        <f>C25+$C26</f>
        <v>53</v>
      </c>
      <c r="E25" s="230">
        <f>D25+$C26</f>
        <v>55.5</v>
      </c>
      <c r="F25" s="230">
        <f>E25+$C26</f>
        <v>58</v>
      </c>
      <c r="G25" s="230">
        <f>F25+$C26</f>
        <v>60.5</v>
      </c>
      <c r="H25" s="229">
        <v>63</v>
      </c>
      <c r="J25" s="224" t="s">
        <v>123</v>
      </c>
      <c r="K25" s="224" t="s">
        <v>124</v>
      </c>
      <c r="L25" s="224"/>
      <c r="M25" s="10"/>
      <c r="N25" s="224" t="s">
        <v>124</v>
      </c>
      <c r="O25" s="224"/>
      <c r="P25" s="10"/>
      <c r="Q25" s="224" t="s">
        <v>124</v>
      </c>
      <c r="R25" s="224"/>
      <c r="T25" s="224" t="s">
        <v>124</v>
      </c>
      <c r="U25" s="224"/>
      <c r="W25" s="224" t="s">
        <v>124</v>
      </c>
      <c r="X25" s="224"/>
      <c r="Z25" s="224" t="s">
        <v>124</v>
      </c>
      <c r="AA25" s="224"/>
      <c r="AC25" s="224" t="s">
        <v>124</v>
      </c>
      <c r="AD25" s="224"/>
    </row>
    <row r="26" spans="1:31" ht="15" x14ac:dyDescent="0.25">
      <c r="A26" s="1"/>
      <c r="B26" s="62"/>
      <c r="C26" s="231">
        <f>(H25-B25)/6</f>
        <v>2.5</v>
      </c>
      <c r="D26" s="10"/>
      <c r="E26" s="10"/>
      <c r="G26" s="10"/>
      <c r="H26" s="10"/>
      <c r="J26" s="225">
        <v>2</v>
      </c>
      <c r="K26" s="232">
        <f>B25</f>
        <v>48</v>
      </c>
      <c r="L26" s="233">
        <f>L33</f>
        <v>0.63604829012155339</v>
      </c>
      <c r="M26" s="223"/>
      <c r="N26" s="232">
        <f>C25</f>
        <v>50.5</v>
      </c>
      <c r="O26" s="233">
        <f>O33</f>
        <v>0.66917580523205045</v>
      </c>
      <c r="P26" s="223"/>
      <c r="Q26" s="232">
        <f>D25</f>
        <v>53</v>
      </c>
      <c r="R26" s="233">
        <f>R33</f>
        <v>0.70230332034254872</v>
      </c>
      <c r="S26" s="223"/>
      <c r="T26" s="232">
        <f>E25</f>
        <v>55.5</v>
      </c>
      <c r="U26" s="233">
        <f>U33</f>
        <v>0.73543083545304577</v>
      </c>
      <c r="V26" s="223"/>
      <c r="W26" s="232">
        <f>F25</f>
        <v>58</v>
      </c>
      <c r="X26" s="233">
        <f>X33</f>
        <v>0.76855835056354271</v>
      </c>
      <c r="Y26" s="223"/>
      <c r="Z26" s="232">
        <f>G25</f>
        <v>60.5</v>
      </c>
      <c r="AA26" s="233">
        <f>AA33</f>
        <v>0.80168586567404043</v>
      </c>
      <c r="AB26" s="223"/>
      <c r="AC26" s="232">
        <f>H25</f>
        <v>63</v>
      </c>
      <c r="AD26" s="233">
        <f>AD33</f>
        <v>0.83481338078453726</v>
      </c>
    </row>
    <row r="27" spans="1:31" ht="15" x14ac:dyDescent="0.25">
      <c r="A27" s="1"/>
      <c r="B27" s="229">
        <v>778.3</v>
      </c>
      <c r="C27" s="230">
        <f>B27+$C28</f>
        <v>815.25</v>
      </c>
      <c r="D27" s="230">
        <f>C27+$C28</f>
        <v>852.2</v>
      </c>
      <c r="E27" s="230">
        <f>D27+$C28</f>
        <v>889.15000000000009</v>
      </c>
      <c r="F27" s="230">
        <f>E27+$C28</f>
        <v>926.10000000000014</v>
      </c>
      <c r="G27" s="230">
        <f>F27+$C28</f>
        <v>963.05000000000018</v>
      </c>
      <c r="H27" s="229">
        <v>1000</v>
      </c>
      <c r="J27" s="225">
        <v>40</v>
      </c>
      <c r="K27" s="232">
        <f>B27</f>
        <v>778.3</v>
      </c>
      <c r="L27" s="233">
        <f>L36</f>
        <v>0.56001541228268059</v>
      </c>
      <c r="M27" s="223"/>
      <c r="N27" s="232">
        <f>C27</f>
        <v>815.25</v>
      </c>
      <c r="O27" s="233">
        <f>O36</f>
        <v>0.58768211806022652</v>
      </c>
      <c r="P27" s="223"/>
      <c r="Q27" s="232">
        <f>D27</f>
        <v>852.2</v>
      </c>
      <c r="R27" s="233">
        <f>R36</f>
        <v>0.61534882383777278</v>
      </c>
      <c r="S27" s="223"/>
      <c r="T27" s="232">
        <f>E27</f>
        <v>889.15000000000009</v>
      </c>
      <c r="U27" s="233">
        <f>U36</f>
        <v>0.6430155296153186</v>
      </c>
      <c r="V27" s="223"/>
      <c r="W27" s="232">
        <f>F27</f>
        <v>926.10000000000014</v>
      </c>
      <c r="X27" s="233">
        <f>X36</f>
        <v>0.67068223539286453</v>
      </c>
      <c r="Y27" s="223"/>
      <c r="Z27" s="232">
        <f>G27</f>
        <v>963.05000000000018</v>
      </c>
      <c r="AA27" s="233">
        <f>AA36</f>
        <v>0.69834894117041069</v>
      </c>
      <c r="AB27" s="223"/>
      <c r="AC27" s="232">
        <f>H27</f>
        <v>1000</v>
      </c>
      <c r="AD27" s="180">
        <f>AD36</f>
        <v>0.72601564694795628</v>
      </c>
    </row>
    <row r="28" spans="1:31" x14ac:dyDescent="0.2">
      <c r="A28" s="1"/>
      <c r="B28" s="228"/>
      <c r="C28" s="231">
        <f>(H27-B27)/6</f>
        <v>36.95000000000001</v>
      </c>
      <c r="D28" s="10"/>
      <c r="F28" s="10"/>
      <c r="G28" s="10"/>
      <c r="J28" s="160"/>
      <c r="K28" s="160"/>
      <c r="L28" s="180">
        <f>L40</f>
        <v>0.51566290021000472</v>
      </c>
      <c r="N28" s="160"/>
      <c r="O28" s="180">
        <f>O40</f>
        <v>0.54014413387666249</v>
      </c>
      <c r="Q28" s="160"/>
      <c r="R28" s="180">
        <f>R40</f>
        <v>0.56462536754332016</v>
      </c>
      <c r="T28" s="160"/>
      <c r="U28" s="180">
        <f>U40</f>
        <v>0.58910660120997782</v>
      </c>
      <c r="W28" s="160"/>
      <c r="X28" s="180">
        <f>X40</f>
        <v>0.6135878348766356</v>
      </c>
      <c r="Z28" s="160"/>
      <c r="AA28" s="180">
        <f>AA40</f>
        <v>0.63806906854329337</v>
      </c>
      <c r="AC28" s="160"/>
      <c r="AD28" s="180">
        <f>AD40</f>
        <v>0.66255030220995093</v>
      </c>
    </row>
    <row r="29" spans="1:31" x14ac:dyDescent="0.2">
      <c r="A29" s="1" t="s">
        <v>80</v>
      </c>
      <c r="J29" s="160"/>
      <c r="K29" s="226" cm="1">
        <f t="array" ref="K29">_xlfn.SINGLE(INDEX(LINEST(K26:K27,($J26:$J27)^{1}),1))</f>
        <v>19.218421052631577</v>
      </c>
      <c r="L29" s="160"/>
      <c r="N29" s="226" cm="1">
        <f t="array" ref="N29">_xlfn.SINGLE(INDEX(LINEST(N26:N27,($J26:$J27)^{1}),1))</f>
        <v>20.125</v>
      </c>
      <c r="O29" s="160"/>
      <c r="Q29" s="226" cm="1">
        <f t="array" ref="Q29">_xlfn.SINGLE(INDEX(LINEST(Q26:Q27,($J26:$J27)^{1}),1))</f>
        <v>21.03157894736842</v>
      </c>
      <c r="R29" s="160"/>
      <c r="T29" s="226" cm="1">
        <f t="array" ref="T29">_xlfn.SINGLE(INDEX(LINEST(T26:T27,($J26:$J27)^{1}),1))</f>
        <v>21.938157894736843</v>
      </c>
      <c r="U29" s="160"/>
      <c r="W29" s="226" cm="1">
        <f t="array" ref="W29">_xlfn.SINGLE(INDEX(LINEST(W26:W27,($J26:$J27)^{1}),1))</f>
        <v>22.844736842105267</v>
      </c>
      <c r="X29" s="160"/>
      <c r="Z29" s="226" cm="1">
        <f t="array" ref="Z29">_xlfn.SINGLE(INDEX(LINEST(Z26:Z27,($J26:$J27)^{1}),1))</f>
        <v>23.75131578947369</v>
      </c>
      <c r="AA29" s="160"/>
      <c r="AC29" s="226" cm="1">
        <f t="array" ref="AC29">_xlfn.SINGLE(INDEX(LINEST(AC26:AC27,($J26:$J27)^{1}),1))</f>
        <v>24.657894736842106</v>
      </c>
      <c r="AD29" s="160"/>
    </row>
    <row r="30" spans="1:31" x14ac:dyDescent="0.2">
      <c r="A30" s="61"/>
      <c r="B30" s="239"/>
      <c r="C30" s="240"/>
      <c r="J30" s="160"/>
      <c r="K30" s="226" cm="1">
        <f t="array" ref="K30">INDEX(LINEST(K26:K27,($J26:$J27)^{1}),1,2)</f>
        <v>9.5631578947368894</v>
      </c>
      <c r="L30" s="160"/>
      <c r="N30" s="226" cm="1">
        <f t="array" ref="N30">INDEX(LINEST(N26:N27,($J26:$J27)^{1}),1,2)</f>
        <v>10.25</v>
      </c>
      <c r="O30" s="160"/>
      <c r="Q30" s="226" cm="1">
        <f t="array" ref="Q30">INDEX(LINEST(Q26:Q27,($J26:$J27)^{1}),1,2)</f>
        <v>10.936842105263224</v>
      </c>
      <c r="R30" s="160"/>
      <c r="T30" s="226" cm="1">
        <f t="array" ref="T30">INDEX(LINEST(T26:T27,($J26:$J27)^{1}),1,2)</f>
        <v>11.623684210526335</v>
      </c>
      <c r="U30" s="160"/>
      <c r="W30" s="226" cm="1">
        <f t="array" ref="W30">INDEX(LINEST(W26:W27,($J26:$J27)^{1}),1,2)</f>
        <v>12.310526315789446</v>
      </c>
      <c r="X30" s="160"/>
      <c r="Z30" s="226" cm="1">
        <f t="array" ref="Z30">INDEX(LINEST(Z26:Z27,($J26:$J27)^{1}),1,2)</f>
        <v>12.997368421052613</v>
      </c>
      <c r="AA30" s="160"/>
      <c r="AC30" s="226" cm="1">
        <f t="array" ref="AC30">INDEX(LINEST(AC26:AC27,($J26:$J27)^{1}),1,2)</f>
        <v>13.684210526315724</v>
      </c>
      <c r="AD30" s="160"/>
    </row>
    <row r="31" spans="1:31" x14ac:dyDescent="0.2">
      <c r="A31" s="61"/>
      <c r="J31" s="160"/>
      <c r="K31" s="160"/>
      <c r="L31" s="19" t="s">
        <v>11</v>
      </c>
      <c r="N31" s="160"/>
      <c r="O31" s="19" t="s">
        <v>11</v>
      </c>
      <c r="Q31" s="160"/>
      <c r="R31" s="19" t="s">
        <v>11</v>
      </c>
      <c r="T31" s="160"/>
      <c r="U31" s="19" t="s">
        <v>11</v>
      </c>
      <c r="W31" s="160"/>
      <c r="X31" s="19" t="s">
        <v>11</v>
      </c>
      <c r="Z31" s="160"/>
      <c r="AA31" s="19" t="s">
        <v>11</v>
      </c>
      <c r="AC31" s="160"/>
      <c r="AD31" s="19" t="s">
        <v>11</v>
      </c>
    </row>
    <row r="32" spans="1:31" x14ac:dyDescent="0.2">
      <c r="J32" s="17">
        <v>1</v>
      </c>
      <c r="K32" s="227">
        <f>(K29*$J32)+K30</f>
        <v>28.781578947368466</v>
      </c>
      <c r="L32" s="241">
        <v>0.76276975318634155</v>
      </c>
      <c r="N32" s="227">
        <f>(N29*$J32)+N30</f>
        <v>30.375</v>
      </c>
      <c r="O32" s="241">
        <v>0.80499861718509036</v>
      </c>
      <c r="Q32" s="227">
        <f>(Q29*$J32)+Q30</f>
        <v>31.968421052631644</v>
      </c>
      <c r="R32" s="241">
        <v>0.84722748118384206</v>
      </c>
      <c r="T32" s="227">
        <f>(T29*$J32)+T30</f>
        <v>33.561842105263182</v>
      </c>
      <c r="U32" s="241">
        <v>0.88945634518259098</v>
      </c>
      <c r="V32" s="260"/>
      <c r="W32" s="227">
        <f>(W29*$J32)+W30</f>
        <v>35.155263157894709</v>
      </c>
      <c r="X32" s="241">
        <v>0.93168520918133968</v>
      </c>
      <c r="Z32" s="227">
        <f>(Z29*$J32)+Z30</f>
        <v>36.748684210526307</v>
      </c>
      <c r="AA32" s="241">
        <v>0.97391407318009016</v>
      </c>
      <c r="AC32" s="227">
        <f>(AC29*$J32)+AC30</f>
        <v>38.342105263157833</v>
      </c>
      <c r="AD32" s="241">
        <v>1.0161429371788389</v>
      </c>
      <c r="AE32" s="238"/>
    </row>
    <row r="33" spans="1:31" x14ac:dyDescent="0.2">
      <c r="A33" s="21"/>
      <c r="G33" s="10"/>
      <c r="H33" s="15"/>
      <c r="J33" s="31">
        <v>2</v>
      </c>
      <c r="K33" s="243">
        <f>(K29*$J33)+K30</f>
        <v>48.000000000000043</v>
      </c>
      <c r="L33" s="242">
        <v>0.63604829012155339</v>
      </c>
      <c r="N33" s="243">
        <f>(N29*$J33)+N30</f>
        <v>50.5</v>
      </c>
      <c r="O33" s="242">
        <v>0.66917580523205045</v>
      </c>
      <c r="Q33" s="243">
        <f>(Q29*$J33)+Q30</f>
        <v>53.000000000000064</v>
      </c>
      <c r="R33" s="242">
        <v>0.70230332034254872</v>
      </c>
      <c r="T33" s="243">
        <f>(T29*$J33)+T30</f>
        <v>55.500000000000021</v>
      </c>
      <c r="U33" s="242">
        <v>0.73543083545304577</v>
      </c>
      <c r="W33" s="243">
        <f>(W29*$J33)+W30</f>
        <v>57.999999999999979</v>
      </c>
      <c r="X33" s="242">
        <v>0.76855835056354271</v>
      </c>
      <c r="Z33" s="243">
        <f>(Z29*$J33)+Z30</f>
        <v>60.499999999999993</v>
      </c>
      <c r="AA33" s="242">
        <v>0.80168586567404043</v>
      </c>
      <c r="AC33" s="243">
        <f>(AC29*$J33)+AC30</f>
        <v>62.999999999999936</v>
      </c>
      <c r="AD33" s="242">
        <v>0.83481338078453726</v>
      </c>
      <c r="AE33" s="238"/>
    </row>
    <row r="34" spans="1:31" x14ac:dyDescent="0.2">
      <c r="J34" s="17">
        <v>3</v>
      </c>
      <c r="K34" s="227">
        <f>(K29*$J34)+K30</f>
        <v>67.218421052631612</v>
      </c>
      <c r="L34" s="241">
        <v>0.59380780243329068</v>
      </c>
      <c r="N34" s="227">
        <f>(N29*$J34)+N30</f>
        <v>70.625</v>
      </c>
      <c r="O34" s="241">
        <v>0.62390153458103703</v>
      </c>
      <c r="Q34" s="227">
        <f>(Q29*$J34)+Q30</f>
        <v>74.031578947368487</v>
      </c>
      <c r="R34" s="241">
        <v>0.65399526672878439</v>
      </c>
      <c r="T34" s="227">
        <f>(T29*$J34)+T30</f>
        <v>77.438157894736861</v>
      </c>
      <c r="U34" s="241">
        <v>0.68408899887653074</v>
      </c>
      <c r="W34" s="227">
        <f>(W29*$J34)+W30</f>
        <v>80.844736842105249</v>
      </c>
      <c r="X34" s="241">
        <v>0.71418273102427721</v>
      </c>
      <c r="Z34" s="227">
        <f>(Z29*$J34)+Z30</f>
        <v>84.251315789473679</v>
      </c>
      <c r="AA34" s="241">
        <v>0.74427646317202389</v>
      </c>
      <c r="AC34" s="227">
        <f>(AC29*$J34)+AC30</f>
        <v>87.657894736842039</v>
      </c>
      <c r="AD34" s="241">
        <v>0.77437019531977003</v>
      </c>
      <c r="AE34" s="238"/>
    </row>
    <row r="35" spans="1:31" x14ac:dyDescent="0.2">
      <c r="B35" s="34"/>
      <c r="C35" s="10"/>
      <c r="E35" s="10"/>
      <c r="F35" s="10"/>
      <c r="G35" s="18"/>
      <c r="H35" s="10"/>
      <c r="I35" s="10"/>
      <c r="J35" s="17">
        <v>4</v>
      </c>
      <c r="K35" s="227">
        <f>(K29*$J35)+K30</f>
        <v>86.436842105263196</v>
      </c>
      <c r="L35" s="241">
        <v>0.57268755858915932</v>
      </c>
      <c r="N35" s="227">
        <f>(N29*$J35)+N30</f>
        <v>90.75</v>
      </c>
      <c r="O35" s="241">
        <v>0.60126439925553044</v>
      </c>
      <c r="Q35" s="227">
        <f>(Q29*$J35)+Q30</f>
        <v>95.063157894736904</v>
      </c>
      <c r="R35" s="241">
        <v>0.62984123992190211</v>
      </c>
      <c r="T35" s="227">
        <f>(T29*$J35)+T30</f>
        <v>99.376315789473708</v>
      </c>
      <c r="U35" s="241">
        <v>0.65841808058827322</v>
      </c>
      <c r="W35" s="227">
        <f>(W29*$J35)+W30</f>
        <v>103.68947368421051</v>
      </c>
      <c r="X35" s="241">
        <v>0.68699492125464423</v>
      </c>
      <c r="Z35" s="227">
        <f>(Z29*$J35)+Z30</f>
        <v>108.00263157894737</v>
      </c>
      <c r="AA35" s="241">
        <v>0.71557176192101568</v>
      </c>
      <c r="AC35" s="227">
        <f>(AC29*$J35)+AC30</f>
        <v>112.31578947368415</v>
      </c>
      <c r="AD35" s="241">
        <v>0.74414860258738647</v>
      </c>
      <c r="AE35" s="238"/>
    </row>
    <row r="36" spans="1:31" x14ac:dyDescent="0.2">
      <c r="E36" s="62"/>
      <c r="F36" s="10"/>
      <c r="G36" s="15"/>
      <c r="H36" s="10"/>
      <c r="I36" s="10"/>
      <c r="J36" s="31">
        <v>5</v>
      </c>
      <c r="K36" s="243">
        <f>(K29*$J36)+K30</f>
        <v>105.65526315789478</v>
      </c>
      <c r="L36" s="242">
        <v>0.56001541228268059</v>
      </c>
      <c r="N36" s="243">
        <f>(N29*$J36)+N30</f>
        <v>110.875</v>
      </c>
      <c r="O36" s="242">
        <v>0.58768211806022652</v>
      </c>
      <c r="Q36" s="243">
        <f>(Q29*$J36)+Q30</f>
        <v>116.09473684210532</v>
      </c>
      <c r="R36" s="242">
        <v>0.61534882383777278</v>
      </c>
      <c r="T36" s="243">
        <f>(T29*$J36)+T30</f>
        <v>121.31447368421055</v>
      </c>
      <c r="U36" s="242">
        <v>0.6430155296153186</v>
      </c>
      <c r="W36" s="243">
        <f>(W29*$J36)+W30</f>
        <v>126.53421052631577</v>
      </c>
      <c r="X36" s="242">
        <v>0.67068223539286453</v>
      </c>
      <c r="Z36" s="243">
        <f>(Z29*$J36)+Z30</f>
        <v>131.75394736842105</v>
      </c>
      <c r="AA36" s="242">
        <v>0.69834894117041069</v>
      </c>
      <c r="AC36" s="243">
        <f>(AC29*$J36)+AC30</f>
        <v>136.97368421052624</v>
      </c>
      <c r="AD36" s="242">
        <v>0.72601564694795628</v>
      </c>
      <c r="AE36" s="238"/>
    </row>
    <row r="37" spans="1:31" x14ac:dyDescent="0.2">
      <c r="F37" s="10"/>
      <c r="G37" s="10"/>
      <c r="H37" s="84"/>
      <c r="I37" s="10"/>
      <c r="J37" s="17">
        <v>10</v>
      </c>
      <c r="K37" s="227">
        <f>(K29*$J37)+K30</f>
        <v>201.74736842105267</v>
      </c>
      <c r="L37" s="241">
        <v>0.53467111966972303</v>
      </c>
      <c r="N37" s="227">
        <f>(N29*$J37)+N30</f>
        <v>211.5</v>
      </c>
      <c r="O37" s="241">
        <v>0.56051755566961836</v>
      </c>
      <c r="Q37" s="227">
        <f>(Q29*$J37)+Q30</f>
        <v>221.25263157894742</v>
      </c>
      <c r="R37" s="241">
        <v>0.58636399166951414</v>
      </c>
      <c r="T37" s="227">
        <f>(T29*$J37)+T30</f>
        <v>231.00526315789477</v>
      </c>
      <c r="U37" s="241">
        <v>0.6122104276694097</v>
      </c>
      <c r="W37" s="227">
        <f>(W29*$J37)+W30</f>
        <v>240.7578947368421</v>
      </c>
      <c r="X37" s="241">
        <v>0.63805686366930514</v>
      </c>
      <c r="Z37" s="227">
        <f>(Z29*$J37)+Z30</f>
        <v>250.51052631578952</v>
      </c>
      <c r="AA37" s="241">
        <v>0.66390329966920081</v>
      </c>
      <c r="AC37" s="227">
        <f>(AC29*$J37)+AC30</f>
        <v>260.26315789473676</v>
      </c>
      <c r="AD37" s="241">
        <v>0.68974973566909603</v>
      </c>
      <c r="AE37" s="238"/>
    </row>
    <row r="38" spans="1:31" x14ac:dyDescent="0.2">
      <c r="I38" s="10"/>
      <c r="J38" s="17">
        <v>20</v>
      </c>
      <c r="K38" s="227">
        <f>(K29*$J38)+K30</f>
        <v>393.93157894736845</v>
      </c>
      <c r="L38" s="241">
        <v>0.52199897336324419</v>
      </c>
      <c r="N38" s="227">
        <f>(N29*$J38)+N30</f>
        <v>412.75</v>
      </c>
      <c r="O38" s="241">
        <v>0.54693527447431445</v>
      </c>
      <c r="Q38" s="227">
        <f>(Q29*$J38)+Q30</f>
        <v>431.56842105263161</v>
      </c>
      <c r="R38" s="241">
        <v>0.57187157558538471</v>
      </c>
      <c r="T38" s="227">
        <f>(T29*$J38)+T30</f>
        <v>450.38684210526321</v>
      </c>
      <c r="U38" s="241">
        <v>0.59680787669645508</v>
      </c>
      <c r="W38" s="227">
        <f>(W29*$J38)+W30</f>
        <v>469.20526315789476</v>
      </c>
      <c r="X38" s="241">
        <v>0.62174417780752533</v>
      </c>
      <c r="Z38" s="227">
        <f>(Z29*$J38)+Z30</f>
        <v>488.02368421052643</v>
      </c>
      <c r="AA38" s="241">
        <v>0.64668047891859581</v>
      </c>
      <c r="AC38" s="227">
        <f>(AC29*$J38)+AC30</f>
        <v>506.84210526315786</v>
      </c>
      <c r="AD38" s="241">
        <v>0.67161678002966596</v>
      </c>
      <c r="AE38" s="238"/>
    </row>
    <row r="39" spans="1:31" x14ac:dyDescent="0.2">
      <c r="I39" s="10"/>
      <c r="J39" s="17">
        <v>30</v>
      </c>
      <c r="K39" s="227">
        <f>(K29*$J39)+K30</f>
        <v>586.11578947368412</v>
      </c>
      <c r="L39" s="241">
        <v>0.51777492459441787</v>
      </c>
      <c r="N39" s="227">
        <f>(N29*$J39)+N30</f>
        <v>614</v>
      </c>
      <c r="O39" s="241">
        <v>0.54240784740921311</v>
      </c>
      <c r="Q39" s="227">
        <f>(Q29*$J39)+Q30</f>
        <v>641.88421052631588</v>
      </c>
      <c r="R39" s="241">
        <v>0.56704077022400845</v>
      </c>
      <c r="T39" s="227">
        <f>(T29*$J39)+T30</f>
        <v>669.76842105263165</v>
      </c>
      <c r="U39" s="241">
        <v>0.59167369303880357</v>
      </c>
      <c r="W39" s="227">
        <f>(W29*$J39)+W30</f>
        <v>697.65263157894742</v>
      </c>
      <c r="X39" s="241">
        <v>0.61630661585359892</v>
      </c>
      <c r="Z39" s="227">
        <f>(Z29*$J39)+Z30</f>
        <v>725.5368421052633</v>
      </c>
      <c r="AA39" s="241">
        <v>0.64093953866839415</v>
      </c>
      <c r="AC39" s="227">
        <f>(AC29*$J39)+AC30</f>
        <v>753.42105263157896</v>
      </c>
      <c r="AD39" s="241">
        <v>0.66557246148318927</v>
      </c>
      <c r="AE39" s="238"/>
    </row>
    <row r="40" spans="1:31" x14ac:dyDescent="0.2">
      <c r="I40" s="10"/>
      <c r="J40" s="31">
        <v>40</v>
      </c>
      <c r="K40" s="243">
        <f>(K29*$J40)+K30</f>
        <v>778.3</v>
      </c>
      <c r="L40" s="242">
        <v>0.51566290021000472</v>
      </c>
      <c r="N40" s="243">
        <f>(N29*$J40)+N30</f>
        <v>815.25</v>
      </c>
      <c r="O40" s="242">
        <v>0.54014413387666249</v>
      </c>
      <c r="Q40" s="243">
        <f>(Q29*$J40)+Q30</f>
        <v>852.2</v>
      </c>
      <c r="R40" s="242">
        <v>0.56462536754332016</v>
      </c>
      <c r="T40" s="243">
        <f>(T29*$J40)+T30</f>
        <v>889.15000000000009</v>
      </c>
      <c r="U40" s="242">
        <v>0.58910660120997782</v>
      </c>
      <c r="W40" s="243">
        <f>(W29*$J40)+W30</f>
        <v>926.10000000000014</v>
      </c>
      <c r="X40" s="242">
        <v>0.6135878348766356</v>
      </c>
      <c r="Z40" s="243">
        <f>(Z29*$J40)+Z30</f>
        <v>963.05000000000018</v>
      </c>
      <c r="AA40" s="242">
        <v>0.63806906854329337</v>
      </c>
      <c r="AC40" s="243">
        <f>(AC29*$J40)+AC30</f>
        <v>1000</v>
      </c>
      <c r="AD40" s="242">
        <v>0.66255030220995093</v>
      </c>
      <c r="AE40" s="238"/>
    </row>
    <row r="41" spans="1:31" x14ac:dyDescent="0.2">
      <c r="I41" s="17"/>
      <c r="J41" s="17">
        <v>50</v>
      </c>
      <c r="K41" s="227">
        <f>(K29*$J41)+K30</f>
        <v>970.48421052631579</v>
      </c>
      <c r="L41" s="241">
        <v>0.51439568557935689</v>
      </c>
      <c r="N41" s="227">
        <f>(N29*$J41)+N30</f>
        <v>1016.5</v>
      </c>
      <c r="O41" s="241">
        <v>0.53878590575713203</v>
      </c>
      <c r="Q41" s="227">
        <f>(Q29*$J41)+Q30</f>
        <v>1062.5157894736842</v>
      </c>
      <c r="R41" s="241">
        <v>0.56317612593490729</v>
      </c>
      <c r="T41" s="227">
        <f>(T29*$J41)+T30</f>
        <v>1108.5315789473684</v>
      </c>
      <c r="U41" s="241">
        <v>0.58756634611268244</v>
      </c>
      <c r="W41" s="227">
        <f>(W29*$J41)+W30</f>
        <v>1154.5473684210529</v>
      </c>
      <c r="X41" s="241">
        <v>0.61195656629045758</v>
      </c>
      <c r="Z41" s="227">
        <f>(Z29*$J41)+Z30</f>
        <v>1200.5631578947371</v>
      </c>
      <c r="AA41" s="241">
        <v>0.63634678646823284</v>
      </c>
      <c r="AC41" s="227">
        <f>(AC29*$J41)+AC30</f>
        <v>1246.5789473684208</v>
      </c>
      <c r="AD41" s="241">
        <v>0.66073700664600776</v>
      </c>
      <c r="AE41" s="238"/>
    </row>
    <row r="42" spans="1:31" x14ac:dyDescent="0.2">
      <c r="I42" s="10"/>
      <c r="N42" s="250"/>
      <c r="O42" s="251"/>
      <c r="P42" s="251"/>
      <c r="Q42" s="250"/>
      <c r="R42" s="251"/>
      <c r="S42" s="251"/>
      <c r="T42" s="250"/>
      <c r="U42" s="251"/>
      <c r="V42" s="251"/>
      <c r="W42" s="250"/>
      <c r="X42" s="251"/>
      <c r="Y42" s="251"/>
      <c r="Z42" s="250"/>
      <c r="AA42" s="251"/>
      <c r="AB42" s="251"/>
      <c r="AC42" s="250"/>
    </row>
    <row r="43" spans="1:31" x14ac:dyDescent="0.2">
      <c r="I43" s="10"/>
      <c r="K43" s="252"/>
      <c r="L43" s="252"/>
      <c r="M43" s="252"/>
      <c r="N43" s="253"/>
      <c r="O43" s="252"/>
      <c r="P43" s="252"/>
      <c r="Q43" s="253"/>
      <c r="R43" s="252"/>
      <c r="S43" s="252"/>
      <c r="T43" s="253"/>
      <c r="U43" s="252"/>
      <c r="V43" s="252"/>
      <c r="W43" s="253"/>
      <c r="X43" s="252"/>
      <c r="Y43" s="252"/>
      <c r="AA43" s="252"/>
      <c r="AB43" s="252"/>
      <c r="AC43" s="253"/>
      <c r="AD43" s="252"/>
    </row>
    <row r="44" spans="1:31" x14ac:dyDescent="0.2">
      <c r="I44" s="4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</row>
    <row r="45" spans="1:31" x14ac:dyDescent="0.2">
      <c r="I45" s="4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</row>
    <row r="46" spans="1:31" ht="15" x14ac:dyDescent="0.25">
      <c r="A46" s="237"/>
      <c r="B46" s="229">
        <v>48</v>
      </c>
      <c r="C46" s="230">
        <f>B46+$C47</f>
        <v>50.5</v>
      </c>
      <c r="D46" s="230">
        <f>C46+$C47</f>
        <v>53</v>
      </c>
      <c r="E46" s="230">
        <f>D46+$C47</f>
        <v>55.5</v>
      </c>
      <c r="F46" s="230">
        <f>E46+$C47</f>
        <v>58</v>
      </c>
      <c r="G46" s="230">
        <f>F46+$C47</f>
        <v>60.5</v>
      </c>
      <c r="H46" s="229">
        <v>63</v>
      </c>
      <c r="J46" s="224" t="s">
        <v>123</v>
      </c>
      <c r="K46" s="224" t="s">
        <v>124</v>
      </c>
      <c r="L46" s="224"/>
      <c r="M46" s="10"/>
      <c r="N46" s="224" t="s">
        <v>124</v>
      </c>
      <c r="O46" s="224"/>
      <c r="P46" s="10"/>
      <c r="Q46" s="224" t="s">
        <v>124</v>
      </c>
      <c r="R46" s="224"/>
      <c r="T46" s="224" t="s">
        <v>124</v>
      </c>
      <c r="U46" s="224"/>
      <c r="W46" s="224" t="s">
        <v>124</v>
      </c>
      <c r="X46" s="224"/>
      <c r="Z46" s="224" t="s">
        <v>124</v>
      </c>
      <c r="AA46" s="224"/>
      <c r="AC46" s="224" t="s">
        <v>124</v>
      </c>
      <c r="AD46" s="224"/>
    </row>
    <row r="47" spans="1:31" ht="15" x14ac:dyDescent="0.25">
      <c r="B47" s="62"/>
      <c r="C47" s="231">
        <f>(H46-B46)/6</f>
        <v>2.5</v>
      </c>
      <c r="D47" s="10"/>
      <c r="E47" s="10"/>
      <c r="G47" s="10"/>
      <c r="H47" s="10"/>
      <c r="J47" s="225">
        <v>2</v>
      </c>
      <c r="K47" s="232">
        <f>B46</f>
        <v>48</v>
      </c>
      <c r="L47" s="233">
        <f>L54</f>
        <v>0.63604829012155362</v>
      </c>
      <c r="M47" s="223"/>
      <c r="N47" s="232">
        <f>C46</f>
        <v>50.5</v>
      </c>
      <c r="O47" s="233">
        <f>O54</f>
        <v>0.66917580523205045</v>
      </c>
      <c r="P47" s="223"/>
      <c r="Q47" s="232">
        <f>D46</f>
        <v>53</v>
      </c>
      <c r="R47" s="233">
        <f>R54</f>
        <v>0.70230332034254728</v>
      </c>
      <c r="S47" s="223"/>
      <c r="T47" s="232">
        <f>E46</f>
        <v>55.5</v>
      </c>
      <c r="U47" s="233">
        <f>U54</f>
        <v>0.73543083545304688</v>
      </c>
      <c r="V47" s="223"/>
      <c r="W47" s="232">
        <f>F46</f>
        <v>58</v>
      </c>
      <c r="X47" s="233">
        <f>X54</f>
        <v>0.76855835056354105</v>
      </c>
      <c r="Y47" s="223"/>
      <c r="Z47" s="232">
        <f>G46</f>
        <v>60.5</v>
      </c>
      <c r="AA47" s="233">
        <f>AA54</f>
        <v>0.80168586567403988</v>
      </c>
      <c r="AB47" s="223"/>
      <c r="AC47" s="232">
        <f>H46</f>
        <v>63</v>
      </c>
      <c r="AD47" s="233">
        <f>AD54</f>
        <v>0.83481338078453748</v>
      </c>
    </row>
    <row r="48" spans="1:31" ht="15" x14ac:dyDescent="0.25">
      <c r="B48" s="229">
        <v>825</v>
      </c>
      <c r="C48" s="230">
        <f>B48+$C49</f>
        <v>864.16666666666663</v>
      </c>
      <c r="D48" s="230">
        <f>C48+$C49</f>
        <v>903.33333333333326</v>
      </c>
      <c r="E48" s="230">
        <f>D48+$C49</f>
        <v>942.49999999999989</v>
      </c>
      <c r="F48" s="230">
        <f>E48+$C49</f>
        <v>981.66666666666652</v>
      </c>
      <c r="G48" s="230">
        <f>F48+$C49</f>
        <v>1020.8333333333331</v>
      </c>
      <c r="H48" s="229">
        <v>1060</v>
      </c>
      <c r="J48" s="225">
        <v>40</v>
      </c>
      <c r="K48" s="232">
        <f>B48</f>
        <v>825</v>
      </c>
      <c r="L48" s="233">
        <f>L57</f>
        <v>0.57955715909102046</v>
      </c>
      <c r="M48" s="223"/>
      <c r="N48" s="232">
        <f>C48</f>
        <v>864.16666666666663</v>
      </c>
      <c r="O48" s="233">
        <f>O57</f>
        <v>0.60815143529166016</v>
      </c>
      <c r="P48" s="223"/>
      <c r="Q48" s="232">
        <f>D48</f>
        <v>903.33333333333326</v>
      </c>
      <c r="R48" s="233">
        <f>R57</f>
        <v>0.63674571149229997</v>
      </c>
      <c r="S48" s="223"/>
      <c r="T48" s="232">
        <f>E48</f>
        <v>942.49999999999989</v>
      </c>
      <c r="U48" s="233">
        <f>U57</f>
        <v>0.665339987692941</v>
      </c>
      <c r="V48" s="223"/>
      <c r="W48" s="232">
        <f>F48</f>
        <v>981.66666666666652</v>
      </c>
      <c r="X48" s="233">
        <f>X57</f>
        <v>0.69393426389357937</v>
      </c>
      <c r="Y48" s="223"/>
      <c r="Z48" s="232">
        <f>G48</f>
        <v>1020.8333333333331</v>
      </c>
      <c r="AA48" s="233">
        <f>AA57</f>
        <v>0.72252854009421974</v>
      </c>
      <c r="AB48" s="223"/>
      <c r="AC48" s="232">
        <f>H48</f>
        <v>1060</v>
      </c>
      <c r="AD48" s="180">
        <f>AD57</f>
        <v>0.75112281629485977</v>
      </c>
    </row>
    <row r="49" spans="2:31" x14ac:dyDescent="0.2">
      <c r="B49" s="228"/>
      <c r="C49" s="231">
        <f>(H48-B48)/6</f>
        <v>39.166666666666664</v>
      </c>
      <c r="D49" s="10"/>
      <c r="F49" s="10"/>
      <c r="G49" s="10"/>
      <c r="J49" s="160"/>
      <c r="K49" s="160"/>
      <c r="L49" s="180">
        <f>L61</f>
        <v>0.54660399932320947</v>
      </c>
      <c r="N49" s="160"/>
      <c r="O49" s="180">
        <f>O61</f>
        <v>0.57255388615976588</v>
      </c>
      <c r="Q49" s="160"/>
      <c r="R49" s="180">
        <f>R61</f>
        <v>0.59850377299632229</v>
      </c>
      <c r="T49" s="160"/>
      <c r="U49" s="180">
        <f>U61</f>
        <v>0.62445365983287848</v>
      </c>
      <c r="W49" s="160"/>
      <c r="X49" s="180">
        <f>X61</f>
        <v>0.65040354666943512</v>
      </c>
      <c r="Z49" s="160"/>
      <c r="AA49" s="180">
        <f>AA61</f>
        <v>0.67635343350599131</v>
      </c>
      <c r="AC49" s="160"/>
      <c r="AD49" s="180">
        <f>AD61</f>
        <v>0.70230332034254794</v>
      </c>
    </row>
    <row r="50" spans="2:31" x14ac:dyDescent="0.2">
      <c r="B50" s="239" t="s">
        <v>126</v>
      </c>
      <c r="J50" s="160"/>
      <c r="K50" s="226" cm="1">
        <f t="array" ref="K50">_xlfn.SINGLE(INDEX(LINEST(K47:K48,($J47:$J48)^{1}),1))</f>
        <v>20.44736842105263</v>
      </c>
      <c r="L50" s="160"/>
      <c r="N50" s="226" cm="1">
        <f t="array" ref="N50">_xlfn.SINGLE(INDEX(LINEST(N47:N48,($J47:$J48)^{1}),1))</f>
        <v>21.412280701754383</v>
      </c>
      <c r="O50" s="160"/>
      <c r="Q50" s="226" cm="1">
        <f t="array" ref="Q50">_xlfn.SINGLE(INDEX(LINEST(Q47:Q48,($J47:$J48)^{1}),1))</f>
        <v>22.37719298245614</v>
      </c>
      <c r="R50" s="160"/>
      <c r="T50" s="226" cm="1">
        <f t="array" ref="T50">_xlfn.SINGLE(INDEX(LINEST(T47:T48,($J47:$J48)^{1}),1))</f>
        <v>23.342105263157887</v>
      </c>
      <c r="U50" s="160"/>
      <c r="W50" s="226" cm="1">
        <f t="array" ref="W50">_xlfn.SINGLE(INDEX(LINEST(W47:W48,($J47:$J48)^{1}),1))</f>
        <v>24.307017543859654</v>
      </c>
      <c r="X50" s="160"/>
      <c r="Z50" s="226" cm="1">
        <f t="array" ref="Z50">_xlfn.SINGLE(INDEX(LINEST(Z47:Z48,($J47:$J48)^{1}),1))</f>
        <v>25.271929824561397</v>
      </c>
      <c r="AA50" s="160"/>
      <c r="AC50" s="226" cm="1">
        <f t="array" ref="AC50">_xlfn.SINGLE(INDEX(LINEST(AC47:AC48,($J47:$J48)^{1}),1))</f>
        <v>26.236842105263158</v>
      </c>
      <c r="AD50" s="160"/>
    </row>
    <row r="51" spans="2:31" x14ac:dyDescent="0.2">
      <c r="J51" s="160"/>
      <c r="K51" s="226" cm="1">
        <f t="array" ref="K51">INDEX(LINEST(K47:K48,($J47:$J48)^{1}),1,2)</f>
        <v>7.1052631578947967</v>
      </c>
      <c r="L51" s="160"/>
      <c r="N51" s="226" cm="1">
        <f t="array" ref="N51">INDEX(LINEST(N47:N48,($J47:$J48)^{1}),1,2)</f>
        <v>7.6754385964912331</v>
      </c>
      <c r="O51" s="160"/>
      <c r="Q51" s="226" cm="1">
        <f t="array" ref="Q51">INDEX(LINEST(Q47:Q48,($J47:$J48)^{1}),1,2)</f>
        <v>8.2456140350876694</v>
      </c>
      <c r="R51" s="160"/>
      <c r="T51" s="226" cm="1">
        <f t="array" ref="T51">INDEX(LINEST(T47:T48,($J47:$J48)^{1}),1,2)</f>
        <v>8.8157894736843332</v>
      </c>
      <c r="U51" s="160"/>
      <c r="W51" s="226" cm="1">
        <f t="array" ref="W51">INDEX(LINEST(W47:W48,($J47:$J48)^{1}),1,2)</f>
        <v>9.3859649122805422</v>
      </c>
      <c r="X51" s="160"/>
      <c r="Z51" s="226" cm="1">
        <f t="array" ref="Z51">INDEX(LINEST(Z47:Z48,($J47:$J48)^{1}),1,2)</f>
        <v>9.9561403508771491</v>
      </c>
      <c r="AA51" s="160"/>
      <c r="AC51" s="226" cm="1">
        <f t="array" ref="AC51">INDEX(LINEST(AC47:AC48,($J47:$J48)^{1}),1,2)</f>
        <v>10.526315789473642</v>
      </c>
      <c r="AD51" s="160"/>
    </row>
    <row r="52" spans="2:31" x14ac:dyDescent="0.2">
      <c r="I52" s="9"/>
      <c r="J52" s="160"/>
      <c r="K52" s="160"/>
      <c r="L52" s="19" t="s">
        <v>11</v>
      </c>
      <c r="N52" s="160"/>
      <c r="O52" s="19" t="s">
        <v>11</v>
      </c>
      <c r="Q52" s="160"/>
      <c r="R52" s="19" t="s">
        <v>11</v>
      </c>
      <c r="T52" s="160"/>
      <c r="U52" s="19" t="s">
        <v>11</v>
      </c>
      <c r="W52" s="160"/>
      <c r="X52" s="19" t="s">
        <v>11</v>
      </c>
      <c r="Z52" s="160"/>
      <c r="AA52" s="19" t="s">
        <v>11</v>
      </c>
      <c r="AC52" s="160"/>
      <c r="AD52" s="19" t="s">
        <v>11</v>
      </c>
    </row>
    <row r="53" spans="2:31" x14ac:dyDescent="0.2">
      <c r="I53" s="9"/>
      <c r="J53" s="17">
        <v>1</v>
      </c>
      <c r="K53" s="227">
        <f>(K50*$J53)+K51</f>
        <v>27.552631578947427</v>
      </c>
      <c r="L53" s="241">
        <v>0.73020017517244218</v>
      </c>
      <c r="N53" s="227">
        <f>(N50*$J53)+N51</f>
        <v>29.087719298245617</v>
      </c>
      <c r="O53" s="241">
        <v>0.77088308846603415</v>
      </c>
      <c r="Q53" s="227">
        <f>(Q50*$J53)+Q51</f>
        <v>30.62280701754381</v>
      </c>
      <c r="R53" s="241">
        <v>0.81156600175962623</v>
      </c>
      <c r="T53" s="227">
        <f>(T50*$J53)+T51</f>
        <v>32.157894736842223</v>
      </c>
      <c r="U53" s="241">
        <v>0.8522489150532242</v>
      </c>
      <c r="V53" s="260"/>
      <c r="W53" s="227">
        <f>(W50*$J53)+W51</f>
        <v>33.6929824561402</v>
      </c>
      <c r="X53" s="241">
        <v>0.89293182834681051</v>
      </c>
      <c r="Z53" s="227">
        <f>(Z50*$J53)+Z51</f>
        <v>35.228070175438546</v>
      </c>
      <c r="AA53" s="241">
        <v>0.93361474164040659</v>
      </c>
      <c r="AC53" s="227">
        <f>(AC50*$J53)+AC51</f>
        <v>36.7631578947368</v>
      </c>
      <c r="AD53" s="241">
        <v>0.97429765493400033</v>
      </c>
      <c r="AE53" s="238"/>
    </row>
    <row r="54" spans="2:31" x14ac:dyDescent="0.2">
      <c r="G54" s="10"/>
      <c r="H54" s="36"/>
      <c r="I54" s="9"/>
      <c r="J54" s="31">
        <v>2</v>
      </c>
      <c r="K54" s="243">
        <f>(K50*$J54)+K51</f>
        <v>48.000000000000057</v>
      </c>
      <c r="L54" s="242">
        <v>0.63604829012155362</v>
      </c>
      <c r="N54" s="243">
        <f>(N50*$J54)+N51</f>
        <v>50.5</v>
      </c>
      <c r="O54" s="242">
        <v>0.66917580523205045</v>
      </c>
      <c r="Q54" s="243">
        <f>(Q50*$J54)+Q51</f>
        <v>52.99999999999995</v>
      </c>
      <c r="R54" s="242">
        <v>0.70230332034254728</v>
      </c>
      <c r="T54" s="243">
        <f>(T50*$J54)+T51</f>
        <v>55.500000000000107</v>
      </c>
      <c r="U54" s="242">
        <v>0.73543083545304688</v>
      </c>
      <c r="W54" s="243">
        <f>(W50*$J54)+W51</f>
        <v>57.999999999999851</v>
      </c>
      <c r="X54" s="242">
        <v>0.76855835056354105</v>
      </c>
      <c r="Z54" s="243">
        <f>(Z50*$J54)+Z51</f>
        <v>60.499999999999943</v>
      </c>
      <c r="AA54" s="242">
        <v>0.80168586567403988</v>
      </c>
      <c r="AC54" s="243">
        <f>(AC50*$J54)+AC51</f>
        <v>62.999999999999957</v>
      </c>
      <c r="AD54" s="242">
        <v>0.83481338078453748</v>
      </c>
      <c r="AE54" s="238"/>
    </row>
    <row r="55" spans="2:31" x14ac:dyDescent="0.2">
      <c r="H55" s="36"/>
      <c r="I55" s="9"/>
      <c r="J55" s="17">
        <v>3</v>
      </c>
      <c r="K55" s="227">
        <f>(K50*$J55)+K51</f>
        <v>68.447368421052687</v>
      </c>
      <c r="L55" s="241">
        <v>0.60466432843792417</v>
      </c>
      <c r="N55" s="227">
        <f>(N50*$J55)+N51</f>
        <v>71.912280701754383</v>
      </c>
      <c r="O55" s="241">
        <v>0.63527337748738921</v>
      </c>
      <c r="Q55" s="227">
        <f>(Q50*$J55)+Q51</f>
        <v>75.377192982456094</v>
      </c>
      <c r="R55" s="241">
        <v>0.66588242653685425</v>
      </c>
      <c r="T55" s="227">
        <f>(T50*$J55)+T51</f>
        <v>78.84210526315799</v>
      </c>
      <c r="U55" s="241">
        <v>0.69649147558632118</v>
      </c>
      <c r="W55" s="227">
        <f>(W50*$J55)+W51</f>
        <v>82.307017543859502</v>
      </c>
      <c r="X55" s="241">
        <v>0.72710052463578467</v>
      </c>
      <c r="Z55" s="227">
        <f>(Z50*$J55)+Z51</f>
        <v>85.77192982456134</v>
      </c>
      <c r="AA55" s="241">
        <v>0.75770957368525083</v>
      </c>
      <c r="AC55" s="227">
        <f>(AC50*$J55)+AC51</f>
        <v>89.236842105263122</v>
      </c>
      <c r="AD55" s="241">
        <v>0.78831862273471665</v>
      </c>
      <c r="AE55" s="238"/>
    </row>
    <row r="56" spans="2:31" x14ac:dyDescent="0.2">
      <c r="H56" s="36"/>
      <c r="I56" s="9"/>
      <c r="J56" s="17">
        <v>4</v>
      </c>
      <c r="K56" s="227">
        <f>(K50*$J56)+K51</f>
        <v>88.894736842105317</v>
      </c>
      <c r="L56" s="241">
        <v>0.58897234759610939</v>
      </c>
      <c r="N56" s="227">
        <f>(N50*$J56)+N51</f>
        <v>93.324561403508767</v>
      </c>
      <c r="O56" s="241">
        <v>0.61832216361505843</v>
      </c>
      <c r="Q56" s="227">
        <f>(Q50*$J56)+Q51</f>
        <v>97.754385964912231</v>
      </c>
      <c r="R56" s="241">
        <v>0.6476719796340078</v>
      </c>
      <c r="T56" s="227">
        <f>(T50*$J56)+T51</f>
        <v>102.18421052631588</v>
      </c>
      <c r="U56" s="241">
        <v>0.67702179565295828</v>
      </c>
      <c r="W56" s="227">
        <f>(W50*$J56)+W51</f>
        <v>106.61403508771916</v>
      </c>
      <c r="X56" s="241">
        <v>0.70637161167190643</v>
      </c>
      <c r="Z56" s="227">
        <f>(Z50*$J56)+Z51</f>
        <v>111.04385964912274</v>
      </c>
      <c r="AA56" s="241">
        <v>0.73572142769085647</v>
      </c>
      <c r="AC56" s="227">
        <f>(AC50*$J56)+AC51</f>
        <v>115.47368421052627</v>
      </c>
      <c r="AD56" s="241">
        <v>0.76507124370980606</v>
      </c>
      <c r="AE56" s="238"/>
    </row>
    <row r="57" spans="2:31" x14ac:dyDescent="0.2">
      <c r="H57" s="36"/>
      <c r="J57" s="31">
        <v>5</v>
      </c>
      <c r="K57" s="243">
        <f>(K50*$J57)+K51</f>
        <v>109.34210526315795</v>
      </c>
      <c r="L57" s="242">
        <v>0.57955715909102046</v>
      </c>
      <c r="N57" s="243">
        <f>(N50*$J57)+N51</f>
        <v>114.73684210526315</v>
      </c>
      <c r="O57" s="242">
        <v>0.60815143529166016</v>
      </c>
      <c r="Q57" s="243">
        <f>(Q50*$J57)+Q51</f>
        <v>120.13157894736837</v>
      </c>
      <c r="R57" s="242">
        <v>0.63674571149229997</v>
      </c>
      <c r="T57" s="243">
        <f>(T50*$J57)+T51</f>
        <v>125.52631578947377</v>
      </c>
      <c r="U57" s="242">
        <v>0.665339987692941</v>
      </c>
      <c r="W57" s="243">
        <f>(W50*$J57)+W51</f>
        <v>130.92105263157882</v>
      </c>
      <c r="X57" s="242">
        <v>0.69393426389357937</v>
      </c>
      <c r="Z57" s="243">
        <f>(Z50*$J57)+Z51</f>
        <v>136.31578947368413</v>
      </c>
      <c r="AA57" s="242">
        <v>0.72252854009421974</v>
      </c>
      <c r="AC57" s="243">
        <f>(AC50*$J57)+AC51</f>
        <v>141.71052631578942</v>
      </c>
      <c r="AD57" s="242">
        <v>0.75112281629485977</v>
      </c>
      <c r="AE57" s="238"/>
    </row>
    <row r="58" spans="2:31" x14ac:dyDescent="0.2">
      <c r="F58" s="10"/>
      <c r="H58" s="36"/>
      <c r="J58" s="17">
        <v>10</v>
      </c>
      <c r="K58" s="227">
        <f>(K50*$J58)+K51</f>
        <v>211.5789473684211</v>
      </c>
      <c r="L58" s="241">
        <v>0.5607267820808427</v>
      </c>
      <c r="N58" s="227">
        <f>(N50*$J58)+N51</f>
        <v>221.79824561403507</v>
      </c>
      <c r="O58" s="241">
        <v>0.5878099786448634</v>
      </c>
      <c r="Q58" s="227">
        <f>(Q50*$J58)+Q51</f>
        <v>232.01754385964907</v>
      </c>
      <c r="R58" s="241">
        <v>0.61489317520888409</v>
      </c>
      <c r="T58" s="227">
        <f>(T50*$J58)+T51</f>
        <v>242.23684210526321</v>
      </c>
      <c r="U58" s="241">
        <v>0.64197637177290523</v>
      </c>
      <c r="W58" s="227">
        <f>(W50*$J58)+W51</f>
        <v>252.45614035087709</v>
      </c>
      <c r="X58" s="241">
        <v>0.66905956833692559</v>
      </c>
      <c r="Z58" s="227">
        <f>(Z50*$J58)+Z51</f>
        <v>262.67543859649112</v>
      </c>
      <c r="AA58" s="241">
        <v>0.6961427649009464</v>
      </c>
      <c r="AC58" s="227">
        <f>(AC50*$J58)+AC51</f>
        <v>272.8947368421052</v>
      </c>
      <c r="AD58" s="241">
        <v>0.7232259614649672</v>
      </c>
      <c r="AE58" s="238"/>
    </row>
    <row r="59" spans="2:31" x14ac:dyDescent="0.2">
      <c r="F59" s="10"/>
      <c r="H59" s="36"/>
      <c r="J59" s="17">
        <v>20</v>
      </c>
      <c r="K59" s="227">
        <f>(K50*$J59)+K51</f>
        <v>416.0526315789474</v>
      </c>
      <c r="L59" s="241">
        <v>0.55131159357575388</v>
      </c>
      <c r="N59" s="227">
        <f>(N50*$J59)+N51</f>
        <v>435.9210526315789</v>
      </c>
      <c r="O59" s="241">
        <v>0.57763925032146501</v>
      </c>
      <c r="Q59" s="227">
        <f>(Q50*$J59)+Q51</f>
        <v>455.78947368421046</v>
      </c>
      <c r="R59" s="241">
        <v>0.60396690706717615</v>
      </c>
      <c r="T59" s="227">
        <f>(T50*$J59)+T51</f>
        <v>475.65789473684208</v>
      </c>
      <c r="U59" s="241">
        <v>0.6302945638128874</v>
      </c>
      <c r="W59" s="227">
        <f>(W50*$J59)+W51</f>
        <v>495.52631578947364</v>
      </c>
      <c r="X59" s="241">
        <v>0.65662222055859865</v>
      </c>
      <c r="Z59" s="227">
        <f>(Z50*$J59)+Z51</f>
        <v>515.39473684210509</v>
      </c>
      <c r="AA59" s="241">
        <v>0.68294987730430956</v>
      </c>
      <c r="AC59" s="227">
        <f>(AC50*$J59)+AC51</f>
        <v>535.26315789473676</v>
      </c>
      <c r="AD59" s="241">
        <v>0.70927753405002103</v>
      </c>
      <c r="AE59" s="238"/>
    </row>
    <row r="60" spans="2:31" x14ac:dyDescent="0.2">
      <c r="F60" s="10"/>
      <c r="H60" s="36"/>
      <c r="J60" s="17">
        <v>30</v>
      </c>
      <c r="K60" s="227">
        <f>(K50*$J60)+K51</f>
        <v>620.52631578947376</v>
      </c>
      <c r="L60" s="241">
        <v>0.54817319740739101</v>
      </c>
      <c r="N60" s="227">
        <f>(N50*$J60)+N51</f>
        <v>650.04385964912262</v>
      </c>
      <c r="O60" s="241">
        <v>0.57424900754699881</v>
      </c>
      <c r="Q60" s="227">
        <f>(Q50*$J60)+Q51</f>
        <v>679.56140350877183</v>
      </c>
      <c r="R60" s="241">
        <v>0.60032481768660684</v>
      </c>
      <c r="T60" s="227">
        <f>(T50*$J60)+T51</f>
        <v>709.07894736842104</v>
      </c>
      <c r="U60" s="241">
        <v>0.62640062782621497</v>
      </c>
      <c r="W60" s="227">
        <f>(W50*$J60)+W51</f>
        <v>738.59649122807014</v>
      </c>
      <c r="X60" s="241">
        <v>0.652476437965823</v>
      </c>
      <c r="Z60" s="227">
        <f>(Z50*$J60)+Z51</f>
        <v>768.114035087719</v>
      </c>
      <c r="AA60" s="241">
        <v>0.67855224810543069</v>
      </c>
      <c r="AC60" s="227">
        <f>(AC50*$J60)+AC51</f>
        <v>797.63157894736833</v>
      </c>
      <c r="AD60" s="241">
        <v>0.70462805824503882</v>
      </c>
      <c r="AE60" s="238"/>
    </row>
    <row r="61" spans="2:31" x14ac:dyDescent="0.2">
      <c r="F61" s="10"/>
      <c r="H61" s="36"/>
      <c r="J61" s="31">
        <v>40</v>
      </c>
      <c r="K61" s="243">
        <f>(K50*$J61)+K51</f>
        <v>825</v>
      </c>
      <c r="L61" s="242">
        <v>0.54660399932320947</v>
      </c>
      <c r="N61" s="243">
        <f>(N50*$J61)+N51</f>
        <v>864.16666666666652</v>
      </c>
      <c r="O61" s="242">
        <v>0.57255388615976588</v>
      </c>
      <c r="Q61" s="243">
        <f>(Q50*$J61)+Q51</f>
        <v>903.33333333333326</v>
      </c>
      <c r="R61" s="242">
        <v>0.59850377299632229</v>
      </c>
      <c r="T61" s="243">
        <f>(T50*$J61)+T51</f>
        <v>942.49999999999977</v>
      </c>
      <c r="U61" s="242">
        <v>0.62445365983287848</v>
      </c>
      <c r="W61" s="243">
        <f>(W50*$J61)+W51</f>
        <v>981.66666666666674</v>
      </c>
      <c r="X61" s="242">
        <v>0.65040354666943512</v>
      </c>
      <c r="Z61" s="243">
        <f>(Z50*$J61)+Z51</f>
        <v>1020.833333333333</v>
      </c>
      <c r="AA61" s="242">
        <v>0.67635343350599131</v>
      </c>
      <c r="AC61" s="243">
        <f>(AC50*$J61)+AC51</f>
        <v>1060</v>
      </c>
      <c r="AD61" s="242">
        <v>0.70230332034254794</v>
      </c>
      <c r="AE61" s="238"/>
    </row>
    <row r="62" spans="2:31" x14ac:dyDescent="0.2">
      <c r="F62" s="10"/>
      <c r="H62" s="36"/>
      <c r="J62" s="17">
        <v>50</v>
      </c>
      <c r="K62" s="227">
        <f>(K50*$J62)+K51</f>
        <v>1029.4736842105262</v>
      </c>
      <c r="L62" s="241">
        <v>0.5456624804727005</v>
      </c>
      <c r="N62" s="227">
        <f>(N50*$J62)+N51</f>
        <v>1078.2894736842104</v>
      </c>
      <c r="O62" s="241">
        <v>0.57153681332742601</v>
      </c>
      <c r="Q62" s="227">
        <f>(Q50*$J62)+Q51</f>
        <v>1127.1052631578946</v>
      </c>
      <c r="R62" s="241">
        <v>0.59741114618215141</v>
      </c>
      <c r="T62" s="227">
        <f>(T50*$J62)+T51</f>
        <v>1175.9210526315787</v>
      </c>
      <c r="U62" s="241">
        <v>0.62328547903687681</v>
      </c>
      <c r="W62" s="227">
        <f>(W50*$J62)+W51</f>
        <v>1224.7368421052633</v>
      </c>
      <c r="X62" s="241">
        <v>0.64915981189160255</v>
      </c>
      <c r="Z62" s="227">
        <f>(Z50*$J62)+Z51</f>
        <v>1273.5526315789471</v>
      </c>
      <c r="AA62" s="241">
        <v>0.67503414474632772</v>
      </c>
      <c r="AC62" s="227">
        <f>(AC50*$J62)+AC51</f>
        <v>1322.3684210526317</v>
      </c>
      <c r="AD62" s="241">
        <v>0.70090847760105335</v>
      </c>
      <c r="AE62" s="238"/>
    </row>
    <row r="63" spans="2:31" x14ac:dyDescent="0.2">
      <c r="F63" s="10"/>
      <c r="H63" s="36"/>
      <c r="N63" s="250"/>
      <c r="O63" s="251"/>
      <c r="P63" s="251"/>
      <c r="Q63" s="250"/>
      <c r="R63" s="251"/>
      <c r="S63" s="251"/>
      <c r="T63" s="250"/>
      <c r="U63" s="251"/>
      <c r="V63" s="251"/>
      <c r="W63" s="250"/>
      <c r="X63" s="251"/>
      <c r="Y63" s="251"/>
      <c r="Z63" s="250"/>
      <c r="AA63" s="251"/>
      <c r="AB63" s="251"/>
      <c r="AC63" s="250"/>
      <c r="AD63" s="72"/>
    </row>
    <row r="64" spans="2:31" x14ac:dyDescent="0.2">
      <c r="F64" s="10"/>
      <c r="H64" s="36"/>
      <c r="J64" s="252"/>
      <c r="K64" s="252"/>
      <c r="L64" s="252"/>
      <c r="M64" s="252"/>
      <c r="N64" s="253"/>
      <c r="O64" s="252"/>
      <c r="P64" s="252"/>
      <c r="Q64" s="253"/>
      <c r="R64" s="252"/>
      <c r="S64" s="252"/>
      <c r="T64" s="253"/>
      <c r="U64" s="252"/>
      <c r="V64" s="252"/>
      <c r="W64" s="253"/>
      <c r="X64" s="252"/>
      <c r="Y64" s="252"/>
      <c r="Z64" s="253"/>
      <c r="AA64" s="252"/>
      <c r="AB64" s="252"/>
      <c r="AC64" s="253"/>
      <c r="AD64" s="252"/>
      <c r="AE64" s="252"/>
    </row>
    <row r="65" spans="1:31" x14ac:dyDescent="0.2">
      <c r="F65" s="10"/>
      <c r="H65" s="36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52"/>
      <c r="AC65" s="252"/>
      <c r="AD65" s="252"/>
      <c r="AE65" s="252"/>
    </row>
    <row r="66" spans="1:31" x14ac:dyDescent="0.2">
      <c r="F66" s="10"/>
      <c r="H66" s="36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</row>
    <row r="67" spans="1:31" ht="15" x14ac:dyDescent="0.25">
      <c r="A67" s="236"/>
      <c r="B67" s="229">
        <v>48</v>
      </c>
      <c r="C67" s="230">
        <f>B67+$C68</f>
        <v>50.5</v>
      </c>
      <c r="D67" s="230">
        <f>C67+$C68</f>
        <v>53</v>
      </c>
      <c r="E67" s="230">
        <f>D67+$C68</f>
        <v>55.5</v>
      </c>
      <c r="F67" s="230">
        <f>E67+$C68</f>
        <v>58</v>
      </c>
      <c r="G67" s="230">
        <f>F67+$C68</f>
        <v>60.5</v>
      </c>
      <c r="H67" s="229">
        <v>63</v>
      </c>
      <c r="J67" s="224" t="s">
        <v>123</v>
      </c>
      <c r="K67" s="224" t="s">
        <v>124</v>
      </c>
      <c r="L67" s="224"/>
      <c r="M67" s="10"/>
      <c r="N67" s="224" t="s">
        <v>124</v>
      </c>
      <c r="O67" s="224"/>
      <c r="P67" s="10"/>
      <c r="Q67" s="224" t="s">
        <v>124</v>
      </c>
      <c r="R67" s="224"/>
      <c r="T67" s="224" t="s">
        <v>124</v>
      </c>
      <c r="U67" s="224"/>
      <c r="W67" s="224" t="s">
        <v>124</v>
      </c>
      <c r="X67" s="224"/>
      <c r="Z67" s="224" t="s">
        <v>124</v>
      </c>
      <c r="AA67" s="224"/>
      <c r="AC67" s="224" t="s">
        <v>124</v>
      </c>
      <c r="AD67" s="224"/>
    </row>
    <row r="68" spans="1:31" ht="15" x14ac:dyDescent="0.25">
      <c r="A68" s="1"/>
      <c r="B68" s="62"/>
      <c r="C68" s="231">
        <f>(H67-B67)/6</f>
        <v>2.5</v>
      </c>
      <c r="D68" s="10"/>
      <c r="E68" s="10"/>
      <c r="G68" s="10"/>
      <c r="H68" s="10"/>
      <c r="J68" s="225">
        <v>2</v>
      </c>
      <c r="K68" s="232">
        <f>B67</f>
        <v>48</v>
      </c>
      <c r="L68" s="233">
        <f>L75</f>
        <v>0.63604829012155284</v>
      </c>
      <c r="M68" s="223"/>
      <c r="N68" s="232">
        <f>C67</f>
        <v>50.5</v>
      </c>
      <c r="O68" s="233">
        <f>O75</f>
        <v>0.66917580523205089</v>
      </c>
      <c r="P68" s="223"/>
      <c r="Q68" s="232">
        <v>50</v>
      </c>
      <c r="R68" s="233">
        <f>R75</f>
        <v>0.70230332034254817</v>
      </c>
      <c r="S68" s="223"/>
      <c r="T68" s="232">
        <f>E67</f>
        <v>55.5</v>
      </c>
      <c r="U68" s="233">
        <f>U75</f>
        <v>0.73543083545304622</v>
      </c>
      <c r="V68" s="223"/>
      <c r="W68" s="232">
        <f>F67</f>
        <v>58</v>
      </c>
      <c r="X68" s="233">
        <f>X75</f>
        <v>0.76855835056354349</v>
      </c>
      <c r="Y68" s="223"/>
      <c r="Z68" s="232">
        <f>G67</f>
        <v>60.5</v>
      </c>
      <c r="AA68" s="233">
        <f>AA75</f>
        <v>0.8016858656740421</v>
      </c>
      <c r="AB68" s="223"/>
      <c r="AC68" s="232">
        <f>H67</f>
        <v>63</v>
      </c>
      <c r="AD68" s="233">
        <f>AD75</f>
        <v>0.83481338078453682</v>
      </c>
    </row>
    <row r="69" spans="1:31" ht="15" x14ac:dyDescent="0.25">
      <c r="A69" s="1"/>
      <c r="B69" s="229">
        <v>874.5</v>
      </c>
      <c r="C69" s="230">
        <f>B69+$C70</f>
        <v>916.01666666666665</v>
      </c>
      <c r="D69" s="230">
        <f>C69+$C70</f>
        <v>957.5333333333333</v>
      </c>
      <c r="E69" s="230">
        <f>D69+$C70</f>
        <v>999.05</v>
      </c>
      <c r="F69" s="230">
        <f>E69+$C70</f>
        <v>1040.5666666666666</v>
      </c>
      <c r="G69" s="230">
        <f>F69+$C70</f>
        <v>1082.0833333333333</v>
      </c>
      <c r="H69" s="229">
        <v>1123.5999999999999</v>
      </c>
      <c r="J69" s="225">
        <v>40</v>
      </c>
      <c r="K69" s="232">
        <f>B69</f>
        <v>874.5</v>
      </c>
      <c r="L69" s="233">
        <f>L78</f>
        <v>0.60027057380221549</v>
      </c>
      <c r="M69" s="223"/>
      <c r="N69" s="232">
        <f>C69</f>
        <v>916.01666666666665</v>
      </c>
      <c r="O69" s="233">
        <f>O78</f>
        <v>0.62984821413560932</v>
      </c>
      <c r="P69" s="223"/>
      <c r="Q69" s="232">
        <f>D69</f>
        <v>957.5333333333333</v>
      </c>
      <c r="R69" s="233">
        <f>R78</f>
        <v>0.65942585446900304</v>
      </c>
      <c r="S69" s="223"/>
      <c r="T69" s="232">
        <f>E69</f>
        <v>999.05</v>
      </c>
      <c r="U69" s="233">
        <f>U78</f>
        <v>0.68900349480239687</v>
      </c>
      <c r="V69" s="223"/>
      <c r="W69" s="232">
        <f>F69</f>
        <v>1040.5666666666666</v>
      </c>
      <c r="X69" s="233">
        <f>X78</f>
        <v>0.71858113513579036</v>
      </c>
      <c r="Y69" s="223"/>
      <c r="Z69" s="232">
        <f>G69</f>
        <v>1082.0833333333333</v>
      </c>
      <c r="AA69" s="233">
        <f>AA78</f>
        <v>0.74815877546918452</v>
      </c>
      <c r="AB69" s="223"/>
      <c r="AC69" s="232">
        <f>H69</f>
        <v>1123.5999999999999</v>
      </c>
      <c r="AD69" s="180">
        <f>AD78</f>
        <v>0.77773641580257713</v>
      </c>
    </row>
    <row r="70" spans="1:31" x14ac:dyDescent="0.2">
      <c r="A70" s="1"/>
      <c r="B70" s="228"/>
      <c r="C70" s="231">
        <f>(H69-B69)/6</f>
        <v>41.516666666666652</v>
      </c>
      <c r="D70" s="10"/>
      <c r="F70" s="10"/>
      <c r="G70" s="10"/>
      <c r="J70" s="160"/>
      <c r="K70" s="160"/>
      <c r="L70" s="180">
        <f>L82</f>
        <v>0.57940023928260209</v>
      </c>
      <c r="N70" s="160"/>
      <c r="O70" s="180">
        <f>O82</f>
        <v>0.60690711932935182</v>
      </c>
      <c r="Q70" s="160"/>
      <c r="R70" s="180">
        <f>R82</f>
        <v>0.63441399937610155</v>
      </c>
      <c r="T70" s="160"/>
      <c r="U70" s="180">
        <f>U82</f>
        <v>0.66192087942285138</v>
      </c>
      <c r="W70" s="160"/>
      <c r="X70" s="180">
        <f>X82</f>
        <v>0.68942775946960111</v>
      </c>
      <c r="Z70" s="160"/>
      <c r="AA70" s="180">
        <f>AA82</f>
        <v>0.71693463951635084</v>
      </c>
      <c r="AC70" s="160"/>
      <c r="AD70" s="180">
        <f>AD82</f>
        <v>0.74444151956310067</v>
      </c>
    </row>
    <row r="71" spans="1:31" x14ac:dyDescent="0.2">
      <c r="A71" s="1" t="s">
        <v>80</v>
      </c>
      <c r="J71" s="160"/>
      <c r="K71" s="226" cm="1">
        <f t="array" ref="K71">_xlfn.SINGLE(INDEX(LINEST(K68:K69,($J68:$J69)^{1}),1))</f>
        <v>21.75</v>
      </c>
      <c r="L71" s="160"/>
      <c r="N71" s="226" cm="1">
        <f t="array" ref="N71">_xlfn.SINGLE(INDEX(LINEST(N68:N69,($J68:$J69)^{1}),1))</f>
        <v>22.77675438596491</v>
      </c>
      <c r="O71" s="160"/>
      <c r="Q71" s="226" cm="1">
        <f t="array" ref="Q71">_xlfn.SINGLE(INDEX(LINEST(Q68:Q69,($J68:$J69)^{1}),1))</f>
        <v>23.882456140350875</v>
      </c>
      <c r="R71" s="160"/>
      <c r="T71" s="226" cm="1">
        <f t="array" ref="T71">_xlfn.SINGLE(INDEX(LINEST(T68:T69,($J68:$J69)^{1}),1))</f>
        <v>24.830263157894734</v>
      </c>
      <c r="U71" s="160"/>
      <c r="W71" s="226" cm="1">
        <f t="array" ref="W71">_xlfn.SINGLE(INDEX(LINEST(W68:W69,($J68:$J69)^{1}),1))</f>
        <v>25.857017543859644</v>
      </c>
      <c r="X71" s="160"/>
      <c r="Z71" s="226" cm="1">
        <f t="array" ref="Z71">_xlfn.SINGLE(INDEX(LINEST(Z68:Z69,($J68:$J69)^{1}),1))</f>
        <v>26.883771929824551</v>
      </c>
      <c r="AA71" s="160"/>
      <c r="AC71" s="226" cm="1">
        <f t="array" ref="AC71">_xlfn.SINGLE(INDEX(LINEST(AC68:AC69,($J68:$J69)^{1}),1))</f>
        <v>27.910526315789475</v>
      </c>
      <c r="AD71" s="160"/>
    </row>
    <row r="72" spans="1:31" x14ac:dyDescent="0.2">
      <c r="A72" s="61"/>
      <c r="B72" s="239" t="s">
        <v>125</v>
      </c>
      <c r="C72" s="240" t="s">
        <v>128</v>
      </c>
      <c r="J72" s="160"/>
      <c r="K72" s="226" cm="1">
        <f t="array" ref="K72">INDEX(LINEST(K68:K69,($J68:$J69)^{1}),1,2)</f>
        <v>4.5</v>
      </c>
      <c r="L72" s="160"/>
      <c r="N72" s="226" cm="1">
        <f t="array" ref="N72">INDEX(LINEST(N68:N69,($J68:$J69)^{1}),1,2)</f>
        <v>4.9464912280702151</v>
      </c>
      <c r="O72" s="160"/>
      <c r="Q72" s="226" cm="1">
        <f t="array" ref="Q72">INDEX(LINEST(Q68:Q69,($J68:$J69)^{1}),1,2)</f>
        <v>2.2350877192982921</v>
      </c>
      <c r="R72" s="160"/>
      <c r="T72" s="226" cm="1">
        <f t="array" ref="T72">INDEX(LINEST(T68:T69,($J68:$J69)^{1}),1,2)</f>
        <v>5.8394736842105885</v>
      </c>
      <c r="U72" s="160"/>
      <c r="W72" s="226" cm="1">
        <f t="array" ref="W72">INDEX(LINEST(W68:W69,($J68:$J69)^{1}),1,2)</f>
        <v>6.2859649122807468</v>
      </c>
      <c r="X72" s="160"/>
      <c r="Z72" s="226" cm="1">
        <f t="array" ref="Z72">INDEX(LINEST(Z68:Z69,($J68:$J69)^{1}),1,2)</f>
        <v>6.7324561403510188</v>
      </c>
      <c r="AA72" s="160"/>
      <c r="AC72" s="226" cm="1">
        <f t="array" ref="AC72">INDEX(LINEST(AC68:AC69,($J68:$J69)^{1}),1,2)</f>
        <v>7.1789473684209497</v>
      </c>
      <c r="AD72" s="160"/>
    </row>
    <row r="73" spans="1:31" x14ac:dyDescent="0.2">
      <c r="A73" s="61"/>
      <c r="J73" s="160"/>
      <c r="K73" s="160"/>
      <c r="L73" s="19" t="s">
        <v>11</v>
      </c>
      <c r="N73" s="160"/>
      <c r="O73" s="19" t="s">
        <v>11</v>
      </c>
      <c r="Q73" s="160"/>
      <c r="R73" s="19" t="s">
        <v>11</v>
      </c>
      <c r="T73" s="160"/>
      <c r="U73" s="19" t="s">
        <v>11</v>
      </c>
      <c r="W73" s="160"/>
      <c r="X73" s="19" t="s">
        <v>11</v>
      </c>
      <c r="Z73" s="160"/>
      <c r="AA73" s="19" t="s">
        <v>11</v>
      </c>
      <c r="AC73" s="160"/>
      <c r="AD73" s="19" t="s">
        <v>11</v>
      </c>
    </row>
    <row r="74" spans="1:31" x14ac:dyDescent="0.2">
      <c r="J74" s="17">
        <v>1</v>
      </c>
      <c r="K74" s="227">
        <f>(K71*$J74)+K72</f>
        <v>26.25</v>
      </c>
      <c r="L74" s="241">
        <v>0.69567781732044842</v>
      </c>
      <c r="N74" s="227">
        <f>(N71*$J74)+N72</f>
        <v>27.723245614035125</v>
      </c>
      <c r="O74" s="241">
        <v>0.73472179039278662</v>
      </c>
      <c r="Q74" s="227">
        <f>(Q71*$J74)+Q72</f>
        <v>26.117543859649167</v>
      </c>
      <c r="R74" s="241">
        <v>0.77376576346512349</v>
      </c>
      <c r="T74" s="227">
        <f>(T71*$J74)+T72</f>
        <v>30.669736842105323</v>
      </c>
      <c r="U74" s="241">
        <v>0.81280973653746191</v>
      </c>
      <c r="W74" s="227">
        <f>(W71*$J74)+W72</f>
        <v>32.142982456140388</v>
      </c>
      <c r="X74" s="241">
        <v>0.85185370960979856</v>
      </c>
      <c r="Z74" s="227">
        <f>(Z71*$J74)+Z72</f>
        <v>33.616228070175566</v>
      </c>
      <c r="AA74" s="241">
        <v>0.8908976826821382</v>
      </c>
      <c r="AC74" s="227">
        <f>(AC71*$J74)+AC72</f>
        <v>35.089473684210425</v>
      </c>
      <c r="AD74" s="241">
        <v>0.92994165575446941</v>
      </c>
      <c r="AE74" s="238"/>
    </row>
    <row r="75" spans="1:31" x14ac:dyDescent="0.2">
      <c r="A75" s="21"/>
      <c r="G75" s="10"/>
      <c r="H75" s="15"/>
      <c r="J75" s="31">
        <v>2</v>
      </c>
      <c r="K75" s="243">
        <f>(K71*$J75)+K72</f>
        <v>48</v>
      </c>
      <c r="L75" s="242">
        <v>0.63604829012155284</v>
      </c>
      <c r="N75" s="243">
        <f>(N71*$J75)+N72</f>
        <v>50.500000000000036</v>
      </c>
      <c r="O75" s="242">
        <v>0.66917580523205089</v>
      </c>
      <c r="Q75" s="243">
        <f>(Q71*$J75)+Q72</f>
        <v>50.000000000000043</v>
      </c>
      <c r="R75" s="242">
        <v>0.70230332034254817</v>
      </c>
      <c r="T75" s="243">
        <f>(T71*$J75)+T72</f>
        <v>55.500000000000057</v>
      </c>
      <c r="U75" s="242">
        <v>0.73543083545304622</v>
      </c>
      <c r="W75" s="243">
        <f>(W71*$J75)+W72</f>
        <v>58.000000000000036</v>
      </c>
      <c r="X75" s="242">
        <v>0.76855835056354349</v>
      </c>
      <c r="Z75" s="243">
        <f>(Z71*$J75)+Z72</f>
        <v>60.500000000000121</v>
      </c>
      <c r="AA75" s="242">
        <v>0.8016858656740421</v>
      </c>
      <c r="AC75" s="243">
        <f>(AC71*$J75)+AC72</f>
        <v>62.999999999999901</v>
      </c>
      <c r="AD75" s="242">
        <v>0.83481338078453682</v>
      </c>
      <c r="AE75" s="238"/>
    </row>
    <row r="76" spans="1:31" x14ac:dyDescent="0.2">
      <c r="J76" s="17">
        <v>3</v>
      </c>
      <c r="K76" s="227">
        <f>(K71*$J76)+K72</f>
        <v>69.75</v>
      </c>
      <c r="L76" s="241">
        <v>0.61617178105525428</v>
      </c>
      <c r="N76" s="227">
        <f>(N71*$J76)+N72</f>
        <v>73.276754385964949</v>
      </c>
      <c r="O76" s="241">
        <v>0.64732714351180565</v>
      </c>
      <c r="Q76" s="227">
        <f>(Q71*$J76)+Q72</f>
        <v>73.882456140350911</v>
      </c>
      <c r="R76" s="241">
        <v>0.67848250596835646</v>
      </c>
      <c r="T76" s="227">
        <f>(T71*$J76)+T72</f>
        <v>80.330263157894791</v>
      </c>
      <c r="U76" s="241">
        <v>0.70963786842490773</v>
      </c>
      <c r="W76" s="227">
        <f>(W71*$J76)+W72</f>
        <v>83.857017543859683</v>
      </c>
      <c r="X76" s="241">
        <v>0.74079323088145843</v>
      </c>
      <c r="Z76" s="227">
        <f>(Z71*$J76)+Z72</f>
        <v>87.383771929824675</v>
      </c>
      <c r="AA76" s="241">
        <v>0.77194859333801025</v>
      </c>
      <c r="AC76" s="227">
        <f>(AC71*$J76)+AC72</f>
        <v>90.910526315789383</v>
      </c>
      <c r="AD76" s="241">
        <v>0.8031039557945594</v>
      </c>
      <c r="AE76" s="238"/>
    </row>
    <row r="77" spans="1:31" x14ac:dyDescent="0.2">
      <c r="B77" s="34"/>
      <c r="C77" s="10"/>
      <c r="E77" s="10"/>
      <c r="F77" s="10"/>
      <c r="G77" s="18"/>
      <c r="H77" s="10"/>
      <c r="I77" s="10"/>
      <c r="J77" s="17">
        <v>4</v>
      </c>
      <c r="K77" s="227">
        <f>(K71*$J77)+K72</f>
        <v>91.5</v>
      </c>
      <c r="L77" s="241">
        <v>0.60623352652210505</v>
      </c>
      <c r="N77" s="227">
        <f>(N71*$J77)+N72</f>
        <v>96.053508771929856</v>
      </c>
      <c r="O77" s="241">
        <v>0.63640281265168297</v>
      </c>
      <c r="Q77" s="227">
        <f>(Q71*$J77)+Q72</f>
        <v>97.764912280701793</v>
      </c>
      <c r="R77" s="241">
        <v>0.66657209878126056</v>
      </c>
      <c r="T77" s="227">
        <f>(T71*$J77)+T72</f>
        <v>105.16052631578953</v>
      </c>
      <c r="U77" s="241">
        <v>0.69674138491083837</v>
      </c>
      <c r="W77" s="227">
        <f>(W71*$J77)+W72</f>
        <v>109.71403508771932</v>
      </c>
      <c r="X77" s="241">
        <v>0.72691067104041596</v>
      </c>
      <c r="Z77" s="227">
        <f>(Z71*$J77)+Z72</f>
        <v>114.26754385964922</v>
      </c>
      <c r="AA77" s="241">
        <v>0.7570799571699941</v>
      </c>
      <c r="AC77" s="227">
        <f>(AC71*$J77)+AC72</f>
        <v>118.82105263157885</v>
      </c>
      <c r="AD77" s="241">
        <v>0.78724924329957047</v>
      </c>
      <c r="AE77" s="238"/>
    </row>
    <row r="78" spans="1:31" x14ac:dyDescent="0.2">
      <c r="E78" s="62"/>
      <c r="F78" s="10"/>
      <c r="G78" s="15"/>
      <c r="H78" s="10"/>
      <c r="I78" s="10"/>
      <c r="J78" s="31">
        <v>5</v>
      </c>
      <c r="K78" s="243">
        <f>(K71*$J78)+K72</f>
        <v>113.25</v>
      </c>
      <c r="L78" s="242">
        <v>0.60027057380221549</v>
      </c>
      <c r="N78" s="243">
        <f>(N71*$J78)+N72</f>
        <v>118.83026315789476</v>
      </c>
      <c r="O78" s="242">
        <v>0.62984821413560932</v>
      </c>
      <c r="Q78" s="243">
        <f>(Q71*$J78)+Q72</f>
        <v>121.64736842105268</v>
      </c>
      <c r="R78" s="242">
        <v>0.65942585446900304</v>
      </c>
      <c r="T78" s="243">
        <f>(T71*$J78)+T72</f>
        <v>129.99078947368426</v>
      </c>
      <c r="U78" s="242">
        <v>0.68900349480239687</v>
      </c>
      <c r="W78" s="243">
        <f>(W71*$J78)+W72</f>
        <v>135.57105263157897</v>
      </c>
      <c r="X78" s="242">
        <v>0.71858113513579036</v>
      </c>
      <c r="Z78" s="243">
        <f>(Z71*$J78)+Z72</f>
        <v>141.15131578947378</v>
      </c>
      <c r="AA78" s="242">
        <v>0.74815877546918452</v>
      </c>
      <c r="AC78" s="243">
        <f>(AC71*$J78)+AC72</f>
        <v>146.73157894736832</v>
      </c>
      <c r="AD78" s="242">
        <v>0.77773641580257713</v>
      </c>
      <c r="AE78" s="238"/>
    </row>
    <row r="79" spans="1:31" x14ac:dyDescent="0.2">
      <c r="F79" s="10"/>
      <c r="G79" s="10"/>
      <c r="H79" s="84"/>
      <c r="I79" s="10"/>
      <c r="J79" s="17">
        <v>10</v>
      </c>
      <c r="K79" s="227">
        <f>(K71*$J79)+K72</f>
        <v>222</v>
      </c>
      <c r="L79" s="241">
        <v>0.58834466836243637</v>
      </c>
      <c r="N79" s="227">
        <f>(N71*$J79)+N72</f>
        <v>232.71403508771931</v>
      </c>
      <c r="O79" s="241">
        <v>0.61673901710346224</v>
      </c>
      <c r="Q79" s="227">
        <f>(Q71*$J79)+Q72</f>
        <v>241.05964912280706</v>
      </c>
      <c r="R79" s="241">
        <v>0.64513336584448799</v>
      </c>
      <c r="T79" s="227">
        <f>(T71*$J79)+T72</f>
        <v>254.14210526315793</v>
      </c>
      <c r="U79" s="241">
        <v>0.67352771458551364</v>
      </c>
      <c r="W79" s="227">
        <f>(W71*$J79)+W72</f>
        <v>264.85614035087718</v>
      </c>
      <c r="X79" s="241">
        <v>0.70192206332653939</v>
      </c>
      <c r="Z79" s="227">
        <f>(Z71*$J79)+Z72</f>
        <v>275.57017543859655</v>
      </c>
      <c r="AA79" s="241">
        <v>0.73031641206756526</v>
      </c>
      <c r="AC79" s="227">
        <f>(AC71*$J79)+AC72</f>
        <v>286.28421052631569</v>
      </c>
      <c r="AD79" s="241">
        <v>0.75871076080859068</v>
      </c>
      <c r="AE79" s="238"/>
    </row>
    <row r="80" spans="1:31" x14ac:dyDescent="0.2">
      <c r="I80" s="10"/>
      <c r="J80" s="17">
        <v>20</v>
      </c>
      <c r="K80" s="227">
        <f>(K71*$J80)+K72</f>
        <v>439.5</v>
      </c>
      <c r="L80" s="241">
        <v>0.58238171564254682</v>
      </c>
      <c r="N80" s="227">
        <f>(N71*$J80)+N72</f>
        <v>460.4815789473684</v>
      </c>
      <c r="O80" s="241">
        <v>0.61018441858738859</v>
      </c>
      <c r="Q80" s="227">
        <f>(Q71*$J80)+Q72</f>
        <v>479.88421052631583</v>
      </c>
      <c r="R80" s="241">
        <v>0.63798712153223036</v>
      </c>
      <c r="T80" s="227">
        <f>(T71*$J80)+T72</f>
        <v>502.44473684210527</v>
      </c>
      <c r="U80" s="241">
        <v>0.66578982447707225</v>
      </c>
      <c r="W80" s="227">
        <f>(W71*$J80)+W72</f>
        <v>523.42631578947362</v>
      </c>
      <c r="X80" s="241">
        <v>0.6935925274219138</v>
      </c>
      <c r="Z80" s="227">
        <f>(Z71*$J80)+Z72</f>
        <v>544.40789473684208</v>
      </c>
      <c r="AA80" s="241">
        <v>0.72139523036675568</v>
      </c>
      <c r="AC80" s="227">
        <f>(AC71*$J80)+AC72</f>
        <v>565.38947368421043</v>
      </c>
      <c r="AD80" s="241">
        <v>0.74919793331159734</v>
      </c>
      <c r="AE80" s="238"/>
    </row>
    <row r="81" spans="9:31" x14ac:dyDescent="0.2">
      <c r="I81" s="10"/>
      <c r="J81" s="17">
        <v>30</v>
      </c>
      <c r="K81" s="227">
        <f>(K71*$J81)+K72</f>
        <v>657</v>
      </c>
      <c r="L81" s="241">
        <v>0.58039406473591693</v>
      </c>
      <c r="N81" s="227">
        <f>(N71*$J81)+N72</f>
        <v>688.24912280701756</v>
      </c>
      <c r="O81" s="241">
        <v>0.60799955241536408</v>
      </c>
      <c r="Q81" s="227">
        <f>(Q71*$J81)+Q72</f>
        <v>718.70877192982448</v>
      </c>
      <c r="R81" s="241">
        <v>0.63560504009481122</v>
      </c>
      <c r="T81" s="227">
        <f>(T71*$J81)+T72</f>
        <v>750.74736842105267</v>
      </c>
      <c r="U81" s="241">
        <v>0.66321052777425837</v>
      </c>
      <c r="W81" s="227">
        <f>(W71*$J81)+W72</f>
        <v>781.99649122807011</v>
      </c>
      <c r="X81" s="241">
        <v>0.69081601545370552</v>
      </c>
      <c r="Z81" s="227">
        <f>(Z71*$J81)+Z72</f>
        <v>813.24561403508756</v>
      </c>
      <c r="AA81" s="241">
        <v>0.71842150313315245</v>
      </c>
      <c r="AC81" s="227">
        <f>(AC71*$J81)+AC72</f>
        <v>844.49473684210523</v>
      </c>
      <c r="AD81" s="241">
        <v>0.74602699081259971</v>
      </c>
      <c r="AE81" s="238"/>
    </row>
    <row r="82" spans="9:31" x14ac:dyDescent="0.2">
      <c r="I82" s="10"/>
      <c r="J82" s="31">
        <v>40</v>
      </c>
      <c r="K82" s="243">
        <f>(K71*$J82)+K72</f>
        <v>874.5</v>
      </c>
      <c r="L82" s="242">
        <v>0.57940023928260209</v>
      </c>
      <c r="N82" s="243">
        <f>(N71*$J82)+N72</f>
        <v>916.01666666666665</v>
      </c>
      <c r="O82" s="242">
        <v>0.60690711932935182</v>
      </c>
      <c r="Q82" s="243">
        <f>(Q71*$J82)+Q72</f>
        <v>957.5333333333333</v>
      </c>
      <c r="R82" s="242">
        <v>0.63441399937610155</v>
      </c>
      <c r="T82" s="243">
        <f>(T71*$J82)+T72</f>
        <v>999.05</v>
      </c>
      <c r="U82" s="242">
        <v>0.66192087942285138</v>
      </c>
      <c r="W82" s="243">
        <f>(W71*$J82)+W72</f>
        <v>1040.5666666666666</v>
      </c>
      <c r="X82" s="242">
        <v>0.68942775946960111</v>
      </c>
      <c r="Z82" s="243">
        <f>(Z71*$J82)+Z72</f>
        <v>1082.083333333333</v>
      </c>
      <c r="AA82" s="242">
        <v>0.71693463951635084</v>
      </c>
      <c r="AC82" s="243">
        <f>(AC71*$J82)+AC72</f>
        <v>1123.5999999999999</v>
      </c>
      <c r="AD82" s="242">
        <v>0.74444151956310067</v>
      </c>
      <c r="AE82" s="238"/>
    </row>
    <row r="83" spans="9:31" x14ac:dyDescent="0.2">
      <c r="I83" s="17"/>
      <c r="J83" s="17">
        <v>50</v>
      </c>
      <c r="K83" s="227">
        <f>(K71*$J83)+K72</f>
        <v>1092</v>
      </c>
      <c r="L83" s="241">
        <v>0.57880394401061308</v>
      </c>
      <c r="N83" s="227">
        <f>(N71*$J83)+N72</f>
        <v>1143.7842105263157</v>
      </c>
      <c r="O83" s="241">
        <v>0.60625165947774451</v>
      </c>
      <c r="Q83" s="227">
        <f>(Q71*$J83)+Q72</f>
        <v>1196.3578947368419</v>
      </c>
      <c r="R83" s="241">
        <v>0.63369937494487583</v>
      </c>
      <c r="T83" s="227">
        <f>(T71*$J83)+T72</f>
        <v>1247.3526315789472</v>
      </c>
      <c r="U83" s="241">
        <v>0.66114709041200714</v>
      </c>
      <c r="W83" s="227">
        <f>(W71*$J83)+W72</f>
        <v>1299.136842105263</v>
      </c>
      <c r="X83" s="241">
        <v>0.68859480587913868</v>
      </c>
      <c r="Z83" s="227">
        <f>(Z71*$J83)+Z72</f>
        <v>1350.9210526315787</v>
      </c>
      <c r="AA83" s="241">
        <v>0.71604252134626989</v>
      </c>
      <c r="AC83" s="227">
        <f>(AC71*$J83)+AC72</f>
        <v>1402.7052631578947</v>
      </c>
      <c r="AD83" s="241">
        <v>0.74349023681340143</v>
      </c>
      <c r="AE83" s="238"/>
    </row>
    <row r="84" spans="9:31" x14ac:dyDescent="0.2">
      <c r="I84" s="10"/>
      <c r="N84" s="250"/>
      <c r="O84" s="251"/>
      <c r="P84" s="251"/>
      <c r="Q84" s="250"/>
      <c r="R84" s="251"/>
      <c r="S84" s="251"/>
      <c r="T84" s="250"/>
      <c r="U84" s="251"/>
      <c r="V84" s="251"/>
      <c r="W84" s="250"/>
      <c r="X84" s="251"/>
      <c r="Y84" s="251"/>
      <c r="Z84" s="250"/>
      <c r="AA84" s="251"/>
      <c r="AB84" s="251"/>
      <c r="AC84" s="250"/>
      <c r="AD84" s="72"/>
    </row>
    <row r="85" spans="9:31" x14ac:dyDescent="0.2">
      <c r="K85" s="252"/>
      <c r="L85" s="252"/>
      <c r="M85" s="252"/>
      <c r="N85" s="253"/>
      <c r="O85" s="252"/>
      <c r="P85" s="252"/>
      <c r="Q85" s="253"/>
      <c r="R85" s="252"/>
      <c r="S85" s="252"/>
      <c r="T85" s="253"/>
      <c r="U85" s="252"/>
      <c r="V85" s="252"/>
      <c r="W85" s="253"/>
      <c r="X85" s="252"/>
      <c r="Y85" s="252"/>
      <c r="Z85" s="253"/>
      <c r="AA85" s="252"/>
      <c r="AB85" s="252"/>
      <c r="AC85" s="253"/>
      <c r="AD85" s="252"/>
    </row>
    <row r="86" spans="9:31" x14ac:dyDescent="0.2">
      <c r="K86" s="252"/>
      <c r="L86" s="252"/>
      <c r="M86" s="252"/>
      <c r="N86" s="253"/>
      <c r="O86" s="252"/>
      <c r="P86" s="252"/>
      <c r="Q86" s="253"/>
      <c r="R86" s="252"/>
      <c r="S86" s="252"/>
      <c r="T86" s="253"/>
      <c r="U86" s="252"/>
      <c r="V86" s="252"/>
      <c r="W86" s="253"/>
      <c r="X86" s="252"/>
      <c r="Y86" s="252"/>
      <c r="Z86" s="253"/>
      <c r="AA86" s="252"/>
      <c r="AB86" s="252"/>
      <c r="AC86" s="253"/>
      <c r="AD86" s="252"/>
    </row>
    <row r="87" spans="9:31" x14ac:dyDescent="0.2">
      <c r="K87" s="252"/>
      <c r="L87" s="252"/>
      <c r="M87" s="252"/>
      <c r="N87" s="253"/>
      <c r="O87" s="252"/>
      <c r="P87" s="252"/>
      <c r="Q87" s="253"/>
      <c r="R87" s="252"/>
      <c r="S87" s="252"/>
      <c r="T87" s="255"/>
      <c r="U87" s="252"/>
      <c r="V87" s="252"/>
      <c r="W87" s="253"/>
      <c r="X87" s="252"/>
      <c r="Y87" s="252"/>
      <c r="Z87" s="253"/>
      <c r="AA87" s="252"/>
      <c r="AB87" s="252"/>
      <c r="AC87" s="253"/>
      <c r="AD87" s="252"/>
    </row>
    <row r="88" spans="9:31" x14ac:dyDescent="0.2">
      <c r="K88" s="252"/>
      <c r="L88" s="252"/>
      <c r="M88" s="252"/>
      <c r="N88" s="253"/>
      <c r="O88" s="252"/>
      <c r="P88" s="252"/>
      <c r="Q88" s="253"/>
      <c r="R88" s="252"/>
      <c r="S88" s="252"/>
      <c r="T88" s="255"/>
      <c r="U88" s="252"/>
      <c r="V88" s="252"/>
      <c r="W88" s="253"/>
      <c r="X88" s="252"/>
      <c r="Y88" s="252"/>
      <c r="Z88" s="253"/>
      <c r="AA88" s="252"/>
      <c r="AB88" s="252"/>
      <c r="AC88" s="253"/>
      <c r="AD88" s="252"/>
    </row>
    <row r="89" spans="9:31" x14ac:dyDescent="0.2">
      <c r="K89" s="252"/>
      <c r="L89" s="252"/>
      <c r="M89" s="252"/>
      <c r="N89" s="253"/>
      <c r="O89" s="252"/>
      <c r="P89" s="252"/>
      <c r="Q89" s="253"/>
      <c r="R89" s="252"/>
      <c r="S89" s="252"/>
      <c r="T89" s="255"/>
      <c r="U89" s="252"/>
      <c r="V89" s="252"/>
      <c r="W89" s="253"/>
      <c r="X89" s="252"/>
      <c r="Y89" s="252"/>
      <c r="Z89" s="253"/>
      <c r="AA89" s="252"/>
      <c r="AB89" s="252"/>
      <c r="AC89" s="253"/>
      <c r="AD89" s="252"/>
    </row>
    <row r="90" spans="9:31" x14ac:dyDescent="0.2">
      <c r="K90" s="252"/>
      <c r="L90" s="252"/>
      <c r="M90" s="252"/>
      <c r="N90" s="253"/>
      <c r="O90" s="252"/>
      <c r="P90" s="252"/>
      <c r="Q90" s="253"/>
      <c r="R90" s="252"/>
      <c r="S90" s="252"/>
      <c r="T90" s="255"/>
      <c r="U90" s="252"/>
      <c r="V90" s="252"/>
      <c r="W90" s="253"/>
      <c r="X90" s="252"/>
      <c r="Y90" s="252"/>
      <c r="Z90" s="253"/>
      <c r="AA90" s="252"/>
      <c r="AB90" s="252"/>
      <c r="AC90" s="253"/>
      <c r="AD90" s="252"/>
    </row>
    <row r="91" spans="9:31" x14ac:dyDescent="0.2">
      <c r="K91" s="252"/>
      <c r="L91" s="252"/>
      <c r="M91" s="252"/>
      <c r="N91" s="253"/>
      <c r="O91" s="252"/>
      <c r="P91" s="252"/>
      <c r="Q91" s="253"/>
      <c r="R91" s="252"/>
      <c r="S91" s="252"/>
      <c r="T91" s="255"/>
      <c r="U91" s="252"/>
      <c r="V91" s="252"/>
      <c r="W91" s="253"/>
      <c r="X91" s="252"/>
      <c r="Y91" s="252"/>
      <c r="Z91" s="253"/>
      <c r="AA91" s="252"/>
      <c r="AB91" s="252"/>
      <c r="AC91" s="253"/>
      <c r="AD91" s="252"/>
    </row>
    <row r="92" spans="9:31" x14ac:dyDescent="0.2">
      <c r="AB92" s="252"/>
      <c r="AC92" s="253"/>
      <c r="AD92" s="252"/>
    </row>
    <row r="93" spans="9:31" x14ac:dyDescent="0.2">
      <c r="AB93" s="252"/>
      <c r="AC93" s="252"/>
      <c r="AD93" s="252"/>
    </row>
    <row r="94" spans="9:31" x14ac:dyDescent="0.2">
      <c r="AB94" s="252"/>
      <c r="AC94" s="252"/>
      <c r="AD94" s="252"/>
    </row>
    <row r="130" spans="1:38" x14ac:dyDescent="0.2">
      <c r="A130" s="19" t="s">
        <v>11</v>
      </c>
      <c r="Q130" s="101"/>
      <c r="R130" s="117" t="s">
        <v>73</v>
      </c>
      <c r="S130" s="101"/>
      <c r="T130" s="101" t="s">
        <v>50</v>
      </c>
    </row>
    <row r="131" spans="1:38" x14ac:dyDescent="0.2">
      <c r="A131" s="268">
        <v>0.69567781732044842</v>
      </c>
      <c r="Q131" s="103" t="s">
        <v>9</v>
      </c>
      <c r="R131" s="101" t="s">
        <v>47</v>
      </c>
      <c r="S131" s="104" t="s">
        <v>56</v>
      </c>
      <c r="T131" s="101" t="s">
        <v>51</v>
      </c>
    </row>
    <row r="132" spans="1:38" ht="15" x14ac:dyDescent="0.25">
      <c r="A132" s="269">
        <v>0.63604829012155284</v>
      </c>
      <c r="P132" s="157">
        <v>34.838084318002032</v>
      </c>
      <c r="Q132" s="92">
        <v>1</v>
      </c>
      <c r="R132" s="111">
        <v>0.92510000000000003</v>
      </c>
      <c r="S132" s="98">
        <v>34.838084318002032</v>
      </c>
      <c r="T132" s="157">
        <v>34.838084318002032</v>
      </c>
    </row>
    <row r="133" spans="1:38" ht="15" x14ac:dyDescent="0.25">
      <c r="A133" s="268">
        <v>0.61617178105525428</v>
      </c>
      <c r="P133" s="158">
        <v>61.383717909786299</v>
      </c>
      <c r="Q133" s="92">
        <v>2</v>
      </c>
      <c r="R133" s="112">
        <v>0.81499999999999995</v>
      </c>
      <c r="S133" s="94">
        <v>30.691858954893149</v>
      </c>
      <c r="T133" s="158">
        <v>59.2</v>
      </c>
    </row>
    <row r="134" spans="1:38" ht="15" x14ac:dyDescent="0.25">
      <c r="A134" s="268">
        <v>0.60623352652210505</v>
      </c>
      <c r="P134" s="91">
        <v>83.602364269770291</v>
      </c>
      <c r="Q134" s="92">
        <v>3</v>
      </c>
      <c r="R134" s="113">
        <v>0.74</v>
      </c>
      <c r="S134" s="93">
        <v>27.867454756590096</v>
      </c>
      <c r="T134" s="91">
        <v>83.602364269770291</v>
      </c>
    </row>
    <row r="135" spans="1:38" ht="15" x14ac:dyDescent="0.25">
      <c r="A135" s="269">
        <v>0.60027057380221549</v>
      </c>
      <c r="P135" s="91">
        <v>106.19759785619469</v>
      </c>
      <c r="Q135" s="92">
        <v>4</v>
      </c>
      <c r="R135" s="113">
        <v>0.70499999999999996</v>
      </c>
      <c r="S135" s="93">
        <v>26.549399464048673</v>
      </c>
      <c r="T135" s="91">
        <v>106.19759785619469</v>
      </c>
    </row>
    <row r="136" spans="1:38" ht="15" x14ac:dyDescent="0.25">
      <c r="A136" s="268">
        <v>0.58834466836243637</v>
      </c>
      <c r="P136" s="158">
        <v>127.75721656990798</v>
      </c>
      <c r="Q136" s="92">
        <v>5</v>
      </c>
      <c r="R136" s="112">
        <v>0.67849999999999999</v>
      </c>
      <c r="S136" s="94">
        <v>25.551443313981597</v>
      </c>
      <c r="T136" s="158">
        <v>129</v>
      </c>
    </row>
    <row r="137" spans="1:38" ht="15" x14ac:dyDescent="0.25">
      <c r="A137" s="268">
        <v>0.58238171564254682</v>
      </c>
      <c r="P137" s="91">
        <v>241.01582492186029</v>
      </c>
      <c r="Q137" s="92">
        <v>10</v>
      </c>
      <c r="R137" s="154">
        <v>0.64</v>
      </c>
      <c r="S137" s="93">
        <v>24.101582492186029</v>
      </c>
      <c r="T137" s="91">
        <v>241.01582492186029</v>
      </c>
    </row>
    <row r="138" spans="1:38" ht="15" x14ac:dyDescent="0.25">
      <c r="A138" s="268">
        <v>0.58039406473591693</v>
      </c>
      <c r="P138" s="91">
        <v>489.56339437252871</v>
      </c>
      <c r="Q138" s="92">
        <v>20</v>
      </c>
      <c r="R138" s="154">
        <v>0.65</v>
      </c>
      <c r="S138" s="93">
        <v>24.478169718626436</v>
      </c>
      <c r="T138" s="91">
        <v>489.56339437252871</v>
      </c>
    </row>
    <row r="139" spans="1:38" ht="15" x14ac:dyDescent="0.25">
      <c r="A139" s="269">
        <v>0.57940023928260209</v>
      </c>
      <c r="P139" s="91">
        <v>751.29151674861146</v>
      </c>
      <c r="Q139" s="92">
        <v>30</v>
      </c>
      <c r="R139" s="154">
        <v>0.66500000000000004</v>
      </c>
      <c r="S139" s="93">
        <v>25.04305055828705</v>
      </c>
      <c r="T139" s="91">
        <v>751.29151674861146</v>
      </c>
    </row>
    <row r="140" spans="1:38" ht="15" x14ac:dyDescent="0.25">
      <c r="A140" s="268">
        <v>0.57880394401061308</v>
      </c>
      <c r="P140" s="158">
        <v>1024.3172559179066</v>
      </c>
      <c r="Q140" s="92">
        <v>40</v>
      </c>
      <c r="R140" s="155">
        <v>0.68</v>
      </c>
      <c r="S140" s="94">
        <v>25.607931397947663</v>
      </c>
      <c r="T140" s="158">
        <v>1024.3172559179066</v>
      </c>
    </row>
    <row r="141" spans="1:38" ht="15" x14ac:dyDescent="0.25">
      <c r="P141" s="91">
        <v>1318.0552925414236</v>
      </c>
      <c r="Q141" s="92">
        <v>50</v>
      </c>
      <c r="R141" s="154">
        <v>0.7</v>
      </c>
      <c r="S141" s="93">
        <v>26.361105850828469</v>
      </c>
      <c r="T141" s="91">
        <v>1318.0552925414236</v>
      </c>
    </row>
    <row r="143" spans="1:38" x14ac:dyDescent="0.2">
      <c r="Q143" s="252"/>
      <c r="R143" s="252"/>
      <c r="S143" s="252"/>
      <c r="T143" s="252"/>
      <c r="AK143" s="223"/>
      <c r="AL143" s="223"/>
    </row>
    <row r="144" spans="1:38" x14ac:dyDescent="0.2">
      <c r="P144" t="s">
        <v>180</v>
      </c>
      <c r="AK144" s="223"/>
    </row>
    <row r="145" spans="1:48" ht="15" x14ac:dyDescent="0.25">
      <c r="A145" s="236"/>
      <c r="B145" s="229">
        <v>48</v>
      </c>
      <c r="C145" s="230">
        <f>B145+$C146</f>
        <v>50.5</v>
      </c>
      <c r="D145" s="230">
        <f>C145+$C146</f>
        <v>53</v>
      </c>
      <c r="E145" s="230">
        <f>D145+$C146</f>
        <v>55.5</v>
      </c>
      <c r="F145" s="230">
        <f>E145+$C146</f>
        <v>58</v>
      </c>
      <c r="G145" s="230">
        <f>F145+$C146</f>
        <v>60.5</v>
      </c>
      <c r="H145" s="229">
        <v>63</v>
      </c>
      <c r="J145" s="224" t="s">
        <v>123</v>
      </c>
      <c r="K145" s="224" t="s">
        <v>124</v>
      </c>
      <c r="L145" s="224"/>
      <c r="M145" s="224"/>
      <c r="Q145" s="1" t="s">
        <v>179</v>
      </c>
      <c r="R145" t="s">
        <v>178</v>
      </c>
      <c r="AD145" s="224" t="s">
        <v>123</v>
      </c>
      <c r="AE145" s="224" t="s">
        <v>124</v>
      </c>
      <c r="AF145" s="224"/>
      <c r="AG145" s="285" t="s">
        <v>184</v>
      </c>
      <c r="AK145" s="223"/>
      <c r="AR145" t="s">
        <v>195</v>
      </c>
    </row>
    <row r="146" spans="1:48" ht="15" x14ac:dyDescent="0.25">
      <c r="A146" s="1"/>
      <c r="B146" s="62"/>
      <c r="C146" s="231">
        <f>(H145-B145)/6</f>
        <v>2.5</v>
      </c>
      <c r="D146" s="10"/>
      <c r="E146" s="10"/>
      <c r="G146" s="10"/>
      <c r="H146" s="10"/>
      <c r="J146" s="225">
        <v>2</v>
      </c>
      <c r="K146" s="232">
        <f>B145</f>
        <v>48</v>
      </c>
      <c r="L146" s="233"/>
      <c r="Q146" s="270">
        <v>-0.141675</v>
      </c>
      <c r="R146" s="270">
        <v>7.2627999999999998E-2</v>
      </c>
      <c r="AD146" s="225">
        <v>1</v>
      </c>
      <c r="AE146" s="232">
        <v>35.1</v>
      </c>
      <c r="AF146" s="233"/>
      <c r="AG146" s="286" cm="1">
        <f t="array" ref="AG146">_xlfn.SINGLE(INDEX(LINEST(AF$154:AF$203,($AD$154:$AD$203)^{1,2,3}),1))</f>
        <v>1.2516721627128433E-4</v>
      </c>
      <c r="AK146" s="223"/>
    </row>
    <row r="147" spans="1:48" ht="15" x14ac:dyDescent="0.25">
      <c r="A147" s="1"/>
      <c r="B147" s="229">
        <v>874.5</v>
      </c>
      <c r="C147" s="230">
        <f>B147+$C148</f>
        <v>916.01666666666665</v>
      </c>
      <c r="D147" s="230">
        <f>C147+$C148</f>
        <v>957.5333333333333</v>
      </c>
      <c r="E147" s="230">
        <f>D147+$C148</f>
        <v>999.05</v>
      </c>
      <c r="F147" s="230">
        <f>E147+$C148</f>
        <v>1040.5666666666666</v>
      </c>
      <c r="G147" s="230">
        <f>F147+$C148</f>
        <v>1082.0833333333333</v>
      </c>
      <c r="H147" s="229">
        <v>1123.5999999999999</v>
      </c>
      <c r="J147" s="225">
        <v>40</v>
      </c>
      <c r="K147" s="232">
        <f>B147</f>
        <v>874.5</v>
      </c>
      <c r="L147" s="233"/>
      <c r="Q147" s="271">
        <v>24.426019</v>
      </c>
      <c r="R147" s="271">
        <v>22.530676</v>
      </c>
      <c r="AD147" s="225">
        <v>50</v>
      </c>
      <c r="AE147" s="232">
        <v>1317.1</v>
      </c>
      <c r="AF147" s="233"/>
      <c r="AG147" s="286" cm="1">
        <f t="array" ref="AG147">_xlfn.SINGLE(INDEX(LINEST(AF$154:AF$203,($AD$154:$AD$203)^{1,2,3}),2))</f>
        <v>-8.5855684854333883E-2</v>
      </c>
      <c r="AK147" s="223"/>
      <c r="AP147" s="1"/>
      <c r="AR147" t="s">
        <v>196</v>
      </c>
    </row>
    <row r="148" spans="1:48" x14ac:dyDescent="0.2">
      <c r="A148" s="1"/>
      <c r="B148" s="228"/>
      <c r="C148" s="231">
        <f>(H147-B147)/6</f>
        <v>41.516666666666652</v>
      </c>
      <c r="D148" s="10"/>
      <c r="F148" s="10"/>
      <c r="G148" s="10"/>
      <c r="J148" s="160"/>
      <c r="L148" s="180"/>
      <c r="P148" s="252"/>
      <c r="Q148" s="271">
        <v>10.860497000000001</v>
      </c>
      <c r="R148" s="271">
        <v>9.0380929999999999</v>
      </c>
      <c r="S148" s="271"/>
      <c r="T148" t="s">
        <v>181</v>
      </c>
      <c r="AD148" s="160"/>
      <c r="AF148" s="180"/>
      <c r="AG148" s="286" cm="1">
        <f t="array" ref="AG148">_xlfn.SINGLE(INDEX(LINEST(AF$154:AF$203,($AD$154:$AD$203)^{1,2,3}),3))</f>
        <v>4.0779358254002673</v>
      </c>
      <c r="AI148" s="160"/>
      <c r="AK148" s="223"/>
      <c r="AR148" t="s">
        <v>197</v>
      </c>
      <c r="AV148" t="s">
        <v>199</v>
      </c>
    </row>
    <row r="149" spans="1:48" x14ac:dyDescent="0.2">
      <c r="A149" s="1" t="s">
        <v>80</v>
      </c>
      <c r="J149" s="160"/>
      <c r="K149" s="226" cm="1">
        <f t="array" ref="K149">_xlfn.SINGLE(INDEX(LINEST(K146:K147,($J146:$J147)^{1}),1))</f>
        <v>21.75</v>
      </c>
      <c r="L149" s="160"/>
      <c r="AD149" s="160"/>
      <c r="AE149" s="279" cm="1">
        <f t="array" ref="AE149">_xlfn.SINGLE(INDEX(LINEST(AE146:AE147,($AD146:$AD147)^{1}),1))</f>
        <v>26.16326530612244</v>
      </c>
      <c r="AF149" s="160"/>
      <c r="AG149" s="286" cm="1">
        <f t="array" ref="AG149">_xlfn.SINGLE(INDEX(LINEST(AF$154:AF$203,($AD$154:$AD$203)^{1,2,3}),4))</f>
        <v>-4.8245217482609588</v>
      </c>
      <c r="AJ149" s="160" t="s">
        <v>187</v>
      </c>
      <c r="AK149" s="223"/>
      <c r="AR149" s="1" t="s">
        <v>198</v>
      </c>
      <c r="AV149" s="1" t="s">
        <v>200</v>
      </c>
    </row>
    <row r="150" spans="1:48" x14ac:dyDescent="0.2">
      <c r="A150" s="1"/>
      <c r="J150" s="160"/>
      <c r="K150" s="226" cm="1">
        <f t="array" ref="K150">INDEX(LINEST(K146:K147,($J146:$J147)^{1}),1,2)</f>
        <v>4.5</v>
      </c>
      <c r="L150" s="160"/>
      <c r="AD150" s="160"/>
      <c r="AE150" s="279" cm="1">
        <f t="array" ref="AE150">INDEX(LINEST(AE146:AE147,($AD146:$AD147)^{1}),1,2)</f>
        <v>8.9367346938777246</v>
      </c>
      <c r="AF150" s="160"/>
      <c r="AJ150" s="160" t="s">
        <v>188</v>
      </c>
      <c r="AK150" s="223"/>
    </row>
    <row r="151" spans="1:48" x14ac:dyDescent="0.2">
      <c r="A151" s="1"/>
      <c r="B151" s="18">
        <v>2.5150000000000001</v>
      </c>
      <c r="C151" s="234" t="s">
        <v>37</v>
      </c>
      <c r="J151" s="160"/>
      <c r="K151" s="226"/>
      <c r="L151" s="160"/>
      <c r="U151" s="10"/>
      <c r="AG151" s="63" t="s">
        <v>186</v>
      </c>
      <c r="AJ151" s="160" t="s">
        <v>124</v>
      </c>
      <c r="AK151" s="223"/>
      <c r="AM151" s="160" t="s">
        <v>190</v>
      </c>
      <c r="AN151" s="160"/>
      <c r="AQ151" s="101"/>
      <c r="AR151" s="117" t="s">
        <v>73</v>
      </c>
      <c r="AS151" s="101"/>
      <c r="AT151" s="101" t="s">
        <v>50</v>
      </c>
    </row>
    <row r="152" spans="1:48" x14ac:dyDescent="0.2">
      <c r="A152" s="61"/>
      <c r="B152" s="18">
        <v>4.55</v>
      </c>
      <c r="C152" s="235" t="s">
        <v>1</v>
      </c>
      <c r="F152" s="10"/>
      <c r="G152" s="10"/>
      <c r="H152" s="10"/>
      <c r="J152" s="2" t="s">
        <v>123</v>
      </c>
      <c r="K152" s="2" t="s">
        <v>51</v>
      </c>
      <c r="L152" s="2" t="s">
        <v>177</v>
      </c>
      <c r="M152" s="19" t="s">
        <v>11</v>
      </c>
      <c r="O152" s="252"/>
      <c r="Q152" s="252"/>
      <c r="R152" s="252"/>
      <c r="V152" s="292" t="s">
        <v>31</v>
      </c>
      <c r="AG152" s="63" t="s">
        <v>31</v>
      </c>
      <c r="AJ152" s="160" t="s">
        <v>189</v>
      </c>
      <c r="AK152" s="223"/>
      <c r="AM152" s="160" t="s">
        <v>191</v>
      </c>
      <c r="AN152" s="1" t="s">
        <v>194</v>
      </c>
      <c r="AQ152" s="103" t="s">
        <v>9</v>
      </c>
      <c r="AR152" s="101" t="s">
        <v>47</v>
      </c>
      <c r="AS152" s="104" t="s">
        <v>56</v>
      </c>
      <c r="AT152" s="101" t="s">
        <v>51</v>
      </c>
    </row>
    <row r="153" spans="1:48" ht="15" x14ac:dyDescent="0.25">
      <c r="B153" s="18">
        <v>85</v>
      </c>
      <c r="C153" s="234" t="s">
        <v>8</v>
      </c>
      <c r="E153" s="10"/>
      <c r="F153" s="10"/>
      <c r="G153" s="10"/>
      <c r="H153" s="10"/>
      <c r="J153" s="17">
        <v>1</v>
      </c>
      <c r="K153" s="227">
        <f>(K$149*$J153)+K150</f>
        <v>26.25</v>
      </c>
      <c r="L153" s="227">
        <f>K153/J153</f>
        <v>26.25</v>
      </c>
      <c r="M153" s="78">
        <f t="shared" ref="M153:M184" si="3">SQRT(12*32.2*L153^2/(4*$B$153*($B$152*56)*$B$151^2))</f>
        <v>0.69706087461134392</v>
      </c>
      <c r="O153" s="252"/>
      <c r="Q153" s="273" t="s">
        <v>123</v>
      </c>
      <c r="R153" s="281" t="s">
        <v>73</v>
      </c>
      <c r="U153" s="19" t="s">
        <v>123</v>
      </c>
      <c r="V153" s="293" t="s">
        <v>73</v>
      </c>
      <c r="W153" s="2" t="s">
        <v>177</v>
      </c>
      <c r="X153" s="19" t="s">
        <v>11</v>
      </c>
      <c r="AC153" s="296" t="s">
        <v>183</v>
      </c>
      <c r="AD153" s="19" t="s">
        <v>123</v>
      </c>
      <c r="AE153" s="282" t="s">
        <v>124</v>
      </c>
      <c r="AF153" s="290" t="s">
        <v>182</v>
      </c>
      <c r="AG153" s="288" t="s">
        <v>185</v>
      </c>
      <c r="AI153" s="2" t="s">
        <v>123</v>
      </c>
      <c r="AJ153" s="2" t="s">
        <v>31</v>
      </c>
      <c r="AK153" s="301" t="s">
        <v>192</v>
      </c>
      <c r="AL153" s="19" t="s">
        <v>11</v>
      </c>
      <c r="AM153" s="300" t="s">
        <v>192</v>
      </c>
      <c r="AN153" s="66" t="s">
        <v>193</v>
      </c>
      <c r="AQ153" s="92">
        <v>1</v>
      </c>
      <c r="AR153" s="303">
        <v>0.95417188285050469</v>
      </c>
      <c r="AS153" s="161">
        <v>34.838084318002032</v>
      </c>
      <c r="AT153" s="304">
        <v>34.838084318002032</v>
      </c>
      <c r="AU153" s="305"/>
    </row>
    <row r="154" spans="1:48" ht="15" x14ac:dyDescent="0.25">
      <c r="A154" s="21"/>
      <c r="B154" s="91">
        <f>(B152*2.20462*25.4*12)</f>
        <v>3057.4552007999996</v>
      </c>
      <c r="C154" s="97" t="s">
        <v>49</v>
      </c>
      <c r="D154" s="10"/>
      <c r="E154" s="10"/>
      <c r="F154" s="10"/>
      <c r="G154" s="24" t="s">
        <v>13</v>
      </c>
      <c r="H154" s="10"/>
      <c r="J154" s="17">
        <v>2</v>
      </c>
      <c r="K154" s="227">
        <f t="shared" ref="K154:K185" si="4">(K$149*$J154)+K$150</f>
        <v>48</v>
      </c>
      <c r="L154" s="227">
        <f t="shared" ref="L154:L202" si="5">K154/J154</f>
        <v>24</v>
      </c>
      <c r="M154" s="78">
        <f t="shared" si="3"/>
        <v>0.63731279964465726</v>
      </c>
      <c r="P154" s="252"/>
      <c r="Q154" s="274">
        <v>1</v>
      </c>
      <c r="R154" s="275">
        <f t="shared" ref="R154:R163" si="6">(Q$146*(Q154)^2)+(Q$147*(Q154)^1)+(Q$148)</f>
        <v>35.144841</v>
      </c>
      <c r="S154" s="271"/>
      <c r="U154" s="17">
        <v>1</v>
      </c>
      <c r="V154" s="294">
        <v>35.144841</v>
      </c>
      <c r="W154" s="227">
        <f>V154/U154</f>
        <v>35.144841</v>
      </c>
      <c r="X154" s="78">
        <f t="shared" ref="X154:X185" si="7">SQRT(12*32.2*W154^2/(4*$B$153*($B$152*56)*$B$151^2))</f>
        <v>0.93326070878234735</v>
      </c>
      <c r="AC154" s="297">
        <v>-4.4840999999834708E-2</v>
      </c>
      <c r="AD154" s="17">
        <v>1</v>
      </c>
      <c r="AE154" s="227">
        <f>(AE$149*AD154)+AE$150</f>
        <v>35.100000000000165</v>
      </c>
      <c r="AF154" s="283">
        <f>AE154-V154</f>
        <v>-4.4840999999834708E-2</v>
      </c>
      <c r="AG154" s="287">
        <f t="shared" ref="AG154:AG185" si="8">(AG$146*($AD154)^3)+(AG$147*($AD154)^2)+(AG$148*($AD154)^1)+(AG$149)</f>
        <v>-0.83231644049875397</v>
      </c>
      <c r="AI154" s="17">
        <v>1</v>
      </c>
      <c r="AJ154" s="227">
        <f t="shared" ref="AJ154:AJ185" si="9">AE154-AG154</f>
        <v>35.932316440498916</v>
      </c>
      <c r="AK154" s="227">
        <f>AJ154/AI154</f>
        <v>35.932316440498916</v>
      </c>
      <c r="AL154" s="78">
        <f>SQRT(12*32.2*AK154^2/(4*$B$153*($B$152*56)*$B$151^2))</f>
        <v>0.95417188285050469</v>
      </c>
      <c r="AM154" s="227">
        <f>(AL154*$B$151)*SQRT(4*$B$153*$B$154/32.2)/12</f>
        <v>35.931465604504076</v>
      </c>
      <c r="AN154" s="227">
        <f>(AI154*AM154)</f>
        <v>35.931465604504076</v>
      </c>
      <c r="AQ154" s="92">
        <v>2</v>
      </c>
      <c r="AR154" s="303">
        <v>0.77372876535005097</v>
      </c>
      <c r="AS154" s="161">
        <v>30.691858954893149</v>
      </c>
      <c r="AT154" s="304">
        <v>59.2</v>
      </c>
      <c r="AU154" s="305"/>
    </row>
    <row r="155" spans="1:48" ht="15" x14ac:dyDescent="0.25">
      <c r="B155" s="2" t="s">
        <v>10</v>
      </c>
      <c r="C155" s="19" t="s">
        <v>9</v>
      </c>
      <c r="D155" s="19" t="s">
        <v>10</v>
      </c>
      <c r="E155" s="25" t="s">
        <v>12</v>
      </c>
      <c r="F155" s="19" t="s">
        <v>11</v>
      </c>
      <c r="G155" s="26" t="s">
        <v>11</v>
      </c>
      <c r="H155" s="19" t="s">
        <v>11</v>
      </c>
      <c r="J155" s="17">
        <v>3</v>
      </c>
      <c r="K155" s="227">
        <f t="shared" si="4"/>
        <v>69.75</v>
      </c>
      <c r="L155" s="227">
        <f t="shared" si="5"/>
        <v>23.25</v>
      </c>
      <c r="M155" s="78">
        <f t="shared" si="3"/>
        <v>0.6173967746557617</v>
      </c>
      <c r="P155" s="252"/>
      <c r="Q155" s="274">
        <v>2</v>
      </c>
      <c r="R155" s="275">
        <f t="shared" si="6"/>
        <v>59.145835000000005</v>
      </c>
      <c r="U155" s="17">
        <v>2</v>
      </c>
      <c r="V155" s="294">
        <v>59.145835000000005</v>
      </c>
      <c r="W155" s="227">
        <f t="shared" ref="W155:W203" si="10">V155/U155</f>
        <v>29.572917500000003</v>
      </c>
      <c r="X155" s="78">
        <f t="shared" si="7"/>
        <v>0.78529995189939505</v>
      </c>
      <c r="AC155" s="297">
        <v>2.1174303061225999</v>
      </c>
      <c r="AD155" s="17">
        <v>2</v>
      </c>
      <c r="AE155" s="227">
        <f t="shared" ref="AE155:AE203" si="11">(AE$149*AD155)+AE$150</f>
        <v>61.263265306122605</v>
      </c>
      <c r="AF155" s="283">
        <v>3.1</v>
      </c>
      <c r="AG155" s="287">
        <f t="shared" si="8"/>
        <v>2.9889285008524107</v>
      </c>
      <c r="AI155" s="17">
        <v>2</v>
      </c>
      <c r="AJ155" s="227">
        <f t="shared" si="9"/>
        <v>58.274336805270195</v>
      </c>
      <c r="AK155" s="227">
        <f t="shared" ref="AK155:AK203" si="12">AJ155/AI155</f>
        <v>29.137168402635098</v>
      </c>
      <c r="AL155" s="78">
        <f t="shared" ref="AL155:AL185" si="13">SQRT(12*32.2*AK155^2/(4*$B$153*($B$152*56)*$B$151^2))</f>
        <v>0.77372876535005097</v>
      </c>
      <c r="AM155" s="227">
        <f t="shared" ref="AM155:AM203" si="14">(AL155*$B$151)*SQRT(4*$B$153*$B$154/32.2)/12</f>
        <v>29.136478467943423</v>
      </c>
      <c r="AN155" s="227">
        <f t="shared" ref="AN155:AN203" si="15">(AI155*AM155)</f>
        <v>58.272956935886846</v>
      </c>
      <c r="AQ155" s="92">
        <v>3</v>
      </c>
      <c r="AR155" s="303">
        <v>0.71508767904061554</v>
      </c>
      <c r="AS155" s="161">
        <v>27.867454756590096</v>
      </c>
      <c r="AT155" s="304">
        <v>83.602364269770291</v>
      </c>
      <c r="AU155" s="305"/>
    </row>
    <row r="156" spans="1:48" ht="15" x14ac:dyDescent="0.25">
      <c r="B156" s="76"/>
      <c r="C156" s="17">
        <v>1</v>
      </c>
      <c r="D156" s="218">
        <v>33.561842105263182</v>
      </c>
      <c r="E156" s="32">
        <f>D156/C156</f>
        <v>33.561842105263182</v>
      </c>
      <c r="F156" s="78">
        <f t="shared" ref="F156:F165" si="16">SQRT(12*32.2*E156^2/(4*$B$153*($B$152*56)*$B$151^2))</f>
        <v>0.89122464805571744</v>
      </c>
      <c r="G156" s="80">
        <v>0.69992745230334086</v>
      </c>
      <c r="H156" s="241">
        <f>(F156)</f>
        <v>0.89122464805571744</v>
      </c>
      <c r="I156" s="10"/>
      <c r="J156" s="17">
        <v>4</v>
      </c>
      <c r="K156" s="227">
        <f t="shared" si="4"/>
        <v>91.5</v>
      </c>
      <c r="L156" s="227">
        <f t="shared" si="5"/>
        <v>22.875</v>
      </c>
      <c r="M156" s="78">
        <f t="shared" si="3"/>
        <v>0.60743876216131398</v>
      </c>
      <c r="P156" s="252"/>
      <c r="Q156" s="274">
        <v>3</v>
      </c>
      <c r="R156" s="275">
        <f t="shared" si="6"/>
        <v>82.863478999999998</v>
      </c>
      <c r="U156" s="17">
        <v>3</v>
      </c>
      <c r="V156" s="294">
        <v>82.863478999999998</v>
      </c>
      <c r="W156" s="227">
        <f t="shared" si="10"/>
        <v>27.621159666666667</v>
      </c>
      <c r="X156" s="78">
        <f t="shared" si="7"/>
        <v>0.73347160819147605</v>
      </c>
      <c r="Z156" s="10"/>
      <c r="AC156" s="297">
        <v>4.5630516122450473</v>
      </c>
      <c r="AD156" s="17">
        <v>3</v>
      </c>
      <c r="AE156" s="227">
        <f t="shared" si="11"/>
        <v>87.426530612245045</v>
      </c>
      <c r="AF156" s="283">
        <v>6.2</v>
      </c>
      <c r="AG156" s="287">
        <f t="shared" si="8"/>
        <v>6.6399640790901637</v>
      </c>
      <c r="AI156" s="17">
        <v>3</v>
      </c>
      <c r="AJ156" s="227">
        <f t="shared" si="9"/>
        <v>80.786566533154883</v>
      </c>
      <c r="AK156" s="227">
        <f t="shared" si="12"/>
        <v>26.928855511051626</v>
      </c>
      <c r="AL156" s="78">
        <f t="shared" si="13"/>
        <v>0.71508767904061554</v>
      </c>
      <c r="AM156" s="227">
        <f t="shared" si="14"/>
        <v>26.928217866673577</v>
      </c>
      <c r="AN156" s="227">
        <f t="shared" si="15"/>
        <v>80.784653600020732</v>
      </c>
      <c r="AQ156" s="92">
        <v>4</v>
      </c>
      <c r="AR156" s="303">
        <v>0.68689211486212065</v>
      </c>
      <c r="AS156" s="161">
        <v>26.549399464048673</v>
      </c>
      <c r="AT156" s="304">
        <v>106.19759785619469</v>
      </c>
      <c r="AU156" s="305"/>
    </row>
    <row r="157" spans="1:48" ht="15" x14ac:dyDescent="0.25">
      <c r="B157" s="77"/>
      <c r="C157" s="31">
        <v>2</v>
      </c>
      <c r="D157" s="219">
        <v>55.500000000000021</v>
      </c>
      <c r="E157" s="33">
        <f t="shared" ref="E157:E165" si="17">D157/C157</f>
        <v>27.750000000000011</v>
      </c>
      <c r="F157" s="78">
        <f t="shared" si="16"/>
        <v>0.73689292458913536</v>
      </c>
      <c r="G157" s="81">
        <v>0.69992745230334086</v>
      </c>
      <c r="H157" s="242">
        <f>(F157)</f>
        <v>0.73689292458913536</v>
      </c>
      <c r="I157" s="10"/>
      <c r="J157" s="17">
        <v>5</v>
      </c>
      <c r="K157" s="227">
        <f t="shared" si="4"/>
        <v>113.25</v>
      </c>
      <c r="L157" s="227">
        <f t="shared" si="5"/>
        <v>22.65</v>
      </c>
      <c r="M157" s="78">
        <f t="shared" si="3"/>
        <v>0.60146395466464531</v>
      </c>
      <c r="Q157" s="274">
        <v>4</v>
      </c>
      <c r="R157" s="275">
        <f t="shared" si="6"/>
        <v>106.29777299999999</v>
      </c>
      <c r="U157" s="17">
        <v>4</v>
      </c>
      <c r="V157" s="294">
        <v>106.29777299999999</v>
      </c>
      <c r="W157" s="227">
        <f t="shared" si="10"/>
        <v>26.574443249999998</v>
      </c>
      <c r="X157" s="78">
        <f t="shared" si="7"/>
        <v>0.70567636777731524</v>
      </c>
      <c r="AC157" s="297">
        <v>7.2920229183674934</v>
      </c>
      <c r="AD157" s="17">
        <v>4</v>
      </c>
      <c r="AE157" s="227">
        <f t="shared" si="11"/>
        <v>113.58979591836749</v>
      </c>
      <c r="AF157" s="283">
        <v>9.6999999999999993</v>
      </c>
      <c r="AG157" s="287">
        <f t="shared" si="8"/>
        <v>10.121541297512131</v>
      </c>
      <c r="AI157" s="17">
        <v>4</v>
      </c>
      <c r="AJ157" s="227">
        <f t="shared" si="9"/>
        <v>103.46825462085536</v>
      </c>
      <c r="AK157" s="227">
        <f t="shared" si="12"/>
        <v>25.86706365521384</v>
      </c>
      <c r="AL157" s="78">
        <f t="shared" si="13"/>
        <v>0.68689211486212065</v>
      </c>
      <c r="AM157" s="227">
        <f t="shared" si="14"/>
        <v>25.866451152847759</v>
      </c>
      <c r="AN157" s="227">
        <f t="shared" si="15"/>
        <v>103.46580461139104</v>
      </c>
      <c r="AQ157" s="92">
        <v>5</v>
      </c>
      <c r="AR157" s="303">
        <v>0.67087077100255066</v>
      </c>
      <c r="AS157" s="161">
        <v>25.551443313981597</v>
      </c>
      <c r="AT157" s="304">
        <v>129</v>
      </c>
      <c r="AU157" s="305"/>
    </row>
    <row r="158" spans="1:48" ht="15" x14ac:dyDescent="0.25">
      <c r="B158" s="76"/>
      <c r="C158" s="17">
        <v>3</v>
      </c>
      <c r="D158" s="218">
        <v>77.438157894736861</v>
      </c>
      <c r="E158" s="32">
        <f t="shared" si="17"/>
        <v>25.812719298245622</v>
      </c>
      <c r="F158" s="78">
        <f t="shared" si="16"/>
        <v>0.68544901676694137</v>
      </c>
      <c r="G158" s="80">
        <v>0.70001912583998827</v>
      </c>
      <c r="H158" s="241">
        <f t="shared" ref="H158:H165" si="18">(F158)</f>
        <v>0.68544901676694137</v>
      </c>
      <c r="I158" s="10"/>
      <c r="J158" s="17">
        <v>6</v>
      </c>
      <c r="K158" s="227">
        <f t="shared" si="4"/>
        <v>135</v>
      </c>
      <c r="L158" s="227">
        <f t="shared" si="5"/>
        <v>22.5</v>
      </c>
      <c r="M158" s="78">
        <f t="shared" si="3"/>
        <v>0.59748074966686626</v>
      </c>
      <c r="Q158" s="274">
        <v>5</v>
      </c>
      <c r="R158" s="275">
        <f t="shared" si="6"/>
        <v>129.44871699999999</v>
      </c>
      <c r="U158" s="17">
        <v>5</v>
      </c>
      <c r="V158" s="294">
        <v>129.44871699999999</v>
      </c>
      <c r="W158" s="227">
        <f t="shared" si="10"/>
        <v>25.889743399999997</v>
      </c>
      <c r="X158" s="78">
        <f t="shared" si="7"/>
        <v>0.68749436868065783</v>
      </c>
      <c r="AC158" s="297">
        <v>10.304344224489938</v>
      </c>
      <c r="AD158" s="17">
        <v>5</v>
      </c>
      <c r="AE158" s="227">
        <f t="shared" si="11"/>
        <v>139.75306122448993</v>
      </c>
      <c r="AF158" s="283">
        <v>13.2</v>
      </c>
      <c r="AG158" s="287">
        <f t="shared" si="8"/>
        <v>13.434411159415941</v>
      </c>
      <c r="AI158" s="17">
        <v>5</v>
      </c>
      <c r="AJ158" s="227">
        <f t="shared" si="9"/>
        <v>126.31865006507398</v>
      </c>
      <c r="AK158" s="227">
        <f t="shared" si="12"/>
        <v>25.263730013014797</v>
      </c>
      <c r="AL158" s="78">
        <f t="shared" si="13"/>
        <v>0.67087077100255066</v>
      </c>
      <c r="AM158" s="227">
        <f t="shared" si="14"/>
        <v>25.263131796896598</v>
      </c>
      <c r="AN158" s="227">
        <f t="shared" si="15"/>
        <v>126.31565898448299</v>
      </c>
      <c r="AQ158" s="302">
        <v>6</v>
      </c>
      <c r="AR158" s="306">
        <v>0.66093321352456713</v>
      </c>
      <c r="AS158" s="305"/>
      <c r="AT158" s="305"/>
      <c r="AU158" s="305"/>
    </row>
    <row r="159" spans="1:48" ht="15" x14ac:dyDescent="0.25">
      <c r="B159" s="76"/>
      <c r="C159" s="17">
        <v>4</v>
      </c>
      <c r="D159" s="218">
        <v>99.376315789473708</v>
      </c>
      <c r="E159" s="32">
        <f t="shared" si="17"/>
        <v>24.844078947368427</v>
      </c>
      <c r="F159" s="78">
        <f t="shared" si="16"/>
        <v>0.65972706285584437</v>
      </c>
      <c r="G159" s="80">
        <v>0.69999620745582647</v>
      </c>
      <c r="H159" s="241">
        <f t="shared" si="18"/>
        <v>0.65972706285584437</v>
      </c>
      <c r="I159" s="10"/>
      <c r="J159" s="17">
        <v>7</v>
      </c>
      <c r="K159" s="227">
        <f t="shared" si="4"/>
        <v>156.75</v>
      </c>
      <c r="L159" s="227">
        <f t="shared" si="5"/>
        <v>22.392857142857142</v>
      </c>
      <c r="M159" s="78">
        <f t="shared" si="3"/>
        <v>0.59463560323988118</v>
      </c>
      <c r="Q159" s="274">
        <v>6</v>
      </c>
      <c r="R159" s="275">
        <f t="shared" si="6"/>
        <v>152.31631100000001</v>
      </c>
      <c r="U159" s="17">
        <v>6</v>
      </c>
      <c r="V159" s="294">
        <v>152.31631100000001</v>
      </c>
      <c r="W159" s="227">
        <f t="shared" si="10"/>
        <v>25.386051833333337</v>
      </c>
      <c r="X159" s="78">
        <f t="shared" si="7"/>
        <v>0.67411899024275224</v>
      </c>
      <c r="AC159" s="297">
        <v>13.600015530612353</v>
      </c>
      <c r="AD159" s="17">
        <v>6</v>
      </c>
      <c r="AE159" s="227">
        <f t="shared" si="11"/>
        <v>165.91632653061237</v>
      </c>
      <c r="AF159" s="283">
        <v>16.2</v>
      </c>
      <c r="AG159" s="287">
        <f t="shared" si="8"/>
        <v>16.579324668099222</v>
      </c>
      <c r="AI159" s="17">
        <v>6</v>
      </c>
      <c r="AJ159" s="227">
        <f t="shared" si="9"/>
        <v>149.33700186251315</v>
      </c>
      <c r="AK159" s="227">
        <f t="shared" si="12"/>
        <v>24.889500310418857</v>
      </c>
      <c r="AL159" s="78">
        <f t="shared" si="13"/>
        <v>0.66093321352456713</v>
      </c>
      <c r="AM159" s="227">
        <f t="shared" si="14"/>
        <v>24.888910955630319</v>
      </c>
      <c r="AN159" s="227">
        <f t="shared" si="15"/>
        <v>149.33346573378191</v>
      </c>
      <c r="AQ159" s="302">
        <v>7</v>
      </c>
      <c r="AR159" s="306">
        <v>0.65446925645502485</v>
      </c>
      <c r="AS159" s="305"/>
      <c r="AT159" s="305"/>
      <c r="AU159" s="305"/>
    </row>
    <row r="160" spans="1:48" ht="15" x14ac:dyDescent="0.25">
      <c r="B160" s="77"/>
      <c r="C160" s="31">
        <v>5</v>
      </c>
      <c r="D160" s="219">
        <v>121.31447368421055</v>
      </c>
      <c r="E160" s="33">
        <f t="shared" si="17"/>
        <v>24.26289473684211</v>
      </c>
      <c r="F160" s="78">
        <f t="shared" si="16"/>
        <v>0.64429389050918606</v>
      </c>
      <c r="G160" s="81">
        <v>0.70003746054731775</v>
      </c>
      <c r="H160" s="242">
        <f t="shared" si="18"/>
        <v>0.64429389050918606</v>
      </c>
      <c r="I160" s="10"/>
      <c r="J160" s="17">
        <v>8</v>
      </c>
      <c r="K160" s="227">
        <f t="shared" si="4"/>
        <v>178.5</v>
      </c>
      <c r="L160" s="227">
        <f t="shared" si="5"/>
        <v>22.3125</v>
      </c>
      <c r="M160" s="78">
        <f t="shared" si="3"/>
        <v>0.59250174341964235</v>
      </c>
      <c r="Q160" s="274">
        <v>7</v>
      </c>
      <c r="R160" s="275">
        <f t="shared" si="6"/>
        <v>174.90055500000003</v>
      </c>
      <c r="U160" s="17">
        <v>7</v>
      </c>
      <c r="V160" s="294">
        <v>174.90055500000003</v>
      </c>
      <c r="W160" s="227">
        <f t="shared" si="10"/>
        <v>24.985793571428577</v>
      </c>
      <c r="X160" s="78">
        <f t="shared" si="7"/>
        <v>0.66349025218127611</v>
      </c>
      <c r="AC160" s="297">
        <v>17.179036836734781</v>
      </c>
      <c r="AD160" s="17">
        <v>7</v>
      </c>
      <c r="AE160" s="227">
        <f>(AE$149*AD160)+AE$150</f>
        <v>192.07959183673481</v>
      </c>
      <c r="AF160" s="283">
        <v>19.5</v>
      </c>
      <c r="AG160" s="287">
        <f t="shared" si="8"/>
        <v>19.557032826859601</v>
      </c>
      <c r="AI160" s="17">
        <v>7</v>
      </c>
      <c r="AJ160" s="227">
        <f t="shared" si="9"/>
        <v>172.52255900987521</v>
      </c>
      <c r="AK160" s="227">
        <f t="shared" si="12"/>
        <v>24.646079858553602</v>
      </c>
      <c r="AL160" s="78">
        <f t="shared" si="13"/>
        <v>0.65446925645502485</v>
      </c>
      <c r="AM160" s="227">
        <f t="shared" si="14"/>
        <v>24.64549626768186</v>
      </c>
      <c r="AN160" s="227">
        <f t="shared" si="15"/>
        <v>172.51847387377302</v>
      </c>
      <c r="AQ160" s="302">
        <v>8</v>
      </c>
      <c r="AR160" s="306">
        <v>0.65017380680735126</v>
      </c>
      <c r="AS160" s="305"/>
      <c r="AT160" s="305"/>
      <c r="AU160" s="305"/>
    </row>
    <row r="161" spans="2:47" ht="15" x14ac:dyDescent="0.25">
      <c r="B161" s="76"/>
      <c r="C161" s="17">
        <v>10</v>
      </c>
      <c r="D161" s="218">
        <v>231.00526315789477</v>
      </c>
      <c r="E161" s="32">
        <f t="shared" si="17"/>
        <v>23.100526315789477</v>
      </c>
      <c r="F161" s="78">
        <f t="shared" si="16"/>
        <v>0.61342754581586967</v>
      </c>
      <c r="G161" s="80">
        <v>0.70000995848632352</v>
      </c>
      <c r="H161" s="241">
        <f t="shared" si="18"/>
        <v>0.61342754581586967</v>
      </c>
      <c r="I161" s="10"/>
      <c r="J161" s="17">
        <v>9</v>
      </c>
      <c r="K161" s="227">
        <f t="shared" si="4"/>
        <v>200.25</v>
      </c>
      <c r="L161" s="227">
        <f t="shared" si="5"/>
        <v>22.25</v>
      </c>
      <c r="M161" s="78">
        <f t="shared" si="3"/>
        <v>0.59084207467056771</v>
      </c>
      <c r="Q161" s="274">
        <v>8</v>
      </c>
      <c r="R161" s="275">
        <f t="shared" si="6"/>
        <v>197.20144900000003</v>
      </c>
      <c r="U161" s="17">
        <v>8</v>
      </c>
      <c r="V161" s="294">
        <v>197.20144900000003</v>
      </c>
      <c r="W161" s="227">
        <f t="shared" si="10"/>
        <v>24.650181125000003</v>
      </c>
      <c r="X161" s="78">
        <f t="shared" si="7"/>
        <v>0.65457816435506833</v>
      </c>
      <c r="AC161" s="297">
        <v>21.041408142857222</v>
      </c>
      <c r="AD161" s="17">
        <v>8</v>
      </c>
      <c r="AE161" s="227">
        <f t="shared" si="11"/>
        <v>218.24285714285725</v>
      </c>
      <c r="AF161" s="283">
        <v>22.3</v>
      </c>
      <c r="AG161" s="287">
        <f t="shared" si="8"/>
        <v>22.368286638994707</v>
      </c>
      <c r="AI161" s="17">
        <v>8</v>
      </c>
      <c r="AJ161" s="227">
        <f t="shared" si="9"/>
        <v>195.87457050386254</v>
      </c>
      <c r="AK161" s="227">
        <f t="shared" si="12"/>
        <v>24.484321312982818</v>
      </c>
      <c r="AL161" s="78">
        <f t="shared" si="13"/>
        <v>0.65017380680735126</v>
      </c>
      <c r="AM161" s="227">
        <f t="shared" si="14"/>
        <v>24.483741552367693</v>
      </c>
      <c r="AN161" s="227">
        <f t="shared" si="15"/>
        <v>195.86993241894154</v>
      </c>
      <c r="AQ161" s="302">
        <v>9</v>
      </c>
      <c r="AR161" s="306">
        <v>0.64732181292233959</v>
      </c>
      <c r="AS161" s="305"/>
      <c r="AT161" s="305"/>
      <c r="AU161" s="305"/>
    </row>
    <row r="162" spans="2:47" ht="15" x14ac:dyDescent="0.25">
      <c r="B162" s="76"/>
      <c r="C162" s="17">
        <v>20</v>
      </c>
      <c r="D162" s="218">
        <v>450.38684210526321</v>
      </c>
      <c r="E162" s="32">
        <f t="shared" si="17"/>
        <v>22.51934210526316</v>
      </c>
      <c r="F162" s="78">
        <f t="shared" si="16"/>
        <v>0.59799437346921147</v>
      </c>
      <c r="G162" s="80">
        <v>0.69999620745582647</v>
      </c>
      <c r="H162" s="241">
        <f t="shared" si="18"/>
        <v>0.59799437346921147</v>
      </c>
      <c r="I162" s="17"/>
      <c r="J162" s="17">
        <v>10</v>
      </c>
      <c r="K162" s="227">
        <f t="shared" si="4"/>
        <v>222</v>
      </c>
      <c r="L162" s="227">
        <f t="shared" si="5"/>
        <v>22.2</v>
      </c>
      <c r="M162" s="78">
        <f t="shared" si="3"/>
        <v>0.58951433967130795</v>
      </c>
      <c r="Q162" s="274">
        <v>9</v>
      </c>
      <c r="R162" s="275">
        <f t="shared" si="6"/>
        <v>219.21899300000001</v>
      </c>
      <c r="U162" s="17">
        <v>9</v>
      </c>
      <c r="V162" s="294">
        <v>219.21899300000001</v>
      </c>
      <c r="W162" s="227">
        <f t="shared" si="10"/>
        <v>24.357665888888889</v>
      </c>
      <c r="X162" s="78">
        <f t="shared" si="7"/>
        <v>0.64681051001903955</v>
      </c>
      <c r="AC162" s="297">
        <v>25.187129448979675</v>
      </c>
      <c r="AD162" s="17">
        <v>9</v>
      </c>
      <c r="AE162" s="227">
        <f t="shared" si="11"/>
        <v>244.40612244897969</v>
      </c>
      <c r="AF162" s="283">
        <v>25</v>
      </c>
      <c r="AG162" s="287">
        <f t="shared" si="8"/>
        <v>25.013837107802168</v>
      </c>
      <c r="AI162" s="17">
        <v>9</v>
      </c>
      <c r="AJ162" s="227">
        <f t="shared" si="9"/>
        <v>219.39228534117751</v>
      </c>
      <c r="AK162" s="227">
        <f t="shared" si="12"/>
        <v>24.376920593464167</v>
      </c>
      <c r="AL162" s="78">
        <f t="shared" si="13"/>
        <v>0.64732181292233959</v>
      </c>
      <c r="AM162" s="227">
        <f t="shared" si="14"/>
        <v>24.376343375974766</v>
      </c>
      <c r="AN162" s="227">
        <f t="shared" si="15"/>
        <v>219.38709038377289</v>
      </c>
      <c r="AQ162" s="92">
        <v>10</v>
      </c>
      <c r="AR162" s="303">
        <v>0.64547824380446561</v>
      </c>
      <c r="AS162" s="161">
        <v>24.101582492186029</v>
      </c>
      <c r="AT162" s="304">
        <v>241.01582492186029</v>
      </c>
      <c r="AU162" s="305"/>
    </row>
    <row r="163" spans="2:47" ht="15" x14ac:dyDescent="0.25">
      <c r="B163" s="76"/>
      <c r="C163" s="17">
        <v>30</v>
      </c>
      <c r="D163" s="218">
        <v>669.76842105263165</v>
      </c>
      <c r="E163" s="32">
        <f t="shared" si="17"/>
        <v>22.325614035087721</v>
      </c>
      <c r="F163" s="78">
        <f t="shared" si="16"/>
        <v>0.59284998268699207</v>
      </c>
      <c r="G163" s="80">
        <v>0.70001912583998827</v>
      </c>
      <c r="H163" s="241">
        <f t="shared" si="18"/>
        <v>0.59284998268699207</v>
      </c>
      <c r="I163" s="10"/>
      <c r="J163" s="17">
        <v>11</v>
      </c>
      <c r="K163" s="227">
        <f t="shared" si="4"/>
        <v>243.75</v>
      </c>
      <c r="L163" s="227">
        <f t="shared" si="5"/>
        <v>22.15909090909091</v>
      </c>
      <c r="M163" s="78">
        <f t="shared" si="3"/>
        <v>0.58842801103555009</v>
      </c>
      <c r="Q163" s="274">
        <v>10</v>
      </c>
      <c r="R163" s="275">
        <f t="shared" si="6"/>
        <v>240.95318700000001</v>
      </c>
      <c r="U163" s="17">
        <v>10</v>
      </c>
      <c r="V163" s="294">
        <v>240.95318700000001</v>
      </c>
      <c r="W163" s="227">
        <f t="shared" si="10"/>
        <v>24.0953187</v>
      </c>
      <c r="X163" s="78">
        <f t="shared" si="7"/>
        <v>0.63984395912613601</v>
      </c>
      <c r="AC163" s="297">
        <v>29.616200755102113</v>
      </c>
      <c r="AD163" s="17">
        <v>10</v>
      </c>
      <c r="AE163" s="227">
        <f t="shared" si="11"/>
        <v>270.56938775510213</v>
      </c>
      <c r="AF163" s="283">
        <v>27.6</v>
      </c>
      <c r="AG163" s="287">
        <f t="shared" si="8"/>
        <v>27.494435236579609</v>
      </c>
      <c r="AI163" s="17">
        <v>10</v>
      </c>
      <c r="AJ163" s="227">
        <f t="shared" si="9"/>
        <v>243.07495251852251</v>
      </c>
      <c r="AK163" s="227">
        <f t="shared" si="12"/>
        <v>24.307495251852252</v>
      </c>
      <c r="AL163" s="78">
        <f t="shared" si="13"/>
        <v>0.64547824380446561</v>
      </c>
      <c r="AM163" s="227">
        <f t="shared" si="14"/>
        <v>24.306919678275221</v>
      </c>
      <c r="AN163" s="227">
        <f t="shared" si="15"/>
        <v>243.06919678275221</v>
      </c>
      <c r="AQ163" s="92">
        <v>20</v>
      </c>
      <c r="AR163" s="303">
        <v>0.64900852816293231</v>
      </c>
      <c r="AS163" s="161">
        <v>24.478169718626436</v>
      </c>
      <c r="AT163" s="304">
        <v>489.56339437252871</v>
      </c>
      <c r="AU163" s="305"/>
    </row>
    <row r="164" spans="2:47" ht="15" x14ac:dyDescent="0.25">
      <c r="B164" s="77"/>
      <c r="C164" s="31">
        <v>40</v>
      </c>
      <c r="D164" s="219">
        <v>889.15000000000009</v>
      </c>
      <c r="E164" s="33">
        <f t="shared" si="17"/>
        <v>22.228750000000002</v>
      </c>
      <c r="F164" s="78">
        <f t="shared" si="16"/>
        <v>0.59027778729588243</v>
      </c>
      <c r="G164" s="81">
        <v>0.69999620745582647</v>
      </c>
      <c r="H164" s="242">
        <f t="shared" si="18"/>
        <v>0.59027778729588243</v>
      </c>
      <c r="J164" s="17">
        <v>12</v>
      </c>
      <c r="K164" s="227">
        <f t="shared" si="4"/>
        <v>265.5</v>
      </c>
      <c r="L164" s="227">
        <f t="shared" si="5"/>
        <v>22.125</v>
      </c>
      <c r="M164" s="78">
        <f t="shared" si="3"/>
        <v>0.58752273717241843</v>
      </c>
      <c r="Q164" s="274">
        <v>11</v>
      </c>
      <c r="R164" s="276">
        <f t="shared" ref="R164:R203" si="19">(R$146*(Q164)^2)+(R$147*(Q164)^1)+(R$148)</f>
        <v>265.66351700000001</v>
      </c>
      <c r="U164" s="17">
        <v>11</v>
      </c>
      <c r="V164" s="294">
        <v>265.66351700000001</v>
      </c>
      <c r="W164" s="227">
        <f t="shared" si="10"/>
        <v>24.151228818181821</v>
      </c>
      <c r="X164" s="78">
        <f t="shared" si="7"/>
        <v>0.64132863554059105</v>
      </c>
      <c r="AC164" s="297">
        <v>31.069136061224583</v>
      </c>
      <c r="AD164" s="17">
        <v>11</v>
      </c>
      <c r="AE164" s="227">
        <f t="shared" si="11"/>
        <v>296.7326530612246</v>
      </c>
      <c r="AF164" s="283">
        <v>30</v>
      </c>
      <c r="AG164" s="287">
        <f t="shared" si="8"/>
        <v>29.810832028624663</v>
      </c>
      <c r="AI164" s="17">
        <v>11</v>
      </c>
      <c r="AJ164" s="227">
        <f t="shared" si="9"/>
        <v>266.92182103259995</v>
      </c>
      <c r="AK164" s="227">
        <f t="shared" si="12"/>
        <v>24.265620093872723</v>
      </c>
      <c r="AL164" s="78">
        <f t="shared" si="13"/>
        <v>0.64436626154748655</v>
      </c>
      <c r="AM164" s="227">
        <f t="shared" si="14"/>
        <v>24.265045511851351</v>
      </c>
      <c r="AN164" s="227">
        <f t="shared" si="15"/>
        <v>266.91550063036487</v>
      </c>
      <c r="AQ164" s="92">
        <v>30</v>
      </c>
      <c r="AR164" s="303">
        <v>0.66405492482086281</v>
      </c>
      <c r="AS164" s="161">
        <v>25.04305055828705</v>
      </c>
      <c r="AT164" s="304">
        <v>751.29151674861146</v>
      </c>
      <c r="AU164" s="305"/>
    </row>
    <row r="165" spans="2:47" ht="15" x14ac:dyDescent="0.25">
      <c r="B165" s="76"/>
      <c r="C165" s="17">
        <v>50</v>
      </c>
      <c r="D165" s="218">
        <v>1108.5315789473684</v>
      </c>
      <c r="E165" s="32">
        <f t="shared" si="17"/>
        <v>22.170631578947368</v>
      </c>
      <c r="F165" s="78">
        <f t="shared" si="16"/>
        <v>0.58873447006121649</v>
      </c>
      <c r="G165" s="80">
        <v>0.69998795683752812</v>
      </c>
      <c r="H165" s="241">
        <f t="shared" si="18"/>
        <v>0.58873447006121649</v>
      </c>
      <c r="J165" s="17">
        <v>13</v>
      </c>
      <c r="K165" s="227">
        <f t="shared" si="4"/>
        <v>287.25</v>
      </c>
      <c r="L165" s="227">
        <f t="shared" si="5"/>
        <v>22.096153846153847</v>
      </c>
      <c r="M165" s="78">
        <f t="shared" si="3"/>
        <v>0.58675673621130708</v>
      </c>
      <c r="Q165" s="274">
        <v>12</v>
      </c>
      <c r="R165" s="276">
        <f t="shared" si="19"/>
        <v>289.86463700000002</v>
      </c>
      <c r="U165" s="17">
        <v>12</v>
      </c>
      <c r="V165" s="294">
        <v>289.86463700000002</v>
      </c>
      <c r="W165" s="227">
        <f t="shared" si="10"/>
        <v>24.155386416666669</v>
      </c>
      <c r="X165" s="78">
        <f t="shared" si="7"/>
        <v>0.64143903932101509</v>
      </c>
      <c r="AC165" s="297">
        <v>33.031281367346992</v>
      </c>
      <c r="AD165" s="17">
        <v>12</v>
      </c>
      <c r="AE165" s="227">
        <f t="shared" si="11"/>
        <v>322.89591836734701</v>
      </c>
      <c r="AF165" s="283">
        <v>32</v>
      </c>
      <c r="AG165" s="287">
        <f t="shared" si="8"/>
        <v>31.963778487234951</v>
      </c>
      <c r="AI165" s="17">
        <v>12</v>
      </c>
      <c r="AJ165" s="227">
        <f t="shared" si="9"/>
        <v>290.93213988011206</v>
      </c>
      <c r="AK165" s="227">
        <f t="shared" si="12"/>
        <v>24.244344990009338</v>
      </c>
      <c r="AL165" s="78">
        <f t="shared" si="13"/>
        <v>0.64380130754724052</v>
      </c>
      <c r="AM165" s="227">
        <f t="shared" si="14"/>
        <v>24.243770911757995</v>
      </c>
      <c r="AN165" s="227">
        <f t="shared" si="15"/>
        <v>290.92525094109595</v>
      </c>
      <c r="AQ165" s="92">
        <v>40</v>
      </c>
      <c r="AR165" s="307">
        <v>0.68148178287224948</v>
      </c>
      <c r="AS165" s="161">
        <v>25.607931397947663</v>
      </c>
      <c r="AT165" s="304">
        <v>1024.3172559179066</v>
      </c>
      <c r="AU165" s="305"/>
    </row>
    <row r="166" spans="2:47" ht="15" x14ac:dyDescent="0.25">
      <c r="J166" s="17">
        <v>14</v>
      </c>
      <c r="K166" s="227">
        <f t="shared" si="4"/>
        <v>309</v>
      </c>
      <c r="L166" s="227">
        <f t="shared" si="5"/>
        <v>22.071428571428573</v>
      </c>
      <c r="M166" s="78">
        <f t="shared" si="3"/>
        <v>0.58610016395892595</v>
      </c>
      <c r="Q166" s="274">
        <v>13</v>
      </c>
      <c r="R166" s="276">
        <f t="shared" si="19"/>
        <v>314.21101299999998</v>
      </c>
      <c r="U166" s="17">
        <v>13</v>
      </c>
      <c r="V166" s="294">
        <v>314.21101299999998</v>
      </c>
      <c r="W166" s="227">
        <f t="shared" si="10"/>
        <v>24.170077923076921</v>
      </c>
      <c r="X166" s="78">
        <f t="shared" si="7"/>
        <v>0.64182916786606992</v>
      </c>
      <c r="AC166" s="297">
        <v>34.84817067346944</v>
      </c>
      <c r="AD166" s="17">
        <v>13</v>
      </c>
      <c r="AE166" s="227">
        <f t="shared" si="11"/>
        <v>349.05918367346942</v>
      </c>
      <c r="AF166" s="283">
        <v>34</v>
      </c>
      <c r="AG166" s="287">
        <f t="shared" si="8"/>
        <v>33.954025615708105</v>
      </c>
      <c r="AI166" s="17">
        <v>13</v>
      </c>
      <c r="AJ166" s="227">
        <f t="shared" si="9"/>
        <v>315.10515805776129</v>
      </c>
      <c r="AK166" s="227">
        <f t="shared" si="12"/>
        <v>24.238858312135484</v>
      </c>
      <c r="AL166" s="78">
        <f t="shared" si="13"/>
        <v>0.64365561046238495</v>
      </c>
      <c r="AM166" s="227">
        <f t="shared" si="14"/>
        <v>24.238284363802375</v>
      </c>
      <c r="AN166" s="227">
        <f t="shared" si="15"/>
        <v>315.09769672943088</v>
      </c>
      <c r="AQ166" s="92">
        <v>50</v>
      </c>
      <c r="AR166" s="303">
        <v>0.69946197213589079</v>
      </c>
      <c r="AS166" s="161">
        <v>26.361105850828469</v>
      </c>
      <c r="AT166" s="304">
        <v>1318.0552925414236</v>
      </c>
      <c r="AU166" s="305"/>
    </row>
    <row r="167" spans="2:47" ht="15" x14ac:dyDescent="0.2">
      <c r="J167" s="17">
        <v>15</v>
      </c>
      <c r="K167" s="227">
        <f t="shared" si="4"/>
        <v>330.75</v>
      </c>
      <c r="L167" s="227">
        <f t="shared" si="5"/>
        <v>22.05</v>
      </c>
      <c r="M167" s="78">
        <f t="shared" si="3"/>
        <v>0.58553113467352891</v>
      </c>
      <c r="Q167" s="274">
        <v>14</v>
      </c>
      <c r="R167" s="276">
        <f t="shared" si="19"/>
        <v>338.70264500000002</v>
      </c>
      <c r="U167" s="17">
        <v>14</v>
      </c>
      <c r="V167" s="294">
        <v>338.70264500000002</v>
      </c>
      <c r="W167" s="227">
        <f t="shared" si="10"/>
        <v>24.193046071428572</v>
      </c>
      <c r="X167" s="78">
        <f t="shared" si="7"/>
        <v>0.64243908015476336</v>
      </c>
      <c r="AC167" s="297">
        <v>36.51980397959187</v>
      </c>
      <c r="AD167" s="17">
        <v>14</v>
      </c>
      <c r="AE167" s="227">
        <f t="shared" si="11"/>
        <v>375.22244897959189</v>
      </c>
      <c r="AF167" s="283">
        <v>36</v>
      </c>
      <c r="AG167" s="287">
        <f t="shared" si="8"/>
        <v>35.782324417341748</v>
      </c>
      <c r="AI167" s="17">
        <v>14</v>
      </c>
      <c r="AJ167" s="227">
        <f t="shared" si="9"/>
        <v>339.44012456225016</v>
      </c>
      <c r="AK167" s="227">
        <f t="shared" si="12"/>
        <v>24.245723183017869</v>
      </c>
      <c r="AL167" s="78">
        <f t="shared" si="13"/>
        <v>0.64383790504910376</v>
      </c>
      <c r="AM167" s="227">
        <f t="shared" si="14"/>
        <v>24.245149072132502</v>
      </c>
      <c r="AN167" s="227">
        <f t="shared" si="15"/>
        <v>339.43208700985502</v>
      </c>
    </row>
    <row r="168" spans="2:47" ht="15" x14ac:dyDescent="0.2">
      <c r="J168" s="17">
        <v>16</v>
      </c>
      <c r="K168" s="227">
        <f t="shared" si="4"/>
        <v>352.5</v>
      </c>
      <c r="L168" s="227">
        <f t="shared" si="5"/>
        <v>22.03125</v>
      </c>
      <c r="M168" s="78">
        <f t="shared" si="3"/>
        <v>0.58503323404880658</v>
      </c>
      <c r="Q168" s="274">
        <v>15</v>
      </c>
      <c r="R168" s="276">
        <f t="shared" si="19"/>
        <v>363.33953300000002</v>
      </c>
      <c r="U168" s="17">
        <v>15</v>
      </c>
      <c r="V168" s="294">
        <v>363.33953300000002</v>
      </c>
      <c r="W168" s="227">
        <f t="shared" si="10"/>
        <v>24.222635533333335</v>
      </c>
      <c r="X168" s="78">
        <f t="shared" si="7"/>
        <v>0.64322481943836773</v>
      </c>
      <c r="AC168" s="297">
        <v>38.04618128571434</v>
      </c>
      <c r="AD168" s="17">
        <v>15</v>
      </c>
      <c r="AE168" s="227">
        <f t="shared" si="11"/>
        <v>401.38571428571436</v>
      </c>
      <c r="AF168" s="283">
        <v>37.5</v>
      </c>
      <c r="AG168" s="287">
        <f t="shared" si="8"/>
        <v>37.449425895433514</v>
      </c>
      <c r="AI168" s="17">
        <v>15</v>
      </c>
      <c r="AJ168" s="227">
        <f t="shared" si="9"/>
        <v>363.93628839028082</v>
      </c>
      <c r="AK168" s="227">
        <f t="shared" si="12"/>
        <v>24.262419226018721</v>
      </c>
      <c r="AL168" s="78">
        <f t="shared" si="13"/>
        <v>0.64428126346193126</v>
      </c>
      <c r="AM168" s="227">
        <f t="shared" si="14"/>
        <v>24.261844719790229</v>
      </c>
      <c r="AN168" s="227">
        <f t="shared" si="15"/>
        <v>363.92767079685342</v>
      </c>
    </row>
    <row r="169" spans="2:47" ht="15" x14ac:dyDescent="0.2">
      <c r="J169" s="17">
        <v>17</v>
      </c>
      <c r="K169" s="227">
        <f t="shared" si="4"/>
        <v>374.25</v>
      </c>
      <c r="L169" s="227">
        <f t="shared" si="5"/>
        <v>22.014705882352942</v>
      </c>
      <c r="M169" s="78">
        <f t="shared" si="3"/>
        <v>0.58459390996816918</v>
      </c>
      <c r="Q169" s="274">
        <v>16</v>
      </c>
      <c r="R169" s="276">
        <f t="shared" si="19"/>
        <v>388.12167699999998</v>
      </c>
      <c r="U169" s="17">
        <v>16</v>
      </c>
      <c r="V169" s="294">
        <v>388.12167699999998</v>
      </c>
      <c r="W169" s="227">
        <f t="shared" si="10"/>
        <v>24.257604812499999</v>
      </c>
      <c r="X169" s="78">
        <f t="shared" si="7"/>
        <v>0.644153418155337</v>
      </c>
      <c r="AC169" s="297">
        <v>39.427302591836792</v>
      </c>
      <c r="AD169" s="17">
        <v>16</v>
      </c>
      <c r="AE169" s="227">
        <f t="shared" si="11"/>
        <v>427.54897959183677</v>
      </c>
      <c r="AF169" s="283">
        <v>39</v>
      </c>
      <c r="AG169" s="287">
        <f t="shared" si="8"/>
        <v>38.956081053281032</v>
      </c>
      <c r="AI169" s="17">
        <v>16</v>
      </c>
      <c r="AJ169" s="227">
        <f t="shared" si="9"/>
        <v>388.59289853855574</v>
      </c>
      <c r="AK169" s="227">
        <f t="shared" si="12"/>
        <v>24.287056158659734</v>
      </c>
      <c r="AL169" s="78">
        <f t="shared" si="13"/>
        <v>0.64493548981676885</v>
      </c>
      <c r="AM169" s="227">
        <f t="shared" si="14"/>
        <v>24.286481069056965</v>
      </c>
      <c r="AN169" s="227">
        <f t="shared" si="15"/>
        <v>388.58369710491144</v>
      </c>
    </row>
    <row r="170" spans="2:47" ht="15" x14ac:dyDescent="0.2">
      <c r="J170" s="17">
        <v>18</v>
      </c>
      <c r="K170" s="227">
        <f t="shared" si="4"/>
        <v>396</v>
      </c>
      <c r="L170" s="227">
        <f t="shared" si="5"/>
        <v>22</v>
      </c>
      <c r="M170" s="78">
        <f t="shared" si="3"/>
        <v>0.58420339967426915</v>
      </c>
      <c r="Q170" s="274">
        <v>17</v>
      </c>
      <c r="R170" s="276">
        <f t="shared" si="19"/>
        <v>413.04907699999995</v>
      </c>
      <c r="U170" s="17">
        <v>17</v>
      </c>
      <c r="V170" s="294">
        <v>413.04907699999995</v>
      </c>
      <c r="W170" s="227">
        <f t="shared" si="10"/>
        <v>24.297004529411762</v>
      </c>
      <c r="X170" s="78">
        <f t="shared" si="7"/>
        <v>0.64519966581743038</v>
      </c>
      <c r="AC170" s="297">
        <v>40.663167897959227</v>
      </c>
      <c r="AD170" s="17">
        <v>17</v>
      </c>
      <c r="AE170" s="227">
        <f t="shared" si="11"/>
        <v>453.71224489795918</v>
      </c>
      <c r="AF170" s="283">
        <v>40.4</v>
      </c>
      <c r="AG170" s="287">
        <f t="shared" si="8"/>
        <v>40.303040894181912</v>
      </c>
      <c r="AI170" s="17">
        <v>17</v>
      </c>
      <c r="AJ170" s="227">
        <f t="shared" si="9"/>
        <v>413.40920400377729</v>
      </c>
      <c r="AK170" s="227">
        <f t="shared" si="12"/>
        <v>24.31818847081043</v>
      </c>
      <c r="AL170" s="78">
        <f t="shared" si="13"/>
        <v>0.64576219902577592</v>
      </c>
      <c r="AM170" s="227">
        <f t="shared" si="14"/>
        <v>24.317612644030252</v>
      </c>
      <c r="AN170" s="227">
        <f t="shared" si="15"/>
        <v>413.39941494851428</v>
      </c>
    </row>
    <row r="171" spans="2:47" ht="15" x14ac:dyDescent="0.2">
      <c r="J171" s="17">
        <v>19</v>
      </c>
      <c r="K171" s="227">
        <f t="shared" si="4"/>
        <v>417.75</v>
      </c>
      <c r="L171" s="227">
        <f t="shared" si="5"/>
        <v>21.986842105263158</v>
      </c>
      <c r="M171" s="78">
        <f t="shared" si="3"/>
        <v>0.58385399572709562</v>
      </c>
      <c r="Q171" s="274">
        <v>18</v>
      </c>
      <c r="R171" s="276">
        <f t="shared" si="19"/>
        <v>438.12173300000001</v>
      </c>
      <c r="U171" s="17">
        <v>18</v>
      </c>
      <c r="V171" s="294">
        <v>438.12173300000001</v>
      </c>
      <c r="W171" s="227">
        <f t="shared" si="10"/>
        <v>24.340096277777779</v>
      </c>
      <c r="X171" s="78">
        <f t="shared" si="7"/>
        <v>0.64634395426712743</v>
      </c>
      <c r="AC171" s="297">
        <v>41.753777204081644</v>
      </c>
      <c r="AD171" s="17">
        <v>18</v>
      </c>
      <c r="AE171" s="227">
        <f t="shared" si="11"/>
        <v>479.87551020408165</v>
      </c>
      <c r="AF171" s="283">
        <v>41.6</v>
      </c>
      <c r="AG171" s="287">
        <f t="shared" si="8"/>
        <v>41.491056421433811</v>
      </c>
      <c r="AI171" s="17">
        <v>18</v>
      </c>
      <c r="AJ171" s="227">
        <f t="shared" si="9"/>
        <v>438.38445378264782</v>
      </c>
      <c r="AK171" s="227">
        <f t="shared" si="12"/>
        <v>24.354691876813767</v>
      </c>
      <c r="AL171" s="78">
        <f t="shared" si="13"/>
        <v>0.64673153602063238</v>
      </c>
      <c r="AM171" s="227">
        <f t="shared" si="14"/>
        <v>24.354115185674857</v>
      </c>
      <c r="AN171" s="227">
        <f t="shared" si="15"/>
        <v>438.37407334214743</v>
      </c>
    </row>
    <row r="172" spans="2:47" ht="15" x14ac:dyDescent="0.2">
      <c r="J172" s="17">
        <v>20</v>
      </c>
      <c r="K172" s="227">
        <f t="shared" si="4"/>
        <v>439.5</v>
      </c>
      <c r="L172" s="227">
        <f t="shared" si="5"/>
        <v>21.975000000000001</v>
      </c>
      <c r="M172" s="78">
        <f t="shared" si="3"/>
        <v>0.58353953217463939</v>
      </c>
      <c r="Q172" s="274">
        <v>19</v>
      </c>
      <c r="R172" s="276">
        <f t="shared" si="19"/>
        <v>463.33964500000002</v>
      </c>
      <c r="U172" s="17">
        <v>19</v>
      </c>
      <c r="V172" s="294">
        <v>463.33964500000002</v>
      </c>
      <c r="W172" s="227">
        <f t="shared" si="10"/>
        <v>24.386297105263157</v>
      </c>
      <c r="X172" s="78">
        <f t="shared" si="7"/>
        <v>0.64757080338006945</v>
      </c>
      <c r="AC172" s="297">
        <v>42.6991305102041</v>
      </c>
      <c r="AD172" s="17">
        <v>19</v>
      </c>
      <c r="AE172" s="227">
        <f t="shared" si="11"/>
        <v>506.03877551020412</v>
      </c>
      <c r="AF172" s="283">
        <v>42.6</v>
      </c>
      <c r="AG172" s="287">
        <f t="shared" si="8"/>
        <v>42.520878638334338</v>
      </c>
      <c r="AI172" s="17">
        <v>19</v>
      </c>
      <c r="AJ172" s="227">
        <f t="shared" si="9"/>
        <v>463.51789687186977</v>
      </c>
      <c r="AK172" s="227">
        <f t="shared" si="12"/>
        <v>24.395678782729988</v>
      </c>
      <c r="AL172" s="78">
        <f t="shared" si="13"/>
        <v>0.6478199310105589</v>
      </c>
      <c r="AM172" s="227">
        <f t="shared" si="14"/>
        <v>24.395101121068198</v>
      </c>
      <c r="AN172" s="227">
        <f t="shared" si="15"/>
        <v>463.50692130029574</v>
      </c>
    </row>
    <row r="173" spans="2:47" ht="15" x14ac:dyDescent="0.2">
      <c r="J173" s="17">
        <v>21</v>
      </c>
      <c r="K173" s="227">
        <f t="shared" si="4"/>
        <v>461.25</v>
      </c>
      <c r="L173" s="227">
        <f t="shared" si="5"/>
        <v>21.964285714285715</v>
      </c>
      <c r="M173" s="78">
        <f t="shared" si="3"/>
        <v>0.58325501753194087</v>
      </c>
      <c r="Q173" s="274">
        <v>20</v>
      </c>
      <c r="R173" s="276">
        <f t="shared" si="19"/>
        <v>488.70281299999999</v>
      </c>
      <c r="U173" s="17">
        <v>20</v>
      </c>
      <c r="V173" s="294">
        <v>488.70281299999999</v>
      </c>
      <c r="W173" s="227">
        <f t="shared" si="10"/>
        <v>24.435140650000001</v>
      </c>
      <c r="X173" s="78">
        <f t="shared" si="7"/>
        <v>0.64886782905676965</v>
      </c>
      <c r="AC173" s="297">
        <v>43.499227816326538</v>
      </c>
      <c r="AD173" s="17">
        <v>20</v>
      </c>
      <c r="AE173" s="227">
        <f t="shared" si="11"/>
        <v>532.20204081632653</v>
      </c>
      <c r="AF173" s="283">
        <v>43.5</v>
      </c>
      <c r="AG173" s="287">
        <f t="shared" si="8"/>
        <v>43.393258548181116</v>
      </c>
      <c r="AI173" s="17">
        <v>20</v>
      </c>
      <c r="AJ173" s="227">
        <f t="shared" si="9"/>
        <v>488.80878226814542</v>
      </c>
      <c r="AK173" s="227">
        <f t="shared" si="12"/>
        <v>24.440439113407272</v>
      </c>
      <c r="AL173" s="78">
        <f t="shared" si="13"/>
        <v>0.64900852816293231</v>
      </c>
      <c r="AM173" s="227">
        <f t="shared" si="14"/>
        <v>24.439860391872248</v>
      </c>
      <c r="AN173" s="227">
        <f t="shared" si="15"/>
        <v>488.79720783744494</v>
      </c>
    </row>
    <row r="174" spans="2:47" ht="15" x14ac:dyDescent="0.2">
      <c r="J174" s="17">
        <v>22</v>
      </c>
      <c r="K174" s="227">
        <f t="shared" si="4"/>
        <v>483</v>
      </c>
      <c r="L174" s="227">
        <f t="shared" si="5"/>
        <v>21.954545454545453</v>
      </c>
      <c r="M174" s="78">
        <f t="shared" si="3"/>
        <v>0.58299636785676034</v>
      </c>
      <c r="Q174" s="274">
        <v>21</v>
      </c>
      <c r="R174" s="276">
        <f t="shared" si="19"/>
        <v>514.21123699999998</v>
      </c>
      <c r="U174" s="17">
        <v>21</v>
      </c>
      <c r="V174" s="294">
        <v>514.21123699999998</v>
      </c>
      <c r="W174" s="227">
        <f t="shared" si="10"/>
        <v>24.48624938095238</v>
      </c>
      <c r="X174" s="78">
        <f t="shared" si="7"/>
        <v>0.65022500607383416</v>
      </c>
      <c r="AC174" s="297">
        <v>44.154069122448959</v>
      </c>
      <c r="AD174" s="17">
        <v>21</v>
      </c>
      <c r="AE174" s="227">
        <f t="shared" si="11"/>
        <v>558.36530612244894</v>
      </c>
      <c r="AF174" s="283">
        <v>44.3</v>
      </c>
      <c r="AG174" s="287">
        <f t="shared" si="8"/>
        <v>44.108947154271767</v>
      </c>
      <c r="AI174" s="17">
        <v>21</v>
      </c>
      <c r="AJ174" s="227">
        <f t="shared" si="9"/>
        <v>514.25635896817721</v>
      </c>
      <c r="AK174" s="227">
        <f t="shared" si="12"/>
        <v>24.488398046103676</v>
      </c>
      <c r="AL174" s="78">
        <f t="shared" si="13"/>
        <v>0.65028206323229543</v>
      </c>
      <c r="AM174" s="227">
        <f t="shared" si="14"/>
        <v>24.487818188956197</v>
      </c>
      <c r="AN174" s="227">
        <f t="shared" si="15"/>
        <v>514.24418196808017</v>
      </c>
    </row>
    <row r="175" spans="2:47" ht="15" x14ac:dyDescent="0.2">
      <c r="J175" s="17">
        <v>23</v>
      </c>
      <c r="K175" s="227">
        <f t="shared" si="4"/>
        <v>504.75</v>
      </c>
      <c r="L175" s="227">
        <f t="shared" si="5"/>
        <v>21.945652173913043</v>
      </c>
      <c r="M175" s="78">
        <f t="shared" si="3"/>
        <v>0.58276020945768259</v>
      </c>
      <c r="Q175" s="274">
        <v>22</v>
      </c>
      <c r="R175" s="276">
        <f t="shared" si="19"/>
        <v>539.86491699999999</v>
      </c>
      <c r="U175" s="17">
        <v>22</v>
      </c>
      <c r="V175" s="294">
        <v>539.86491699999999</v>
      </c>
      <c r="W175" s="227">
        <f t="shared" si="10"/>
        <v>24.53931440909091</v>
      </c>
      <c r="X175" s="78">
        <f t="shared" si="7"/>
        <v>0.6516341319757587</v>
      </c>
      <c r="AC175" s="297">
        <v>44.663654428571476</v>
      </c>
      <c r="AD175" s="17">
        <v>22</v>
      </c>
      <c r="AE175" s="227">
        <f t="shared" si="11"/>
        <v>584.52857142857147</v>
      </c>
      <c r="AF175" s="283">
        <v>44.8</v>
      </c>
      <c r="AG175" s="287">
        <f t="shared" si="8"/>
        <v>44.668695459903965</v>
      </c>
      <c r="AI175" s="17">
        <v>22</v>
      </c>
      <c r="AJ175" s="227">
        <f t="shared" si="9"/>
        <v>539.85987596866755</v>
      </c>
      <c r="AK175" s="227">
        <f t="shared" si="12"/>
        <v>24.539085271303069</v>
      </c>
      <c r="AL175" s="78">
        <f t="shared" si="13"/>
        <v>0.65162804729054724</v>
      </c>
      <c r="AM175" s="227">
        <f t="shared" si="14"/>
        <v>24.538504213940296</v>
      </c>
      <c r="AN175" s="227">
        <f t="shared" si="15"/>
        <v>539.84709270668657</v>
      </c>
    </row>
    <row r="176" spans="2:47" ht="15" x14ac:dyDescent="0.2">
      <c r="J176" s="17">
        <v>24</v>
      </c>
      <c r="K176" s="227">
        <f t="shared" si="4"/>
        <v>526.5</v>
      </c>
      <c r="L176" s="227">
        <f t="shared" si="5"/>
        <v>21.9375</v>
      </c>
      <c r="M176" s="78">
        <f t="shared" si="3"/>
        <v>0.58254373092519462</v>
      </c>
      <c r="Q176" s="274">
        <v>23</v>
      </c>
      <c r="R176" s="276">
        <f t="shared" si="19"/>
        <v>565.66385300000002</v>
      </c>
      <c r="U176" s="17">
        <v>23</v>
      </c>
      <c r="V176" s="294">
        <v>565.66385300000002</v>
      </c>
      <c r="W176" s="227">
        <f t="shared" si="10"/>
        <v>24.594080565217393</v>
      </c>
      <c r="X176" s="78">
        <f t="shared" si="7"/>
        <v>0.65308843082103973</v>
      </c>
      <c r="AC176" s="297">
        <v>45.027983734693862</v>
      </c>
      <c r="AD176" s="17">
        <v>23</v>
      </c>
      <c r="AE176" s="227">
        <f t="shared" si="11"/>
        <v>610.69183673469388</v>
      </c>
      <c r="AF176" s="283">
        <v>45.1</v>
      </c>
      <c r="AG176" s="287">
        <f t="shared" si="8"/>
        <v>45.073254468375289</v>
      </c>
      <c r="AI176" s="17">
        <v>23</v>
      </c>
      <c r="AJ176" s="227">
        <f t="shared" si="9"/>
        <v>565.61858226631864</v>
      </c>
      <c r="AK176" s="227">
        <f t="shared" si="12"/>
        <v>24.592112272448638</v>
      </c>
      <c r="AL176" s="78">
        <f t="shared" si="13"/>
        <v>0.65303616339708237</v>
      </c>
      <c r="AM176" s="227">
        <f t="shared" si="14"/>
        <v>24.591529959467366</v>
      </c>
      <c r="AN176" s="227">
        <f t="shared" si="15"/>
        <v>565.60518906774939</v>
      </c>
    </row>
    <row r="177" spans="10:40" ht="15" x14ac:dyDescent="0.2">
      <c r="J177" s="17">
        <v>25</v>
      </c>
      <c r="K177" s="227">
        <f t="shared" si="4"/>
        <v>548.25</v>
      </c>
      <c r="L177" s="227">
        <f t="shared" si="5"/>
        <v>21.93</v>
      </c>
      <c r="M177" s="78">
        <f t="shared" si="3"/>
        <v>0.58234457067530554</v>
      </c>
      <c r="Q177" s="274">
        <v>24</v>
      </c>
      <c r="R177" s="276">
        <f t="shared" si="19"/>
        <v>591.60804499999995</v>
      </c>
      <c r="U177" s="17">
        <v>24</v>
      </c>
      <c r="V177" s="294">
        <v>591.60804499999995</v>
      </c>
      <c r="W177" s="227">
        <f t="shared" si="10"/>
        <v>24.650335208333331</v>
      </c>
      <c r="X177" s="78">
        <f t="shared" si="7"/>
        <v>0.65458225599175768</v>
      </c>
      <c r="AC177" s="297">
        <v>45.247057040816344</v>
      </c>
      <c r="AD177" s="17">
        <v>24</v>
      </c>
      <c r="AE177" s="227">
        <f t="shared" si="11"/>
        <v>636.85510204081629</v>
      </c>
      <c r="AF177" s="227">
        <f t="shared" ref="AF177:AF203" si="20">AE177-V177</f>
        <v>45.247057040816344</v>
      </c>
      <c r="AG177" s="287">
        <f t="shared" si="8"/>
        <v>45.323375182983376</v>
      </c>
      <c r="AI177" s="17">
        <v>24</v>
      </c>
      <c r="AJ177" s="227">
        <f t="shared" si="9"/>
        <v>591.53172685783295</v>
      </c>
      <c r="AK177" s="227">
        <f t="shared" si="12"/>
        <v>24.64715528574304</v>
      </c>
      <c r="AL177" s="78">
        <f t="shared" si="13"/>
        <v>0.65449781410139618</v>
      </c>
      <c r="AM177" s="227">
        <f t="shared" si="14"/>
        <v>24.646571669406413</v>
      </c>
      <c r="AN177" s="227">
        <f t="shared" si="15"/>
        <v>591.51772006575391</v>
      </c>
    </row>
    <row r="178" spans="10:40" ht="15" x14ac:dyDescent="0.2">
      <c r="J178" s="17">
        <v>26</v>
      </c>
      <c r="K178" s="227">
        <f t="shared" si="4"/>
        <v>570</v>
      </c>
      <c r="L178" s="227">
        <f t="shared" si="5"/>
        <v>21.923076923076923</v>
      </c>
      <c r="M178" s="78">
        <f t="shared" si="3"/>
        <v>0.5821607304446389</v>
      </c>
      <c r="Q178" s="274">
        <v>25</v>
      </c>
      <c r="R178" s="276">
        <f t="shared" si="19"/>
        <v>617.69749300000001</v>
      </c>
      <c r="U178" s="17">
        <v>25</v>
      </c>
      <c r="V178" s="294">
        <v>617.69749300000001</v>
      </c>
      <c r="W178" s="227">
        <f t="shared" si="10"/>
        <v>24.70789972</v>
      </c>
      <c r="X178" s="78">
        <f t="shared" si="7"/>
        <v>0.65611086432886023</v>
      </c>
      <c r="AC178" s="298">
        <v>45.320874346938695</v>
      </c>
      <c r="AD178" s="280">
        <v>25</v>
      </c>
      <c r="AE178" s="272">
        <f t="shared" si="11"/>
        <v>663.0183673469387</v>
      </c>
      <c r="AF178" s="272">
        <f t="shared" si="20"/>
        <v>45.320874346938695</v>
      </c>
      <c r="AG178" s="289">
        <f t="shared" si="8"/>
        <v>45.419808607025864</v>
      </c>
      <c r="AI178" s="17">
        <v>25</v>
      </c>
      <c r="AJ178" s="227">
        <f t="shared" si="9"/>
        <v>617.59855873991285</v>
      </c>
      <c r="AK178" s="227">
        <f t="shared" si="12"/>
        <v>24.703942349596513</v>
      </c>
      <c r="AL178" s="78">
        <f t="shared" si="13"/>
        <v>0.65600577754506528</v>
      </c>
      <c r="AM178" s="227">
        <f t="shared" si="14"/>
        <v>24.703357388607419</v>
      </c>
      <c r="AN178" s="227">
        <f t="shared" si="15"/>
        <v>617.58393471518548</v>
      </c>
    </row>
    <row r="179" spans="10:40" ht="15" x14ac:dyDescent="0.2">
      <c r="J179" s="17">
        <v>27</v>
      </c>
      <c r="K179" s="227">
        <f t="shared" si="4"/>
        <v>591.75</v>
      </c>
      <c r="L179" s="227">
        <f t="shared" si="5"/>
        <v>21.916666666666668</v>
      </c>
      <c r="M179" s="78">
        <f t="shared" si="3"/>
        <v>0.58199050800883634</v>
      </c>
      <c r="Q179" s="274">
        <v>26</v>
      </c>
      <c r="R179" s="276">
        <f t="shared" si="19"/>
        <v>643.93219699999997</v>
      </c>
      <c r="U179" s="17">
        <v>26</v>
      </c>
      <c r="V179" s="294">
        <v>643.93219699999997</v>
      </c>
      <c r="W179" s="227">
        <f t="shared" si="10"/>
        <v>24.766622961538459</v>
      </c>
      <c r="X179" s="78">
        <f t="shared" si="7"/>
        <v>0.6576702423900721</v>
      </c>
      <c r="AC179" s="297">
        <v>45.249435653061141</v>
      </c>
      <c r="AD179" s="17">
        <v>26</v>
      </c>
      <c r="AE179" s="227">
        <f t="shared" si="11"/>
        <v>689.18163265306111</v>
      </c>
      <c r="AF179" s="227">
        <f t="shared" si="20"/>
        <v>45.249435653061141</v>
      </c>
      <c r="AG179" s="287">
        <f t="shared" si="8"/>
        <v>45.363305743800382</v>
      </c>
      <c r="AI179" s="17">
        <v>26</v>
      </c>
      <c r="AJ179" s="227">
        <f t="shared" si="9"/>
        <v>643.81832690926069</v>
      </c>
      <c r="AK179" s="227">
        <f t="shared" si="12"/>
        <v>24.762243342663872</v>
      </c>
      <c r="AL179" s="78">
        <f t="shared" si="13"/>
        <v>0.65755394292480795</v>
      </c>
      <c r="AM179" s="227">
        <f t="shared" si="14"/>
        <v>24.761657001174211</v>
      </c>
      <c r="AN179" s="227">
        <f t="shared" si="15"/>
        <v>643.80308203052948</v>
      </c>
    </row>
    <row r="180" spans="10:40" ht="15" x14ac:dyDescent="0.2">
      <c r="J180" s="17">
        <v>28</v>
      </c>
      <c r="K180" s="227">
        <f t="shared" si="4"/>
        <v>613.5</v>
      </c>
      <c r="L180" s="227">
        <f t="shared" si="5"/>
        <v>21.910714285714285</v>
      </c>
      <c r="M180" s="78">
        <f t="shared" si="3"/>
        <v>0.58183244431844827</v>
      </c>
      <c r="Q180" s="274">
        <v>27</v>
      </c>
      <c r="R180" s="276">
        <f t="shared" si="19"/>
        <v>670.31215700000007</v>
      </c>
      <c r="U180" s="17">
        <v>27</v>
      </c>
      <c r="V180" s="294">
        <v>670.31215700000007</v>
      </c>
      <c r="W180" s="227">
        <f t="shared" si="10"/>
        <v>24.826376185185186</v>
      </c>
      <c r="X180" s="78">
        <f t="shared" si="7"/>
        <v>0.6592569713171591</v>
      </c>
      <c r="AC180" s="297">
        <v>45.03274095918357</v>
      </c>
      <c r="AD180" s="17">
        <v>27</v>
      </c>
      <c r="AE180" s="227">
        <f t="shared" si="11"/>
        <v>715.34489795918364</v>
      </c>
      <c r="AF180" s="227">
        <f>AE180-V180</f>
        <v>45.03274095918357</v>
      </c>
      <c r="AG180" s="287">
        <f t="shared" si="8"/>
        <v>45.15461759660456</v>
      </c>
      <c r="AI180" s="17">
        <v>27</v>
      </c>
      <c r="AJ180" s="227">
        <f t="shared" si="9"/>
        <v>670.19028036257907</v>
      </c>
      <c r="AK180" s="227">
        <f t="shared" si="12"/>
        <v>24.821862235651079</v>
      </c>
      <c r="AL180" s="78">
        <f t="shared" si="13"/>
        <v>0.65913710474153253</v>
      </c>
      <c r="AM180" s="227">
        <f t="shared" si="14"/>
        <v>24.821274482454484</v>
      </c>
      <c r="AN180" s="227">
        <f t="shared" si="15"/>
        <v>670.17441102627106</v>
      </c>
    </row>
    <row r="181" spans="10:40" ht="15" x14ac:dyDescent="0.2">
      <c r="J181" s="17">
        <v>29</v>
      </c>
      <c r="K181" s="227">
        <f t="shared" si="4"/>
        <v>635.25</v>
      </c>
      <c r="L181" s="227">
        <f t="shared" si="5"/>
        <v>21.905172413793103</v>
      </c>
      <c r="M181" s="78">
        <f t="shared" si="3"/>
        <v>0.58168528157222499</v>
      </c>
      <c r="Q181" s="274">
        <v>28</v>
      </c>
      <c r="R181" s="276">
        <f t="shared" si="19"/>
        <v>696.83737299999996</v>
      </c>
      <c r="U181" s="17">
        <v>28</v>
      </c>
      <c r="V181" s="294">
        <v>696.83737299999996</v>
      </c>
      <c r="W181" s="227">
        <f t="shared" si="10"/>
        <v>24.887049035714284</v>
      </c>
      <c r="X181" s="78">
        <f t="shared" si="7"/>
        <v>0.66086812066020584</v>
      </c>
      <c r="AC181" s="297">
        <v>44.670790265306096</v>
      </c>
      <c r="AD181" s="17">
        <v>28</v>
      </c>
      <c r="AE181" s="227">
        <f t="shared" si="11"/>
        <v>741.50816326530605</v>
      </c>
      <c r="AF181" s="227">
        <f t="shared" si="20"/>
        <v>44.670790265306096</v>
      </c>
      <c r="AG181" s="287">
        <f t="shared" si="8"/>
        <v>44.794495168735999</v>
      </c>
      <c r="AI181" s="17">
        <v>28</v>
      </c>
      <c r="AJ181" s="227">
        <f t="shared" si="9"/>
        <v>696.71366809657002</v>
      </c>
      <c r="AK181" s="227">
        <f t="shared" si="12"/>
        <v>24.882631003448928</v>
      </c>
      <c r="AL181" s="78">
        <f t="shared" si="13"/>
        <v>0.66075080113887441</v>
      </c>
      <c r="AM181" s="227">
        <f t="shared" si="14"/>
        <v>24.882041811317688</v>
      </c>
      <c r="AN181" s="227">
        <f t="shared" si="15"/>
        <v>696.69717071689524</v>
      </c>
    </row>
    <row r="182" spans="10:40" ht="15" x14ac:dyDescent="0.2">
      <c r="J182" s="17">
        <v>30</v>
      </c>
      <c r="K182" s="227">
        <f t="shared" si="4"/>
        <v>657</v>
      </c>
      <c r="L182" s="227">
        <f t="shared" si="5"/>
        <v>21.9</v>
      </c>
      <c r="M182" s="78">
        <f t="shared" si="3"/>
        <v>0.58154792967574975</v>
      </c>
      <c r="Q182" s="274">
        <v>29</v>
      </c>
      <c r="R182" s="276">
        <f t="shared" si="19"/>
        <v>723.50784499999997</v>
      </c>
      <c r="U182" s="17">
        <v>29</v>
      </c>
      <c r="V182" s="294">
        <v>723.50784499999997</v>
      </c>
      <c r="W182" s="227">
        <f t="shared" si="10"/>
        <v>24.948546379310343</v>
      </c>
      <c r="X182" s="78">
        <f t="shared" si="7"/>
        <v>0.66250116416928562</v>
      </c>
      <c r="AC182" s="297">
        <v>44.163583571428489</v>
      </c>
      <c r="AD182" s="17">
        <v>29</v>
      </c>
      <c r="AE182" s="227">
        <f t="shared" si="11"/>
        <v>767.67142857142846</v>
      </c>
      <c r="AF182" s="227">
        <f t="shared" si="20"/>
        <v>44.163583571428489</v>
      </c>
      <c r="AG182" s="287">
        <f t="shared" si="8"/>
        <v>44.283689463492358</v>
      </c>
      <c r="AI182" s="17">
        <v>29</v>
      </c>
      <c r="AJ182" s="227">
        <f t="shared" si="9"/>
        <v>723.38773910793611</v>
      </c>
      <c r="AK182" s="227">
        <f t="shared" si="12"/>
        <v>24.944404796825385</v>
      </c>
      <c r="AL182" s="78">
        <f t="shared" si="13"/>
        <v>0.66239118568893363</v>
      </c>
      <c r="AM182" s="227">
        <f t="shared" si="14"/>
        <v>24.943814141961649</v>
      </c>
      <c r="AN182" s="227">
        <f t="shared" si="15"/>
        <v>723.37061011688786</v>
      </c>
    </row>
    <row r="183" spans="10:40" ht="15" x14ac:dyDescent="0.2">
      <c r="J183" s="17">
        <v>31</v>
      </c>
      <c r="K183" s="227">
        <f t="shared" si="4"/>
        <v>678.75</v>
      </c>
      <c r="L183" s="227">
        <f t="shared" si="5"/>
        <v>21.89516129032258</v>
      </c>
      <c r="M183" s="78">
        <f t="shared" si="3"/>
        <v>0.58141943919195049</v>
      </c>
      <c r="Q183" s="274">
        <v>30</v>
      </c>
      <c r="R183" s="276">
        <f t="shared" si="19"/>
        <v>750.32357300000001</v>
      </c>
      <c r="U183" s="17">
        <v>30</v>
      </c>
      <c r="V183" s="294">
        <v>750.32357300000001</v>
      </c>
      <c r="W183" s="227">
        <f t="shared" si="10"/>
        <v>25.010785766666668</v>
      </c>
      <c r="X183" s="78">
        <f t="shared" si="7"/>
        <v>0.66415391242779498</v>
      </c>
      <c r="AC183" s="297">
        <v>43.511120877550979</v>
      </c>
      <c r="AD183" s="17">
        <v>30</v>
      </c>
      <c r="AE183" s="227">
        <f t="shared" si="11"/>
        <v>793.83469387755099</v>
      </c>
      <c r="AF183" s="227">
        <f t="shared" si="20"/>
        <v>43.511120877550979</v>
      </c>
      <c r="AG183" s="287">
        <f t="shared" si="8"/>
        <v>43.622951484171246</v>
      </c>
      <c r="AI183" s="17">
        <v>30</v>
      </c>
      <c r="AJ183" s="227">
        <f t="shared" si="9"/>
        <v>750.21174239337972</v>
      </c>
      <c r="AK183" s="227">
        <f t="shared" si="12"/>
        <v>25.007058079779323</v>
      </c>
      <c r="AL183" s="78">
        <f t="shared" si="13"/>
        <v>0.66405492482086281</v>
      </c>
      <c r="AM183" s="227">
        <f t="shared" si="14"/>
        <v>25.006465941357785</v>
      </c>
      <c r="AN183" s="227">
        <f t="shared" si="15"/>
        <v>750.1939782407336</v>
      </c>
    </row>
    <row r="184" spans="10:40" ht="15" x14ac:dyDescent="0.2">
      <c r="J184" s="17">
        <v>32</v>
      </c>
      <c r="K184" s="227">
        <f t="shared" si="4"/>
        <v>700.5</v>
      </c>
      <c r="L184" s="227">
        <f t="shared" si="5"/>
        <v>21.890625</v>
      </c>
      <c r="M184" s="78">
        <f t="shared" si="3"/>
        <v>0.58129897936338859</v>
      </c>
      <c r="Q184" s="274">
        <v>31</v>
      </c>
      <c r="R184" s="276">
        <f t="shared" si="19"/>
        <v>777.28455700000006</v>
      </c>
      <c r="U184" s="17">
        <v>31</v>
      </c>
      <c r="V184" s="294">
        <v>777.28455700000006</v>
      </c>
      <c r="W184" s="227">
        <f t="shared" si="10"/>
        <v>25.073695387096777</v>
      </c>
      <c r="X184" s="78">
        <f t="shared" si="7"/>
        <v>0.66582445852449901</v>
      </c>
      <c r="AC184" s="297">
        <v>42.713402183673338</v>
      </c>
      <c r="AD184" s="17">
        <v>31</v>
      </c>
      <c r="AE184" s="227">
        <f t="shared" si="11"/>
        <v>819.9979591836734</v>
      </c>
      <c r="AF184" s="227">
        <f t="shared" si="20"/>
        <v>42.713402183673338</v>
      </c>
      <c r="AG184" s="287">
        <f t="shared" si="8"/>
        <v>42.813032234070313</v>
      </c>
      <c r="AI184" s="17">
        <v>31</v>
      </c>
      <c r="AJ184" s="227">
        <f t="shared" si="9"/>
        <v>777.1849269496031</v>
      </c>
      <c r="AK184" s="227">
        <f t="shared" si="12"/>
        <v>25.070481514503324</v>
      </c>
      <c r="AL184" s="78">
        <f t="shared" si="13"/>
        <v>0.66573911510198924</v>
      </c>
      <c r="AM184" s="227">
        <f t="shared" si="14"/>
        <v>25.069887874287677</v>
      </c>
      <c r="AN184" s="227">
        <f t="shared" si="15"/>
        <v>777.16652410291795</v>
      </c>
    </row>
    <row r="185" spans="10:40" ht="15" x14ac:dyDescent="0.2">
      <c r="J185" s="17">
        <v>33</v>
      </c>
      <c r="K185" s="227">
        <f t="shared" si="4"/>
        <v>722.25</v>
      </c>
      <c r="L185" s="227">
        <f t="shared" si="5"/>
        <v>21.886363636363637</v>
      </c>
      <c r="M185" s="78">
        <f t="shared" ref="M185:M202" si="21">SQRT(12*32.2*L185^2/(4*$B$153*($B$152*56)*$B$151^2))</f>
        <v>0.58118582013049724</v>
      </c>
      <c r="Q185" s="274">
        <v>32</v>
      </c>
      <c r="R185" s="276">
        <f t="shared" si="19"/>
        <v>804.39079700000002</v>
      </c>
      <c r="U185" s="17">
        <v>32</v>
      </c>
      <c r="V185" s="294">
        <v>804.39079700000002</v>
      </c>
      <c r="W185" s="227">
        <f t="shared" si="10"/>
        <v>25.137212406250001</v>
      </c>
      <c r="X185" s="78">
        <f t="shared" si="7"/>
        <v>0.66751113391206673</v>
      </c>
      <c r="AC185" s="297">
        <v>41.770427489795793</v>
      </c>
      <c r="AD185" s="17">
        <v>32</v>
      </c>
      <c r="AE185" s="227">
        <f t="shared" si="11"/>
        <v>846.16122448979581</v>
      </c>
      <c r="AF185" s="227">
        <f t="shared" si="20"/>
        <v>41.770427489795793</v>
      </c>
      <c r="AG185" s="287">
        <f t="shared" si="8"/>
        <v>41.85468271648714</v>
      </c>
      <c r="AI185" s="17">
        <v>32</v>
      </c>
      <c r="AJ185" s="227">
        <f t="shared" si="9"/>
        <v>804.30654177330871</v>
      </c>
      <c r="AK185" s="227">
        <f t="shared" si="12"/>
        <v>25.134579430415897</v>
      </c>
      <c r="AL185" s="78">
        <f t="shared" si="13"/>
        <v>0.66744121602872375</v>
      </c>
      <c r="AM185" s="227">
        <f t="shared" si="14"/>
        <v>25.1339842724352</v>
      </c>
      <c r="AN185" s="227">
        <f t="shared" si="15"/>
        <v>804.28749671792639</v>
      </c>
    </row>
    <row r="186" spans="10:40" ht="15" x14ac:dyDescent="0.2">
      <c r="J186" s="17">
        <v>34</v>
      </c>
      <c r="K186" s="227">
        <f t="shared" ref="K186:K202" si="22">(K$149*$J186)+K$150</f>
        <v>744</v>
      </c>
      <c r="L186" s="227">
        <f t="shared" si="5"/>
        <v>21.882352941176471</v>
      </c>
      <c r="M186" s="78">
        <f t="shared" si="21"/>
        <v>0.58107931732306994</v>
      </c>
      <c r="Q186" s="274">
        <v>33</v>
      </c>
      <c r="R186" s="276">
        <f t="shared" si="19"/>
        <v>831.642293</v>
      </c>
      <c r="U186" s="17">
        <v>33</v>
      </c>
      <c r="V186" s="294">
        <v>831.642293</v>
      </c>
      <c r="W186" s="227">
        <f t="shared" si="10"/>
        <v>25.201281606060604</v>
      </c>
      <c r="X186" s="78">
        <f t="shared" ref="X186:X203" si="23">SQRT(12*32.2*W186^2/(4*$B$153*($B$152*56)*$B$151^2))</f>
        <v>0.66921247229132874</v>
      </c>
      <c r="AC186" s="297">
        <v>40.68219679591823</v>
      </c>
      <c r="AD186" s="17">
        <v>33</v>
      </c>
      <c r="AE186" s="227">
        <f t="shared" si="11"/>
        <v>872.32448979591823</v>
      </c>
      <c r="AF186" s="227">
        <f t="shared" si="20"/>
        <v>40.68219679591823</v>
      </c>
      <c r="AG186" s="287">
        <f t="shared" ref="AG186:AG203" si="24">(AG$146*($AD186)^3)+(AG$147*($AD186)^2)+(AG$148*($AD186)^1)+(AG$149)</f>
        <v>40.748653934719393</v>
      </c>
      <c r="AI186" s="17">
        <v>33</v>
      </c>
      <c r="AJ186" s="227">
        <f t="shared" ref="AJ186:AJ203" si="25">AE186-AG186</f>
        <v>831.57583586119881</v>
      </c>
      <c r="AK186" s="227">
        <f t="shared" si="12"/>
        <v>25.199267753369661</v>
      </c>
      <c r="AL186" s="78">
        <f t="shared" ref="AL186:AL203" si="26">SQRT(12*32.2*AK186^2/(4*$B$153*($B$152*56)*$B$151^2))</f>
        <v>0.66915899503730636</v>
      </c>
      <c r="AM186" s="227">
        <f t="shared" si="14"/>
        <v>25.198671063643754</v>
      </c>
      <c r="AN186" s="227">
        <f t="shared" si="15"/>
        <v>831.55614510024384</v>
      </c>
    </row>
    <row r="187" spans="10:40" ht="15" x14ac:dyDescent="0.2">
      <c r="J187" s="17">
        <v>35</v>
      </c>
      <c r="K187" s="227">
        <f t="shared" si="22"/>
        <v>765.75</v>
      </c>
      <c r="L187" s="227">
        <f t="shared" si="5"/>
        <v>21.87857142857143</v>
      </c>
      <c r="M187" s="78">
        <f t="shared" si="21"/>
        <v>0.58097890039035283</v>
      </c>
      <c r="Q187" s="274">
        <v>34</v>
      </c>
      <c r="R187" s="276">
        <f t="shared" si="19"/>
        <v>859.03904499999987</v>
      </c>
      <c r="U187" s="17">
        <v>34</v>
      </c>
      <c r="V187" s="294">
        <v>859.03904499999987</v>
      </c>
      <c r="W187" s="227">
        <f t="shared" si="10"/>
        <v>25.265854264705879</v>
      </c>
      <c r="X187" s="78">
        <f t="shared" si="23"/>
        <v>0.67092717986890038</v>
      </c>
      <c r="AC187" s="297">
        <v>39.448710102040764</v>
      </c>
      <c r="AD187" s="17">
        <v>34</v>
      </c>
      <c r="AE187" s="227">
        <f t="shared" si="11"/>
        <v>898.48775510204064</v>
      </c>
      <c r="AF187" s="227">
        <f t="shared" si="20"/>
        <v>39.448710102040764</v>
      </c>
      <c r="AG187" s="287">
        <f t="shared" si="24"/>
        <v>39.495696892064707</v>
      </c>
      <c r="AI187" s="17">
        <v>34</v>
      </c>
      <c r="AJ187" s="227">
        <f t="shared" si="25"/>
        <v>858.99205820997588</v>
      </c>
      <c r="AK187" s="227">
        <f t="shared" si="12"/>
        <v>25.264472300293409</v>
      </c>
      <c r="AL187" s="78">
        <f t="shared" si="26"/>
        <v>0.67089048221853698</v>
      </c>
      <c r="AM187" s="227">
        <f t="shared" si="14"/>
        <v>25.263874066598699</v>
      </c>
      <c r="AN187" s="227">
        <f t="shared" si="15"/>
        <v>858.97171826435579</v>
      </c>
    </row>
    <row r="188" spans="10:40" ht="15" x14ac:dyDescent="0.2">
      <c r="J188" s="17">
        <v>36</v>
      </c>
      <c r="K188" s="227">
        <f t="shared" si="22"/>
        <v>787.5</v>
      </c>
      <c r="L188" s="227">
        <f t="shared" si="5"/>
        <v>21.875</v>
      </c>
      <c r="M188" s="78">
        <f t="shared" si="21"/>
        <v>0.58088406217611999</v>
      </c>
      <c r="Q188" s="274">
        <v>35</v>
      </c>
      <c r="R188" s="276">
        <f t="shared" si="19"/>
        <v>886.581053</v>
      </c>
      <c r="U188" s="17">
        <v>35</v>
      </c>
      <c r="V188" s="294">
        <v>886.581053</v>
      </c>
      <c r="W188" s="227">
        <f t="shared" si="10"/>
        <v>25.330887228571427</v>
      </c>
      <c r="X188" s="78">
        <f t="shared" si="23"/>
        <v>0.6726541107134979</v>
      </c>
      <c r="AC188" s="297">
        <v>38.069967408163166</v>
      </c>
      <c r="AD188" s="17">
        <v>35</v>
      </c>
      <c r="AE188" s="227">
        <f t="shared" si="11"/>
        <v>924.65102040816316</v>
      </c>
      <c r="AF188" s="227">
        <f t="shared" si="20"/>
        <v>38.069967408163166</v>
      </c>
      <c r="AG188" s="287">
        <f t="shared" si="24"/>
        <v>38.096562591820721</v>
      </c>
      <c r="AI188" s="17">
        <v>35</v>
      </c>
      <c r="AJ188" s="227">
        <f t="shared" si="25"/>
        <v>886.55445781634239</v>
      </c>
      <c r="AK188" s="227">
        <f t="shared" si="12"/>
        <v>25.330127366181213</v>
      </c>
      <c r="AL188" s="78">
        <f t="shared" si="26"/>
        <v>0.67263393279569572</v>
      </c>
      <c r="AM188" s="227">
        <f t="shared" si="14"/>
        <v>25.329527577849927</v>
      </c>
      <c r="AN188" s="227">
        <f t="shared" si="15"/>
        <v>886.53346522474749</v>
      </c>
    </row>
    <row r="189" spans="10:40" ht="15" x14ac:dyDescent="0.2">
      <c r="J189" s="17">
        <v>37</v>
      </c>
      <c r="K189" s="227">
        <f t="shared" si="22"/>
        <v>809.25</v>
      </c>
      <c r="L189" s="227">
        <f t="shared" si="5"/>
        <v>21.871621621621621</v>
      </c>
      <c r="M189" s="78">
        <f t="shared" si="21"/>
        <v>0.58079435035184568</v>
      </c>
      <c r="Q189" s="274">
        <v>36</v>
      </c>
      <c r="R189" s="276">
        <f t="shared" si="19"/>
        <v>914.26831700000002</v>
      </c>
      <c r="U189" s="17">
        <v>36</v>
      </c>
      <c r="V189" s="294">
        <v>914.26831700000002</v>
      </c>
      <c r="W189" s="227">
        <f t="shared" si="10"/>
        <v>25.39634213888889</v>
      </c>
      <c r="X189" s="78">
        <f t="shared" si="23"/>
        <v>0.67439224621953597</v>
      </c>
      <c r="AC189" s="297">
        <v>36.54596871428555</v>
      </c>
      <c r="AD189" s="17">
        <v>36</v>
      </c>
      <c r="AE189" s="227">
        <f t="shared" si="11"/>
        <v>950.81428571428557</v>
      </c>
      <c r="AF189" s="227">
        <f t="shared" si="20"/>
        <v>36.54596871428555</v>
      </c>
      <c r="AG189" s="287">
        <f t="shared" si="24"/>
        <v>36.552002037285</v>
      </c>
      <c r="AI189" s="17">
        <v>36</v>
      </c>
      <c r="AJ189" s="227">
        <f t="shared" si="25"/>
        <v>914.2622836770006</v>
      </c>
      <c r="AK189" s="227">
        <f t="shared" si="12"/>
        <v>25.396174546583349</v>
      </c>
      <c r="AL189" s="78">
        <f t="shared" si="26"/>
        <v>0.6743877958561425</v>
      </c>
      <c r="AM189" s="227">
        <f t="shared" si="14"/>
        <v>25.39557319433067</v>
      </c>
      <c r="AN189" s="227">
        <f t="shared" si="15"/>
        <v>914.24063499590409</v>
      </c>
    </row>
    <row r="190" spans="10:40" ht="15" x14ac:dyDescent="0.2">
      <c r="J190" s="17">
        <v>38</v>
      </c>
      <c r="K190" s="227">
        <f t="shared" si="22"/>
        <v>831</v>
      </c>
      <c r="L190" s="227">
        <f t="shared" si="5"/>
        <v>21.868421052631579</v>
      </c>
      <c r="M190" s="78">
        <f t="shared" si="21"/>
        <v>0.58070936020253316</v>
      </c>
      <c r="Q190" s="274">
        <v>37</v>
      </c>
      <c r="R190" s="276">
        <f t="shared" si="19"/>
        <v>942.10083699999996</v>
      </c>
      <c r="U190" s="17">
        <v>37</v>
      </c>
      <c r="V190" s="294">
        <v>942.10083699999996</v>
      </c>
      <c r="W190" s="227">
        <f t="shared" si="10"/>
        <v>25.462184783783783</v>
      </c>
      <c r="X190" s="78">
        <f t="shared" si="23"/>
        <v>0.67614067790095156</v>
      </c>
      <c r="AC190" s="297">
        <v>34.876714020408031</v>
      </c>
      <c r="AD190" s="17">
        <v>37</v>
      </c>
      <c r="AE190" s="227">
        <f t="shared" si="11"/>
        <v>976.97755102040799</v>
      </c>
      <c r="AF190" s="227">
        <f t="shared" si="20"/>
        <v>34.876714020408031</v>
      </c>
      <c r="AG190" s="287">
        <f t="shared" si="24"/>
        <v>34.862766231755209</v>
      </c>
      <c r="AI190" s="17">
        <v>37</v>
      </c>
      <c r="AJ190" s="227">
        <f t="shared" si="25"/>
        <v>942.11478478865274</v>
      </c>
      <c r="AK190" s="227">
        <f t="shared" si="12"/>
        <v>25.462561751044667</v>
      </c>
      <c r="AL190" s="78">
        <f t="shared" si="26"/>
        <v>0.67615068815346857</v>
      </c>
      <c r="AM190" s="227">
        <f t="shared" si="14"/>
        <v>25.461958826819217</v>
      </c>
      <c r="AN190" s="227">
        <f t="shared" si="15"/>
        <v>942.09247659231107</v>
      </c>
    </row>
    <row r="191" spans="10:40" ht="15" x14ac:dyDescent="0.2">
      <c r="J191" s="17">
        <v>39</v>
      </c>
      <c r="K191" s="227">
        <f t="shared" si="22"/>
        <v>852.75</v>
      </c>
      <c r="L191" s="227">
        <f t="shared" si="5"/>
        <v>21.865384615384617</v>
      </c>
      <c r="M191" s="78">
        <f t="shared" si="21"/>
        <v>0.5806287285224162</v>
      </c>
      <c r="Q191" s="274">
        <v>38</v>
      </c>
      <c r="R191" s="276">
        <f t="shared" si="19"/>
        <v>970.07861300000002</v>
      </c>
      <c r="U191" s="17">
        <v>38</v>
      </c>
      <c r="V191" s="294">
        <v>970.07861300000002</v>
      </c>
      <c r="W191" s="227">
        <f t="shared" si="10"/>
        <v>25.528384552631579</v>
      </c>
      <c r="X191" s="78">
        <f t="shared" si="23"/>
        <v>0.67789859290179388</v>
      </c>
      <c r="AC191" s="297">
        <v>33.062203326530494</v>
      </c>
      <c r="AD191" s="17">
        <v>38</v>
      </c>
      <c r="AE191" s="227">
        <f t="shared" si="11"/>
        <v>1003.1408163265305</v>
      </c>
      <c r="AF191" s="227">
        <f t="shared" si="20"/>
        <v>33.062203326530494</v>
      </c>
      <c r="AG191" s="287">
        <f t="shared" si="24"/>
        <v>33.029606178529015</v>
      </c>
      <c r="AI191" s="17">
        <v>38</v>
      </c>
      <c r="AJ191" s="227">
        <f t="shared" si="25"/>
        <v>970.11121014800153</v>
      </c>
      <c r="AK191" s="227">
        <f t="shared" si="12"/>
        <v>25.529242372315831</v>
      </c>
      <c r="AL191" s="78">
        <f t="shared" si="26"/>
        <v>0.67792137204615066</v>
      </c>
      <c r="AM191" s="227">
        <f t="shared" si="14"/>
        <v>25.528637869169831</v>
      </c>
      <c r="AN191" s="227">
        <f t="shared" si="15"/>
        <v>970.08823902845359</v>
      </c>
    </row>
    <row r="192" spans="10:40" ht="15" x14ac:dyDescent="0.2">
      <c r="J192" s="17">
        <v>40</v>
      </c>
      <c r="K192" s="227">
        <f t="shared" si="22"/>
        <v>874.5</v>
      </c>
      <c r="L192" s="227">
        <f t="shared" si="5"/>
        <v>21.862500000000001</v>
      </c>
      <c r="M192" s="78">
        <f t="shared" si="21"/>
        <v>0.5805521284263051</v>
      </c>
      <c r="Q192" s="274">
        <v>39</v>
      </c>
      <c r="R192" s="276">
        <f t="shared" si="19"/>
        <v>998.20164499999998</v>
      </c>
      <c r="U192" s="17">
        <v>39</v>
      </c>
      <c r="V192" s="294">
        <v>998.20164499999998</v>
      </c>
      <c r="W192" s="227">
        <f t="shared" si="10"/>
        <v>25.594913974358974</v>
      </c>
      <c r="X192" s="78">
        <f t="shared" si="23"/>
        <v>0.67966526173595332</v>
      </c>
      <c r="AC192" s="297">
        <v>31.102436632652939</v>
      </c>
      <c r="AD192" s="17">
        <v>39</v>
      </c>
      <c r="AE192" s="227">
        <f t="shared" si="11"/>
        <v>1029.3040816326529</v>
      </c>
      <c r="AF192" s="227">
        <f t="shared" si="20"/>
        <v>31.102436632652939</v>
      </c>
      <c r="AG192" s="287">
        <f t="shared" si="24"/>
        <v>31.05327288090395</v>
      </c>
      <c r="AI192" s="17">
        <v>39</v>
      </c>
      <c r="AJ192" s="227">
        <f t="shared" si="25"/>
        <v>998.25080875174899</v>
      </c>
      <c r="AK192" s="227">
        <f t="shared" si="12"/>
        <v>25.596174583378179</v>
      </c>
      <c r="AL192" s="78">
        <f t="shared" si="26"/>
        <v>0.67969873683025694</v>
      </c>
      <c r="AM192" s="227">
        <f t="shared" si="14"/>
        <v>25.595568495354275</v>
      </c>
      <c r="AN192" s="227">
        <f t="shared" si="15"/>
        <v>998.22717131881677</v>
      </c>
    </row>
    <row r="193" spans="10:40" ht="15" x14ac:dyDescent="0.2">
      <c r="J193" s="17">
        <v>41</v>
      </c>
      <c r="K193" s="227">
        <f t="shared" si="22"/>
        <v>896.25</v>
      </c>
      <c r="L193" s="227">
        <f t="shared" si="5"/>
        <v>21.859756097560975</v>
      </c>
      <c r="M193" s="78">
        <f t="shared" si="21"/>
        <v>0.58047926492024804</v>
      </c>
      <c r="Q193" s="274">
        <v>40</v>
      </c>
      <c r="R193" s="276">
        <f t="shared" si="19"/>
        <v>1026.4699329999999</v>
      </c>
      <c r="U193" s="17">
        <v>40</v>
      </c>
      <c r="V193" s="294">
        <v>1026.4699329999999</v>
      </c>
      <c r="W193" s="227">
        <f t="shared" si="10"/>
        <v>25.661748324999998</v>
      </c>
      <c r="X193" s="78">
        <f t="shared" si="23"/>
        <v>0.68144002786593094</v>
      </c>
      <c r="AC193" s="297">
        <v>28.99741393877548</v>
      </c>
      <c r="AD193" s="17">
        <v>40</v>
      </c>
      <c r="AE193" s="227">
        <f t="shared" si="11"/>
        <v>1055.4673469387753</v>
      </c>
      <c r="AF193" s="227">
        <f t="shared" si="20"/>
        <v>28.99741393877548</v>
      </c>
      <c r="AG193" s="287">
        <f t="shared" si="24"/>
        <v>28.934517342177717</v>
      </c>
      <c r="AI193" s="17">
        <v>40</v>
      </c>
      <c r="AJ193" s="227">
        <f t="shared" si="25"/>
        <v>1026.5328295965976</v>
      </c>
      <c r="AK193" s="227">
        <f t="shared" si="12"/>
        <v>25.663320739914941</v>
      </c>
      <c r="AL193" s="78">
        <f t="shared" si="26"/>
        <v>0.68148178287224948</v>
      </c>
      <c r="AM193" s="227">
        <f t="shared" si="14"/>
        <v>25.662713061947144</v>
      </c>
      <c r="AN193" s="227">
        <f t="shared" si="15"/>
        <v>1026.5085224778859</v>
      </c>
    </row>
    <row r="194" spans="10:40" ht="15" x14ac:dyDescent="0.2">
      <c r="J194" s="17">
        <v>42</v>
      </c>
      <c r="K194" s="227">
        <f t="shared" si="22"/>
        <v>918</v>
      </c>
      <c r="L194" s="227">
        <f t="shared" si="5"/>
        <v>21.857142857142858</v>
      </c>
      <c r="M194" s="78">
        <f t="shared" si="21"/>
        <v>0.58040987110495579</v>
      </c>
      <c r="Q194" s="274">
        <v>41</v>
      </c>
      <c r="R194" s="276">
        <f t="shared" si="19"/>
        <v>1054.8834769999999</v>
      </c>
      <c r="U194" s="17">
        <v>41</v>
      </c>
      <c r="V194" s="294">
        <v>1054.8834769999999</v>
      </c>
      <c r="W194" s="227">
        <f t="shared" si="10"/>
        <v>25.728865292682922</v>
      </c>
      <c r="X194" s="78">
        <f t="shared" si="23"/>
        <v>0.68322229880666707</v>
      </c>
      <c r="AC194" s="297">
        <v>26.747135244897891</v>
      </c>
      <c r="AD194" s="17">
        <v>41</v>
      </c>
      <c r="AE194" s="227">
        <f t="shared" si="11"/>
        <v>1081.6306122448977</v>
      </c>
      <c r="AF194" s="227">
        <f t="shared" si="20"/>
        <v>26.747135244897891</v>
      </c>
      <c r="AG194" s="287">
        <f t="shared" si="24"/>
        <v>26.674090565647933</v>
      </c>
      <c r="AI194" s="17">
        <v>41</v>
      </c>
      <c r="AJ194" s="227">
        <f t="shared" si="25"/>
        <v>1054.9565216792498</v>
      </c>
      <c r="AK194" s="227">
        <f t="shared" si="12"/>
        <v>25.730646870225605</v>
      </c>
      <c r="AL194" s="78">
        <f t="shared" si="26"/>
        <v>0.68326960806381332</v>
      </c>
      <c r="AM194" s="227">
        <f t="shared" si="14"/>
        <v>25.730037598052352</v>
      </c>
      <c r="AN194" s="227">
        <f t="shared" si="15"/>
        <v>1054.9315415201465</v>
      </c>
    </row>
    <row r="195" spans="10:40" ht="15" x14ac:dyDescent="0.2">
      <c r="J195" s="17">
        <v>43</v>
      </c>
      <c r="K195" s="227">
        <f t="shared" si="22"/>
        <v>939.75</v>
      </c>
      <c r="L195" s="227">
        <f t="shared" si="5"/>
        <v>21.854651162790699</v>
      </c>
      <c r="M195" s="78">
        <f t="shared" si="21"/>
        <v>0.58034370490897935</v>
      </c>
      <c r="Q195" s="274">
        <v>42</v>
      </c>
      <c r="R195" s="276">
        <f t="shared" si="19"/>
        <v>1083.4422769999999</v>
      </c>
      <c r="U195" s="17">
        <v>42</v>
      </c>
      <c r="V195" s="294">
        <v>1083.4422769999999</v>
      </c>
      <c r="W195" s="227">
        <f t="shared" si="10"/>
        <v>25.796244690476186</v>
      </c>
      <c r="X195" s="78">
        <f t="shared" si="23"/>
        <v>0.68501153850025021</v>
      </c>
      <c r="AC195" s="297">
        <v>24.351600551020283</v>
      </c>
      <c r="AD195" s="17">
        <v>42</v>
      </c>
      <c r="AE195" s="227">
        <f t="shared" si="11"/>
        <v>1107.7938775510202</v>
      </c>
      <c r="AF195" s="227">
        <f t="shared" si="20"/>
        <v>24.351600551020283</v>
      </c>
      <c r="AG195" s="287">
        <f t="shared" si="24"/>
        <v>24.272743554612195</v>
      </c>
      <c r="AI195" s="17">
        <v>42</v>
      </c>
      <c r="AJ195" s="227">
        <f t="shared" si="25"/>
        <v>1083.521133996408</v>
      </c>
      <c r="AK195" s="227">
        <f t="shared" si="12"/>
        <v>25.798122238009714</v>
      </c>
      <c r="AL195" s="78">
        <f t="shared" si="26"/>
        <v>0.68506139621171103</v>
      </c>
      <c r="AM195" s="227">
        <f t="shared" si="14"/>
        <v>25.797511368097233</v>
      </c>
      <c r="AN195" s="227">
        <f t="shared" si="15"/>
        <v>1083.4954774600837</v>
      </c>
    </row>
    <row r="196" spans="10:40" ht="15" x14ac:dyDescent="0.2">
      <c r="J196" s="17">
        <v>44</v>
      </c>
      <c r="K196" s="227">
        <f t="shared" si="22"/>
        <v>961.5</v>
      </c>
      <c r="L196" s="227">
        <f t="shared" si="5"/>
        <v>21.852272727272727</v>
      </c>
      <c r="M196" s="78">
        <f t="shared" si="21"/>
        <v>0.58028054626736547</v>
      </c>
      <c r="Q196" s="274">
        <v>43</v>
      </c>
      <c r="R196" s="276">
        <f t="shared" si="19"/>
        <v>1112.1463329999999</v>
      </c>
      <c r="U196" s="17">
        <v>43</v>
      </c>
      <c r="V196" s="294">
        <v>1112.1463329999999</v>
      </c>
      <c r="W196" s="227">
        <f t="shared" si="10"/>
        <v>25.863868209302325</v>
      </c>
      <c r="X196" s="78">
        <f t="shared" si="23"/>
        <v>0.6868072607546214</v>
      </c>
      <c r="AC196" s="297">
        <v>21.810809857142658</v>
      </c>
      <c r="AD196" s="17">
        <v>43</v>
      </c>
      <c r="AE196" s="227">
        <f t="shared" si="11"/>
        <v>1133.9571428571426</v>
      </c>
      <c r="AF196" s="227">
        <f t="shared" si="20"/>
        <v>21.810809857142658</v>
      </c>
      <c r="AG196" s="287">
        <f t="shared" si="24"/>
        <v>21.731227312368194</v>
      </c>
      <c r="AI196" s="17">
        <v>43</v>
      </c>
      <c r="AJ196" s="227">
        <f t="shared" si="25"/>
        <v>1112.2259155447744</v>
      </c>
      <c r="AK196" s="227">
        <f t="shared" si="12"/>
        <v>25.865718966157544</v>
      </c>
      <c r="AL196" s="78">
        <f t="shared" si="26"/>
        <v>0.68685640704765727</v>
      </c>
      <c r="AM196" s="227">
        <f t="shared" si="14"/>
        <v>25.865106495632151</v>
      </c>
      <c r="AN196" s="227">
        <f t="shared" si="15"/>
        <v>1112.1995793121825</v>
      </c>
    </row>
    <row r="197" spans="10:40" ht="15" x14ac:dyDescent="0.2">
      <c r="J197" s="17">
        <v>45</v>
      </c>
      <c r="K197" s="227">
        <f t="shared" si="22"/>
        <v>983.25</v>
      </c>
      <c r="L197" s="227">
        <f t="shared" si="5"/>
        <v>21.85</v>
      </c>
      <c r="M197" s="78">
        <f t="shared" si="21"/>
        <v>0.58022019467649011</v>
      </c>
      <c r="Q197" s="274">
        <v>44</v>
      </c>
      <c r="R197" s="276">
        <f t="shared" si="19"/>
        <v>1140.995645</v>
      </c>
      <c r="U197" s="17">
        <v>44</v>
      </c>
      <c r="V197" s="294">
        <v>1140.995645</v>
      </c>
      <c r="W197" s="227">
        <f t="shared" si="10"/>
        <v>25.931719204545455</v>
      </c>
      <c r="X197" s="78">
        <f t="shared" si="23"/>
        <v>0.6886090235769996</v>
      </c>
      <c r="AC197" s="297">
        <v>19.124763163265243</v>
      </c>
      <c r="AD197" s="17">
        <v>44</v>
      </c>
      <c r="AE197" s="227">
        <f t="shared" si="11"/>
        <v>1160.1204081632652</v>
      </c>
      <c r="AF197" s="227">
        <f t="shared" si="20"/>
        <v>19.124763163265243</v>
      </c>
      <c r="AG197" s="287">
        <f t="shared" si="24"/>
        <v>19.050292842213512</v>
      </c>
      <c r="AI197" s="17">
        <v>44</v>
      </c>
      <c r="AJ197" s="227">
        <f t="shared" si="25"/>
        <v>1141.0701153210516</v>
      </c>
      <c r="AK197" s="227">
        <f t="shared" si="12"/>
        <v>25.933411711842083</v>
      </c>
      <c r="AL197" s="78">
        <f t="shared" si="26"/>
        <v>0.68865396760048436</v>
      </c>
      <c r="AM197" s="227">
        <f t="shared" si="14"/>
        <v>25.932797638430205</v>
      </c>
      <c r="AN197" s="227">
        <f t="shared" si="15"/>
        <v>1141.0430960909291</v>
      </c>
    </row>
    <row r="198" spans="10:40" ht="15" x14ac:dyDescent="0.2">
      <c r="J198" s="17">
        <v>46</v>
      </c>
      <c r="K198" s="227">
        <f t="shared" si="22"/>
        <v>1005</v>
      </c>
      <c r="L198" s="227">
        <f t="shared" si="5"/>
        <v>21.847826086956523</v>
      </c>
      <c r="M198" s="78">
        <f t="shared" si="21"/>
        <v>0.5801624670678267</v>
      </c>
      <c r="Q198" s="274">
        <v>45</v>
      </c>
      <c r="R198" s="276">
        <f t="shared" si="19"/>
        <v>1169.9902129999998</v>
      </c>
      <c r="U198" s="17">
        <v>45</v>
      </c>
      <c r="V198" s="294">
        <v>1169.9902129999998</v>
      </c>
      <c r="W198" s="227">
        <f t="shared" si="10"/>
        <v>25.999782511111107</v>
      </c>
      <c r="X198" s="78">
        <f t="shared" si="23"/>
        <v>0.69041642426285077</v>
      </c>
      <c r="AC198" s="297">
        <v>16.29346046938781</v>
      </c>
      <c r="AD198" s="17">
        <v>45</v>
      </c>
      <c r="AE198" s="227">
        <f t="shared" si="11"/>
        <v>1186.2836734693876</v>
      </c>
      <c r="AF198" s="227">
        <f t="shared" si="20"/>
        <v>16.29346046938781</v>
      </c>
      <c r="AG198" s="287">
        <f t="shared" si="24"/>
        <v>16.230691147445729</v>
      </c>
      <c r="AI198" s="17">
        <v>45</v>
      </c>
      <c r="AJ198" s="227">
        <f t="shared" si="25"/>
        <v>1170.052982321942</v>
      </c>
      <c r="AK198" s="227">
        <f t="shared" si="12"/>
        <v>26.001177384932042</v>
      </c>
      <c r="AL198" s="78">
        <f t="shared" si="26"/>
        <v>0.69045346471868285</v>
      </c>
      <c r="AM198" s="227">
        <f t="shared" si="14"/>
        <v>26.000561706906833</v>
      </c>
      <c r="AN198" s="227">
        <f t="shared" si="15"/>
        <v>1170.0252768108076</v>
      </c>
    </row>
    <row r="199" spans="10:40" ht="15" x14ac:dyDescent="0.2">
      <c r="J199" s="17">
        <v>47</v>
      </c>
      <c r="K199" s="227">
        <f t="shared" si="22"/>
        <v>1026.75</v>
      </c>
      <c r="L199" s="227">
        <f t="shared" si="5"/>
        <v>21.845744680851062</v>
      </c>
      <c r="M199" s="78">
        <f t="shared" si="21"/>
        <v>0.58010719595314875</v>
      </c>
      <c r="Q199" s="274">
        <v>46</v>
      </c>
      <c r="R199" s="276">
        <f t="shared" si="19"/>
        <v>1199.1300369999999</v>
      </c>
      <c r="U199" s="17">
        <v>46</v>
      </c>
      <c r="V199" s="294">
        <v>1199.1300369999999</v>
      </c>
      <c r="W199" s="227">
        <f t="shared" si="10"/>
        <v>26.068044282608692</v>
      </c>
      <c r="X199" s="78">
        <f t="shared" si="23"/>
        <v>0.69222909512542707</v>
      </c>
      <c r="AC199" s="297">
        <v>13.316901775510132</v>
      </c>
      <c r="AD199" s="17">
        <v>46</v>
      </c>
      <c r="AE199" s="227">
        <f t="shared" si="11"/>
        <v>1212.44693877551</v>
      </c>
      <c r="AF199" s="227">
        <f t="shared" si="20"/>
        <v>13.316901775510132</v>
      </c>
      <c r="AG199" s="287">
        <f t="shared" si="24"/>
        <v>13.273173231362595</v>
      </c>
      <c r="AI199" s="17">
        <v>46</v>
      </c>
      <c r="AJ199" s="227">
        <f t="shared" si="25"/>
        <v>1199.1737655441475</v>
      </c>
      <c r="AK199" s="227">
        <f t="shared" si="12"/>
        <v>26.068994903133643</v>
      </c>
      <c r="AL199" s="78">
        <f t="shared" si="26"/>
        <v>0.69225433856826679</v>
      </c>
      <c r="AM199" s="227">
        <f t="shared" si="14"/>
        <v>26.068377619267469</v>
      </c>
      <c r="AN199" s="227">
        <f t="shared" si="15"/>
        <v>1199.1453704863036</v>
      </c>
    </row>
    <row r="200" spans="10:40" ht="15" x14ac:dyDescent="0.2">
      <c r="J200" s="17">
        <v>48</v>
      </c>
      <c r="K200" s="227">
        <f t="shared" si="22"/>
        <v>1048.5</v>
      </c>
      <c r="L200" s="227">
        <f t="shared" si="5"/>
        <v>21.84375</v>
      </c>
      <c r="M200" s="78">
        <f t="shared" si="21"/>
        <v>0.58005422780158267</v>
      </c>
      <c r="Q200" s="274">
        <v>47</v>
      </c>
      <c r="R200" s="276">
        <f t="shared" si="19"/>
        <v>1228.4151169999998</v>
      </c>
      <c r="U200" s="17">
        <v>47</v>
      </c>
      <c r="V200" s="294">
        <v>1228.4151169999998</v>
      </c>
      <c r="W200" s="227">
        <f t="shared" si="10"/>
        <v>26.136491851063827</v>
      </c>
      <c r="X200" s="78">
        <f t="shared" si="23"/>
        <v>0.69404669977046918</v>
      </c>
      <c r="AC200" s="297">
        <v>10.195087081632664</v>
      </c>
      <c r="AD200" s="17">
        <v>47</v>
      </c>
      <c r="AE200" s="227">
        <f t="shared" si="11"/>
        <v>1238.6102040816324</v>
      </c>
      <c r="AF200" s="227">
        <f t="shared" si="20"/>
        <v>10.195087081632664</v>
      </c>
      <c r="AG200" s="287">
        <f t="shared" si="24"/>
        <v>10.178490097261633</v>
      </c>
      <c r="AI200" s="17">
        <v>47</v>
      </c>
      <c r="AJ200" s="227">
        <f t="shared" si="25"/>
        <v>1228.4317139843708</v>
      </c>
      <c r="AK200" s="227">
        <f t="shared" si="12"/>
        <v>26.136844978390869</v>
      </c>
      <c r="AL200" s="78">
        <f t="shared" si="26"/>
        <v>0.69405607696069538</v>
      </c>
      <c r="AM200" s="227">
        <f t="shared" si="14"/>
        <v>26.136226087912828</v>
      </c>
      <c r="AN200" s="227">
        <f t="shared" si="15"/>
        <v>1228.4026261319029</v>
      </c>
    </row>
    <row r="201" spans="10:40" ht="15" x14ac:dyDescent="0.2">
      <c r="J201" s="17">
        <v>49</v>
      </c>
      <c r="K201" s="227">
        <f t="shared" si="22"/>
        <v>1070.25</v>
      </c>
      <c r="L201" s="227">
        <f t="shared" si="5"/>
        <v>21.841836734693878</v>
      </c>
      <c r="M201" s="78">
        <f t="shared" si="21"/>
        <v>0.58000342161538643</v>
      </c>
      <c r="Q201" s="274">
        <v>48</v>
      </c>
      <c r="R201" s="276">
        <f t="shared" si="19"/>
        <v>1257.8454529999999</v>
      </c>
      <c r="U201" s="17">
        <v>48</v>
      </c>
      <c r="V201" s="294">
        <v>1257.8454529999999</v>
      </c>
      <c r="W201" s="227">
        <f t="shared" si="10"/>
        <v>26.205113604166666</v>
      </c>
      <c r="X201" s="78">
        <f t="shared" si="23"/>
        <v>0.69586892983657311</v>
      </c>
      <c r="AC201" s="297">
        <v>6.9280163877549512</v>
      </c>
      <c r="AD201" s="17">
        <v>48</v>
      </c>
      <c r="AE201" s="227">
        <f t="shared" si="11"/>
        <v>1264.7734693877549</v>
      </c>
      <c r="AF201" s="227">
        <f t="shared" si="20"/>
        <v>6.9280163877549512</v>
      </c>
      <c r="AG201" s="287">
        <f t="shared" si="24"/>
        <v>6.9473927484404827</v>
      </c>
      <c r="AI201" s="17">
        <v>48</v>
      </c>
      <c r="AJ201" s="227">
        <f t="shared" si="25"/>
        <v>1257.8260766393144</v>
      </c>
      <c r="AK201" s="227">
        <f t="shared" si="12"/>
        <v>26.204709929985714</v>
      </c>
      <c r="AL201" s="78">
        <f t="shared" si="26"/>
        <v>0.69585821038980622</v>
      </c>
      <c r="AM201" s="227">
        <f t="shared" si="14"/>
        <v>26.204089432543544</v>
      </c>
      <c r="AN201" s="227">
        <f t="shared" si="15"/>
        <v>1257.7962927620902</v>
      </c>
    </row>
    <row r="202" spans="10:40" ht="15" x14ac:dyDescent="0.2">
      <c r="J202" s="17">
        <v>50</v>
      </c>
      <c r="K202" s="227">
        <f t="shared" si="22"/>
        <v>1092</v>
      </c>
      <c r="L202" s="227">
        <f t="shared" si="5"/>
        <v>21.84</v>
      </c>
      <c r="M202" s="78">
        <f t="shared" si="21"/>
        <v>0.57995464767663818</v>
      </c>
      <c r="Q202" s="274">
        <v>49</v>
      </c>
      <c r="R202" s="276">
        <f t="shared" si="19"/>
        <v>1287.421045</v>
      </c>
      <c r="U202" s="17">
        <v>49</v>
      </c>
      <c r="V202" s="294">
        <v>1287.421045</v>
      </c>
      <c r="W202" s="227">
        <f t="shared" si="10"/>
        <v>26.273898877551023</v>
      </c>
      <c r="X202" s="78">
        <f t="shared" si="23"/>
        <v>0.69769550213469422</v>
      </c>
      <c r="AC202" s="297">
        <v>3.5156896938772206</v>
      </c>
      <c r="AD202" s="17">
        <v>49</v>
      </c>
      <c r="AE202" s="227">
        <f t="shared" si="11"/>
        <v>1290.9367346938773</v>
      </c>
      <c r="AF202" s="227">
        <f t="shared" si="20"/>
        <v>3.5156896938772206</v>
      </c>
      <c r="AG202" s="287">
        <f t="shared" si="24"/>
        <v>3.5806321881968062</v>
      </c>
      <c r="AI202" s="17">
        <v>49</v>
      </c>
      <c r="AJ202" s="227">
        <f t="shared" si="25"/>
        <v>1287.3561025056804</v>
      </c>
      <c r="AK202" s="227">
        <f t="shared" si="12"/>
        <v>26.272573520524091</v>
      </c>
      <c r="AL202" s="78">
        <f t="shared" si="26"/>
        <v>0.6976603076764708</v>
      </c>
      <c r="AM202" s="227">
        <f t="shared" si="14"/>
        <v>26.271951416150017</v>
      </c>
      <c r="AN202" s="227">
        <f t="shared" si="15"/>
        <v>1287.3256193913508</v>
      </c>
    </row>
    <row r="203" spans="10:40" ht="15" x14ac:dyDescent="0.2">
      <c r="J203" s="17"/>
      <c r="Q203" s="277">
        <v>50</v>
      </c>
      <c r="R203" s="278">
        <f t="shared" si="19"/>
        <v>1317.1418929999998</v>
      </c>
      <c r="U203" s="17">
        <v>50</v>
      </c>
      <c r="V203" s="295">
        <v>1317.1418929999998</v>
      </c>
      <c r="W203" s="227">
        <f t="shared" si="10"/>
        <v>26.342837859999996</v>
      </c>
      <c r="X203" s="78">
        <f t="shared" si="23"/>
        <v>0.69952615613091129</v>
      </c>
      <c r="AC203" s="297">
        <v>-4.1893000000072789E-2</v>
      </c>
      <c r="AD203" s="17">
        <v>50</v>
      </c>
      <c r="AE203" s="227">
        <f t="shared" si="11"/>
        <v>1317.0999999999997</v>
      </c>
      <c r="AF203" s="227">
        <f t="shared" si="20"/>
        <v>-4.1893000000072789E-2</v>
      </c>
      <c r="AG203" s="287">
        <f t="shared" si="24"/>
        <v>7.8959419828241728E-2</v>
      </c>
      <c r="AI203" s="17">
        <v>50</v>
      </c>
      <c r="AJ203" s="227">
        <f t="shared" si="25"/>
        <v>1317.0210405801715</v>
      </c>
      <c r="AK203" s="227">
        <f t="shared" si="12"/>
        <v>26.34042081160343</v>
      </c>
      <c r="AL203" s="78">
        <f t="shared" si="26"/>
        <v>0.69946197213589079</v>
      </c>
      <c r="AM203" s="227">
        <f t="shared" si="14"/>
        <v>26.339797100683409</v>
      </c>
      <c r="AN203" s="227">
        <f t="shared" si="15"/>
        <v>1316.9898550341704</v>
      </c>
    </row>
    <row r="204" spans="10:40" x14ac:dyDescent="0.2">
      <c r="J204" s="17"/>
      <c r="AC204" s="299"/>
    </row>
    <row r="205" spans="10:40" x14ac:dyDescent="0.2">
      <c r="J205" s="17"/>
    </row>
    <row r="206" spans="10:40" x14ac:dyDescent="0.2">
      <c r="J206" s="17"/>
    </row>
    <row r="207" spans="10:40" x14ac:dyDescent="0.2">
      <c r="J207" s="17"/>
    </row>
    <row r="208" spans="10:40" x14ac:dyDescent="0.2">
      <c r="J208" s="17"/>
    </row>
    <row r="209" spans="10:10" x14ac:dyDescent="0.2">
      <c r="J209" s="17"/>
    </row>
    <row r="210" spans="10:10" x14ac:dyDescent="0.2">
      <c r="J210" s="17"/>
    </row>
    <row r="211" spans="10:10" x14ac:dyDescent="0.2">
      <c r="J211" s="17"/>
    </row>
    <row r="212" spans="10:10" x14ac:dyDescent="0.2">
      <c r="J212" s="17"/>
    </row>
    <row r="213" spans="10:10" x14ac:dyDescent="0.2">
      <c r="J213" s="17"/>
    </row>
    <row r="214" spans="10:10" x14ac:dyDescent="0.2">
      <c r="J214" s="17"/>
    </row>
    <row r="215" spans="10:10" x14ac:dyDescent="0.2">
      <c r="J215" s="17"/>
    </row>
    <row r="216" spans="10:10" x14ac:dyDescent="0.2">
      <c r="J216" s="17"/>
    </row>
    <row r="217" spans="10:10" x14ac:dyDescent="0.2">
      <c r="J217" s="17"/>
    </row>
    <row r="218" spans="10:10" x14ac:dyDescent="0.2">
      <c r="J218" s="17"/>
    </row>
    <row r="219" spans="10:10" x14ac:dyDescent="0.2">
      <c r="J219" s="17"/>
    </row>
    <row r="220" spans="10:10" x14ac:dyDescent="0.2">
      <c r="J220" s="17"/>
    </row>
    <row r="221" spans="10:10" x14ac:dyDescent="0.2">
      <c r="J221" s="17"/>
    </row>
    <row r="222" spans="10:10" x14ac:dyDescent="0.2">
      <c r="J222" s="17"/>
    </row>
    <row r="223" spans="10:10" x14ac:dyDescent="0.2">
      <c r="J223" s="17"/>
    </row>
    <row r="224" spans="10:10" x14ac:dyDescent="0.2">
      <c r="J224" s="17"/>
    </row>
    <row r="225" spans="10:10" x14ac:dyDescent="0.2">
      <c r="J225" s="17"/>
    </row>
    <row r="226" spans="10:10" x14ac:dyDescent="0.2">
      <c r="J226" s="17"/>
    </row>
    <row r="227" spans="10:10" x14ac:dyDescent="0.2">
      <c r="J227" s="17"/>
    </row>
    <row r="228" spans="10:10" x14ac:dyDescent="0.2">
      <c r="J228" s="17"/>
    </row>
    <row r="229" spans="10:10" x14ac:dyDescent="0.2">
      <c r="J229" s="17"/>
    </row>
    <row r="230" spans="10:10" x14ac:dyDescent="0.2">
      <c r="J230" s="17"/>
    </row>
    <row r="231" spans="10:10" x14ac:dyDescent="0.2">
      <c r="J231" s="17"/>
    </row>
    <row r="232" spans="10:10" x14ac:dyDescent="0.2">
      <c r="J232" s="17"/>
    </row>
    <row r="233" spans="10:10" x14ac:dyDescent="0.2">
      <c r="J233" s="17"/>
    </row>
    <row r="234" spans="10:10" x14ac:dyDescent="0.2">
      <c r="J234" s="17"/>
    </row>
    <row r="235" spans="10:10" x14ac:dyDescent="0.2">
      <c r="J235" s="17"/>
    </row>
    <row r="236" spans="10:10" x14ac:dyDescent="0.2">
      <c r="J236" s="17"/>
    </row>
    <row r="237" spans="10:10" x14ac:dyDescent="0.2">
      <c r="J237" s="17"/>
    </row>
    <row r="238" spans="10:10" x14ac:dyDescent="0.2">
      <c r="J238" s="17"/>
    </row>
    <row r="239" spans="10:10" x14ac:dyDescent="0.2">
      <c r="J239" s="17"/>
    </row>
    <row r="240" spans="10:10" x14ac:dyDescent="0.2">
      <c r="J240" s="17"/>
    </row>
    <row r="241" spans="10:10" x14ac:dyDescent="0.2">
      <c r="J241" s="17"/>
    </row>
    <row r="242" spans="10:10" x14ac:dyDescent="0.2">
      <c r="J242" s="17"/>
    </row>
    <row r="243" spans="10:10" x14ac:dyDescent="0.2">
      <c r="J243" s="17"/>
    </row>
    <row r="249" spans="10:10" x14ac:dyDescent="0.2">
      <c r="J249" s="17"/>
    </row>
    <row r="250" spans="10:10" x14ac:dyDescent="0.2">
      <c r="J250" s="17"/>
    </row>
    <row r="251" spans="10:10" x14ac:dyDescent="0.2">
      <c r="J251" s="17"/>
    </row>
    <row r="252" spans="10:10" x14ac:dyDescent="0.2">
      <c r="J252" s="17"/>
    </row>
    <row r="253" spans="10:10" x14ac:dyDescent="0.2">
      <c r="J253" s="17"/>
    </row>
    <row r="254" spans="10:10" x14ac:dyDescent="0.2">
      <c r="J254" s="17"/>
    </row>
  </sheetData>
  <sortState xmlns:xlrd2="http://schemas.microsoft.com/office/spreadsheetml/2017/richdata2" ref="AH154:AH167">
    <sortCondition ref="AH154:AH167"/>
  </sortState>
  <pageMargins left="0.7" right="0.7" top="0.25" bottom="0.25" header="0.3" footer="0.3"/>
  <pageSetup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99903-B652-4CEE-961B-A2FB520712BE}">
  <sheetPr transitionEvaluation="1" transitionEntry="1"/>
  <dimension ref="B1:X93"/>
  <sheetViews>
    <sheetView showGridLines="0" topLeftCell="A4" zoomScale="90" zoomScaleNormal="90" workbookViewId="0">
      <selection activeCell="B26" sqref="B26"/>
    </sheetView>
  </sheetViews>
  <sheetFormatPr defaultRowHeight="12.75" x14ac:dyDescent="0.2"/>
  <sheetData>
    <row r="1" spans="6:21" x14ac:dyDescent="0.2">
      <c r="N1" s="310"/>
    </row>
    <row r="13" spans="6:21" ht="15" x14ac:dyDescent="0.25">
      <c r="F13" s="224" t="s">
        <v>123</v>
      </c>
      <c r="G13" s="224" t="s">
        <v>124</v>
      </c>
      <c r="H13" s="224"/>
      <c r="S13" s="224" t="s">
        <v>123</v>
      </c>
      <c r="T13" s="224" t="s">
        <v>124</v>
      </c>
      <c r="U13" s="224"/>
    </row>
    <row r="14" spans="6:21" ht="15" x14ac:dyDescent="0.25">
      <c r="F14" s="225">
        <v>1</v>
      </c>
      <c r="G14" s="232">
        <v>34.799999999999997</v>
      </c>
      <c r="H14" s="233"/>
      <c r="S14" s="225">
        <v>1</v>
      </c>
      <c r="T14" s="232">
        <v>29.1</v>
      </c>
      <c r="U14" s="233"/>
    </row>
    <row r="15" spans="6:21" ht="15" x14ac:dyDescent="0.25">
      <c r="F15" s="225">
        <v>50</v>
      </c>
      <c r="G15" s="232">
        <v>1318.1</v>
      </c>
      <c r="H15" s="233"/>
      <c r="S15" s="225">
        <v>50</v>
      </c>
      <c r="T15" s="232">
        <v>1348.2</v>
      </c>
      <c r="U15" s="233"/>
    </row>
    <row r="16" spans="6:21" x14ac:dyDescent="0.2">
      <c r="F16" s="160"/>
      <c r="G16" s="279" cm="1">
        <f t="array" ref="G16">_xlfn.SINGLE(INDEX(LINEST(G14:G15,($F14:$F15)^{1}),1))</f>
        <v>26.189795918367345</v>
      </c>
      <c r="H16" s="160"/>
      <c r="S16" s="160"/>
      <c r="T16" s="279" cm="1">
        <f t="array" ref="T16">_xlfn.SINGLE(INDEX(LINEST(T14:T15,($S14:$S15)^{1}),1))</f>
        <v>26.920408163265304</v>
      </c>
      <c r="U16" s="160"/>
    </row>
    <row r="17" spans="2:24" x14ac:dyDescent="0.2">
      <c r="F17" s="160"/>
      <c r="G17" s="279" cm="1">
        <f t="array" ref="G17">INDEX(LINEST(G14:G15,($F14:$F15)^{1}),1,2)</f>
        <v>8.6102040816326735</v>
      </c>
      <c r="H17" s="160"/>
      <c r="S17" s="160"/>
      <c r="T17" s="279" cm="1">
        <f t="array" ref="T17">INDEX(LINEST(T14:T15,($S14:$S15)^{1}),1,2)</f>
        <v>2.179591836734744</v>
      </c>
      <c r="U17" s="160"/>
    </row>
    <row r="18" spans="2:24" x14ac:dyDescent="0.2">
      <c r="B18" s="101"/>
      <c r="C18" s="117" t="s">
        <v>73</v>
      </c>
      <c r="D18" s="101"/>
      <c r="E18" s="101" t="s">
        <v>50</v>
      </c>
    </row>
    <row r="19" spans="2:24" ht="15" x14ac:dyDescent="0.2">
      <c r="B19" s="103" t="s">
        <v>9</v>
      </c>
      <c r="C19" s="101" t="s">
        <v>47</v>
      </c>
      <c r="D19" s="104" t="s">
        <v>56</v>
      </c>
      <c r="E19" s="101" t="s">
        <v>51</v>
      </c>
      <c r="F19" s="19" t="s">
        <v>123</v>
      </c>
      <c r="G19" s="282" t="s">
        <v>124</v>
      </c>
      <c r="H19" s="290" t="s">
        <v>182</v>
      </c>
      <c r="P19" s="308" t="s">
        <v>123</v>
      </c>
      <c r="Q19" s="308" t="s">
        <v>201</v>
      </c>
      <c r="R19" s="308" t="s">
        <v>47</v>
      </c>
      <c r="S19" s="19" t="s">
        <v>123</v>
      </c>
      <c r="T19" s="282" t="s">
        <v>124</v>
      </c>
      <c r="U19" s="290" t="s">
        <v>182</v>
      </c>
    </row>
    <row r="20" spans="2:24" ht="15" x14ac:dyDescent="0.25">
      <c r="B20" s="92">
        <v>1</v>
      </c>
      <c r="C20" s="111">
        <v>0.92510000000000003</v>
      </c>
      <c r="D20" s="98">
        <v>34.838084318002032</v>
      </c>
      <c r="E20" s="157">
        <v>34.838084318002032</v>
      </c>
      <c r="F20" s="17">
        <v>1</v>
      </c>
      <c r="G20" s="227">
        <f t="shared" ref="G20:G29" si="0">(G$16*F20)+G$17</f>
        <v>34.800000000000018</v>
      </c>
      <c r="H20" s="283">
        <f t="shared" ref="H20:H29" si="1">G20-E20</f>
        <v>-3.8084318002013617E-2</v>
      </c>
      <c r="P20" s="308">
        <v>1</v>
      </c>
      <c r="Q20" s="266">
        <v>29.1</v>
      </c>
      <c r="R20" s="309">
        <v>0.7</v>
      </c>
      <c r="S20" s="17">
        <v>1</v>
      </c>
      <c r="T20" s="227">
        <f t="shared" ref="T20:T29" si="2">(T$16*S20)+T$17</f>
        <v>29.100000000000048</v>
      </c>
      <c r="U20" s="283">
        <f>T20-Q20</f>
        <v>4.6185277824406512E-14</v>
      </c>
    </row>
    <row r="21" spans="2:24" ht="15" x14ac:dyDescent="0.25">
      <c r="B21" s="92">
        <v>2</v>
      </c>
      <c r="C21" s="112">
        <v>0.81499999999999995</v>
      </c>
      <c r="D21" s="94">
        <v>30.691858954893149</v>
      </c>
      <c r="E21" s="158">
        <v>59.2</v>
      </c>
      <c r="F21" s="17">
        <v>2</v>
      </c>
      <c r="G21" s="227">
        <f t="shared" si="0"/>
        <v>60.989795918367363</v>
      </c>
      <c r="H21" s="283">
        <f t="shared" si="1"/>
        <v>1.7897959183673606</v>
      </c>
      <c r="I21" s="220">
        <f>H21-H20</f>
        <v>1.8278802363693742</v>
      </c>
      <c r="P21" s="308">
        <v>2</v>
      </c>
      <c r="Q21" s="267">
        <v>52.5</v>
      </c>
      <c r="R21" s="309">
        <v>0.63</v>
      </c>
      <c r="S21" s="17">
        <v>2</v>
      </c>
      <c r="T21" s="227">
        <f t="shared" si="2"/>
        <v>56.020408163265351</v>
      </c>
      <c r="U21" s="283">
        <f t="shared" ref="U21:U29" si="3">T21-Q21</f>
        <v>3.5204081632653512</v>
      </c>
      <c r="V21" s="220">
        <f>U21-U20</f>
        <v>3.520408163265305</v>
      </c>
    </row>
    <row r="22" spans="2:24" ht="15" x14ac:dyDescent="0.25">
      <c r="B22" s="92">
        <v>3</v>
      </c>
      <c r="C22" s="113">
        <v>0.74</v>
      </c>
      <c r="D22" s="93">
        <v>27.867454756590096</v>
      </c>
      <c r="E22" s="91">
        <v>83.602364269770291</v>
      </c>
      <c r="F22" s="17">
        <v>3</v>
      </c>
      <c r="G22" s="227">
        <f t="shared" si="0"/>
        <v>87.179591836734716</v>
      </c>
      <c r="H22" s="283">
        <f t="shared" si="1"/>
        <v>3.5772275669644245</v>
      </c>
      <c r="I22" s="220">
        <f t="shared" ref="I22:I29" si="4">H22-H21</f>
        <v>1.7874316485970638</v>
      </c>
      <c r="K22" s="221">
        <f t="shared" ref="K22:K29" si="5">H22/H21</f>
        <v>1.9986790282925366</v>
      </c>
      <c r="P22" s="308">
        <v>3</v>
      </c>
      <c r="Q22" s="266">
        <v>75.3</v>
      </c>
      <c r="R22" s="309">
        <v>0.61</v>
      </c>
      <c r="S22" s="17">
        <v>3</v>
      </c>
      <c r="T22" s="227">
        <f t="shared" si="2"/>
        <v>82.940816326530651</v>
      </c>
      <c r="U22" s="283">
        <f t="shared" si="3"/>
        <v>7.6408163265306541</v>
      </c>
      <c r="V22" s="220">
        <f t="shared" ref="V22:V29" si="6">U22-U21</f>
        <v>4.1204081632653029</v>
      </c>
      <c r="X22" s="221">
        <f t="shared" ref="X22:X29" si="7">U22/U21</f>
        <v>2.1704347826086798</v>
      </c>
    </row>
    <row r="23" spans="2:24" ht="15" x14ac:dyDescent="0.25">
      <c r="B23" s="92">
        <v>4</v>
      </c>
      <c r="C23" s="113">
        <v>0.70499999999999996</v>
      </c>
      <c r="D23" s="93">
        <v>26.549399464048673</v>
      </c>
      <c r="E23" s="91">
        <v>106.19759785619469</v>
      </c>
      <c r="F23" s="17">
        <v>4</v>
      </c>
      <c r="G23" s="227">
        <f t="shared" si="0"/>
        <v>113.36938775510205</v>
      </c>
      <c r="H23" s="283">
        <f t="shared" si="1"/>
        <v>7.1717898989073632</v>
      </c>
      <c r="I23" s="220">
        <f t="shared" si="4"/>
        <v>3.5945623319429387</v>
      </c>
      <c r="K23" s="221">
        <f t="shared" si="5"/>
        <v>2.0048458658707093</v>
      </c>
      <c r="P23" s="308">
        <v>4</v>
      </c>
      <c r="Q23" s="266">
        <v>94.2</v>
      </c>
      <c r="R23" s="309">
        <v>0.56999999999999995</v>
      </c>
      <c r="S23" s="17">
        <v>4</v>
      </c>
      <c r="T23" s="227">
        <f t="shared" si="2"/>
        <v>109.86122448979596</v>
      </c>
      <c r="U23" s="283">
        <f t="shared" si="3"/>
        <v>15.661224489795956</v>
      </c>
      <c r="V23" s="220">
        <f t="shared" si="6"/>
        <v>8.0204081632653015</v>
      </c>
      <c r="X23" s="221">
        <f t="shared" si="7"/>
        <v>2.049679487179481</v>
      </c>
    </row>
    <row r="24" spans="2:24" ht="15" x14ac:dyDescent="0.25">
      <c r="B24" s="92">
        <v>5</v>
      </c>
      <c r="C24" s="112">
        <v>0.67849999999999999</v>
      </c>
      <c r="D24" s="94">
        <v>25.551443313981597</v>
      </c>
      <c r="E24" s="158">
        <v>129</v>
      </c>
      <c r="F24" s="17">
        <v>5</v>
      </c>
      <c r="G24" s="227">
        <f t="shared" si="0"/>
        <v>139.55918367346939</v>
      </c>
      <c r="H24" s="283">
        <f t="shared" si="1"/>
        <v>10.559183673469391</v>
      </c>
      <c r="I24" s="220">
        <f t="shared" si="4"/>
        <v>3.3873937745620282</v>
      </c>
      <c r="K24" s="221">
        <f t="shared" si="5"/>
        <v>1.472321947841515</v>
      </c>
      <c r="P24" s="308">
        <v>5</v>
      </c>
      <c r="Q24" s="267">
        <v>114.3</v>
      </c>
      <c r="R24" s="309">
        <v>0.55000000000000004</v>
      </c>
      <c r="S24" s="17">
        <v>5</v>
      </c>
      <c r="T24" s="227">
        <f>(T$16*S24)+T$17</f>
        <v>136.78163265306125</v>
      </c>
      <c r="U24" s="283">
        <f t="shared" si="3"/>
        <v>22.481632653061254</v>
      </c>
      <c r="V24" s="220">
        <f t="shared" si="6"/>
        <v>6.8204081632652986</v>
      </c>
      <c r="X24" s="221">
        <f t="shared" si="7"/>
        <v>1.435496481626269</v>
      </c>
    </row>
    <row r="25" spans="2:24" ht="15" x14ac:dyDescent="0.25">
      <c r="B25" s="92">
        <v>10</v>
      </c>
      <c r="C25" s="154">
        <v>0.64</v>
      </c>
      <c r="D25" s="93">
        <v>24.101582492186029</v>
      </c>
      <c r="E25" s="91">
        <v>241.01582492186029</v>
      </c>
      <c r="F25" s="17">
        <v>10</v>
      </c>
      <c r="G25" s="227">
        <f t="shared" si="0"/>
        <v>270.50816326530611</v>
      </c>
      <c r="H25" s="283">
        <f t="shared" si="1"/>
        <v>29.492338343445823</v>
      </c>
      <c r="I25" s="220">
        <f t="shared" si="4"/>
        <v>18.933154669976432</v>
      </c>
      <c r="K25" s="221">
        <f t="shared" si="5"/>
        <v>2.7930509834341803</v>
      </c>
      <c r="P25" s="308">
        <v>10</v>
      </c>
      <c r="Q25" s="266">
        <v>233.6</v>
      </c>
      <c r="R25" s="309">
        <v>0.56000000000000005</v>
      </c>
      <c r="S25" s="17">
        <v>10</v>
      </c>
      <c r="T25" s="227">
        <f t="shared" si="2"/>
        <v>271.38367346938776</v>
      </c>
      <c r="U25" s="283">
        <f>T25-Q25</f>
        <v>37.783673469387764</v>
      </c>
      <c r="V25" s="220">
        <f t="shared" si="6"/>
        <v>15.30204081632651</v>
      </c>
      <c r="X25" s="221">
        <f t="shared" si="7"/>
        <v>1.680646332607115</v>
      </c>
    </row>
    <row r="26" spans="2:24" ht="15" x14ac:dyDescent="0.25">
      <c r="B26" s="92">
        <v>20</v>
      </c>
      <c r="C26" s="154">
        <v>0.65</v>
      </c>
      <c r="D26" s="93">
        <v>24.478169718626436</v>
      </c>
      <c r="E26" s="91">
        <v>489.56339437252871</v>
      </c>
      <c r="F26" s="17">
        <v>20</v>
      </c>
      <c r="G26" s="227">
        <f t="shared" si="0"/>
        <v>532.40612244897954</v>
      </c>
      <c r="H26" s="283">
        <f t="shared" si="1"/>
        <v>42.84272807645084</v>
      </c>
      <c r="I26" s="220">
        <f t="shared" si="4"/>
        <v>13.350389733005017</v>
      </c>
      <c r="K26" s="221">
        <f t="shared" si="5"/>
        <v>1.4526731511600171</v>
      </c>
      <c r="P26" s="308">
        <v>20</v>
      </c>
      <c r="Q26" s="266">
        <v>480</v>
      </c>
      <c r="R26" s="309">
        <v>0.57999999999999996</v>
      </c>
      <c r="S26" s="17">
        <v>20</v>
      </c>
      <c r="T26" s="227">
        <f t="shared" si="2"/>
        <v>540.58775510204077</v>
      </c>
      <c r="U26" s="283">
        <f t="shared" si="3"/>
        <v>60.587755102040774</v>
      </c>
      <c r="V26" s="220">
        <f t="shared" si="6"/>
        <v>22.804081632653009</v>
      </c>
      <c r="X26" s="221">
        <f t="shared" si="7"/>
        <v>1.6035432645565502</v>
      </c>
    </row>
    <row r="27" spans="2:24" ht="15" x14ac:dyDescent="0.25">
      <c r="B27" s="92">
        <v>30</v>
      </c>
      <c r="C27" s="154">
        <v>0.66500000000000004</v>
      </c>
      <c r="D27" s="93">
        <v>25.04305055828705</v>
      </c>
      <c r="E27" s="91">
        <v>751.29151674861146</v>
      </c>
      <c r="F27" s="17">
        <v>30</v>
      </c>
      <c r="G27" s="227">
        <f t="shared" si="0"/>
        <v>794.30408163265304</v>
      </c>
      <c r="H27" s="283">
        <f t="shared" si="1"/>
        <v>43.012564884041581</v>
      </c>
      <c r="I27" s="220">
        <f t="shared" si="4"/>
        <v>0.16983680759074105</v>
      </c>
      <c r="K27" s="221">
        <f t="shared" si="5"/>
        <v>1.0039641921795381</v>
      </c>
      <c r="P27" s="308">
        <v>30</v>
      </c>
      <c r="Q27" s="266">
        <v>746.6</v>
      </c>
      <c r="R27" s="309">
        <v>0.6</v>
      </c>
      <c r="S27" s="17">
        <v>30</v>
      </c>
      <c r="T27" s="227">
        <f t="shared" si="2"/>
        <v>809.7918367346939</v>
      </c>
      <c r="U27" s="283">
        <f t="shared" si="3"/>
        <v>63.191836734693879</v>
      </c>
      <c r="V27" s="220">
        <f t="shared" si="6"/>
        <v>2.6040816326531058</v>
      </c>
      <c r="X27" s="221">
        <f t="shared" si="7"/>
        <v>1.0429803287523587</v>
      </c>
    </row>
    <row r="28" spans="2:24" ht="15" x14ac:dyDescent="0.25">
      <c r="B28" s="92">
        <v>40</v>
      </c>
      <c r="C28" s="155">
        <v>0.68</v>
      </c>
      <c r="D28" s="94">
        <v>25.607931397947663</v>
      </c>
      <c r="E28" s="158">
        <v>1024.3172559179066</v>
      </c>
      <c r="F28" s="17">
        <v>40</v>
      </c>
      <c r="G28" s="227">
        <f t="shared" si="0"/>
        <v>1056.2020408163264</v>
      </c>
      <c r="H28" s="283">
        <f t="shared" si="1"/>
        <v>31.884784898419866</v>
      </c>
      <c r="I28" s="220">
        <f t="shared" si="4"/>
        <v>-11.127779985621714</v>
      </c>
      <c r="K28" s="221">
        <f t="shared" si="5"/>
        <v>0.74129001570538011</v>
      </c>
      <c r="P28" s="308">
        <v>40</v>
      </c>
      <c r="Q28" s="267">
        <v>1055</v>
      </c>
      <c r="R28" s="309">
        <v>0.64</v>
      </c>
      <c r="S28" s="17">
        <v>40</v>
      </c>
      <c r="T28" s="227">
        <f t="shared" si="2"/>
        <v>1078.9959183673468</v>
      </c>
      <c r="U28" s="283">
        <f t="shared" si="3"/>
        <v>23.995918367346803</v>
      </c>
      <c r="V28" s="220">
        <f t="shared" si="6"/>
        <v>-39.195918367347076</v>
      </c>
      <c r="X28" s="221">
        <f t="shared" si="7"/>
        <v>0.37973130086551909</v>
      </c>
    </row>
    <row r="29" spans="2:24" ht="15" x14ac:dyDescent="0.25">
      <c r="B29" s="92">
        <v>50</v>
      </c>
      <c r="C29" s="154">
        <v>0.7</v>
      </c>
      <c r="D29" s="93">
        <v>26.361105850828469</v>
      </c>
      <c r="E29" s="91">
        <v>1318.0552925414236</v>
      </c>
      <c r="F29" s="17">
        <v>50</v>
      </c>
      <c r="G29" s="227">
        <f t="shared" si="0"/>
        <v>1318.1</v>
      </c>
      <c r="H29" s="283">
        <f t="shared" si="1"/>
        <v>4.4707458576340287E-2</v>
      </c>
      <c r="I29" s="220">
        <f t="shared" si="4"/>
        <v>-31.840077439843526</v>
      </c>
      <c r="K29" s="221">
        <f t="shared" si="5"/>
        <v>1.4021565056427864E-3</v>
      </c>
      <c r="P29" s="308">
        <v>50</v>
      </c>
      <c r="Q29" s="266">
        <v>1348.2</v>
      </c>
      <c r="R29" s="309">
        <v>0.65</v>
      </c>
      <c r="S29" s="17">
        <v>50</v>
      </c>
      <c r="T29" s="227">
        <f t="shared" si="2"/>
        <v>1348.1999999999998</v>
      </c>
      <c r="U29" s="283">
        <f t="shared" si="3"/>
        <v>0</v>
      </c>
      <c r="V29" s="220">
        <f t="shared" si="6"/>
        <v>-23.995918367346803</v>
      </c>
      <c r="X29" s="221">
        <f t="shared" si="7"/>
        <v>0</v>
      </c>
    </row>
    <row r="39" spans="5:13" x14ac:dyDescent="0.2">
      <c r="G39" s="19"/>
      <c r="I39" s="291"/>
    </row>
    <row r="40" spans="5:13" x14ac:dyDescent="0.2">
      <c r="M40">
        <v>1.1000000000000001</v>
      </c>
    </row>
    <row r="42" spans="5:13" x14ac:dyDescent="0.2">
      <c r="H42" s="2"/>
    </row>
    <row r="43" spans="5:13" x14ac:dyDescent="0.2">
      <c r="I43" s="288" t="s">
        <v>185</v>
      </c>
    </row>
    <row r="44" spans="5:13" x14ac:dyDescent="0.2">
      <c r="E44" s="287">
        <v>-0.83231644049875397</v>
      </c>
      <c r="G44">
        <v>1</v>
      </c>
      <c r="H44" s="17">
        <v>1</v>
      </c>
      <c r="I44" s="287">
        <v>7.8959419828241728E-2</v>
      </c>
    </row>
    <row r="45" spans="5:13" x14ac:dyDescent="0.2">
      <c r="E45" s="287">
        <v>2.9889285008524107</v>
      </c>
      <c r="G45">
        <v>2</v>
      </c>
      <c r="H45" s="17">
        <v>2</v>
      </c>
      <c r="I45" s="287">
        <v>3.5806321881968062</v>
      </c>
      <c r="J45" s="312">
        <f>I45-I44</f>
        <v>3.5016727683685644</v>
      </c>
    </row>
    <row r="46" spans="5:13" x14ac:dyDescent="0.2">
      <c r="E46" s="287">
        <v>6.6399640790901637</v>
      </c>
      <c r="G46">
        <v>3</v>
      </c>
      <c r="H46" s="17">
        <v>3</v>
      </c>
      <c r="I46" s="287">
        <v>6.9473927484404827</v>
      </c>
      <c r="J46" s="312">
        <f t="shared" ref="J46:L68" si="8">I46-I45</f>
        <v>3.3667605602436765</v>
      </c>
      <c r="K46" s="284">
        <f>J46-J45</f>
        <v>-0.13491220812488791</v>
      </c>
    </row>
    <row r="47" spans="5:13" x14ac:dyDescent="0.2">
      <c r="E47" s="287">
        <v>10.121541297512131</v>
      </c>
      <c r="G47">
        <v>4</v>
      </c>
      <c r="H47" s="17">
        <v>4</v>
      </c>
      <c r="I47" s="287">
        <v>10.178490097261633</v>
      </c>
      <c r="J47" s="312">
        <f t="shared" si="8"/>
        <v>3.2310973488211507</v>
      </c>
      <c r="K47" s="284">
        <f t="shared" si="8"/>
        <v>-0.1356632114225258</v>
      </c>
      <c r="L47" s="284">
        <f>K47-K46</f>
        <v>-7.5100329763788665E-4</v>
      </c>
    </row>
    <row r="48" spans="5:13" x14ac:dyDescent="0.2">
      <c r="E48" s="287">
        <v>13.434411159415941</v>
      </c>
      <c r="G48">
        <v>5</v>
      </c>
      <c r="H48" s="17">
        <v>5</v>
      </c>
      <c r="I48" s="287">
        <v>13.273173231362595</v>
      </c>
      <c r="J48" s="312">
        <f t="shared" si="8"/>
        <v>3.0946831341009613</v>
      </c>
      <c r="K48" s="284">
        <f t="shared" si="8"/>
        <v>-0.13641421472018944</v>
      </c>
      <c r="L48" s="284">
        <f t="shared" si="8"/>
        <v>-7.5100329766364382E-4</v>
      </c>
    </row>
    <row r="49" spans="5:20" x14ac:dyDescent="0.2">
      <c r="E49" s="287">
        <v>16.579324668099222</v>
      </c>
      <c r="G49">
        <v>6</v>
      </c>
      <c r="H49" s="17">
        <v>6</v>
      </c>
      <c r="I49" s="287">
        <v>16.230691147445729</v>
      </c>
      <c r="J49" s="312">
        <f t="shared" si="8"/>
        <v>2.957517916083134</v>
      </c>
      <c r="K49" s="284">
        <f t="shared" si="8"/>
        <v>-0.13716521801782733</v>
      </c>
      <c r="L49" s="284">
        <f t="shared" si="8"/>
        <v>-7.5100329763788665E-4</v>
      </c>
    </row>
    <row r="50" spans="5:20" x14ac:dyDescent="0.2">
      <c r="E50" s="287">
        <v>19.557032826859601</v>
      </c>
      <c r="G50">
        <v>7</v>
      </c>
      <c r="H50" s="17">
        <v>7</v>
      </c>
      <c r="I50" s="287">
        <v>19.050292842213512</v>
      </c>
      <c r="J50" s="312">
        <f t="shared" si="8"/>
        <v>2.8196016947677833</v>
      </c>
      <c r="K50" s="284">
        <f t="shared" si="8"/>
        <v>-0.13791622131535064</v>
      </c>
      <c r="L50" s="284">
        <f t="shared" si="8"/>
        <v>-7.5100329752331163E-4</v>
      </c>
    </row>
    <row r="51" spans="5:20" x14ac:dyDescent="0.2">
      <c r="E51" s="287">
        <v>22.368286638994707</v>
      </c>
      <c r="G51">
        <v>8</v>
      </c>
      <c r="H51" s="17">
        <v>8</v>
      </c>
      <c r="I51" s="287">
        <v>21.731227312368194</v>
      </c>
      <c r="J51" s="312">
        <f t="shared" si="8"/>
        <v>2.680934470154682</v>
      </c>
      <c r="K51" s="284">
        <f t="shared" si="8"/>
        <v>-0.13866722461310133</v>
      </c>
      <c r="L51" s="284">
        <f t="shared" si="8"/>
        <v>-7.5100329775068531E-4</v>
      </c>
    </row>
    <row r="52" spans="5:20" x14ac:dyDescent="0.2">
      <c r="E52" s="287">
        <v>25.013837107802168</v>
      </c>
      <c r="G52">
        <v>9</v>
      </c>
      <c r="H52" s="17">
        <v>9</v>
      </c>
      <c r="I52" s="287">
        <v>24.272743554612195</v>
      </c>
      <c r="J52" s="312">
        <f t="shared" si="8"/>
        <v>2.5415162422440005</v>
      </c>
      <c r="K52" s="284">
        <f t="shared" si="8"/>
        <v>-0.13941822791068148</v>
      </c>
      <c r="L52" s="284">
        <f t="shared" si="8"/>
        <v>-7.5100329758015505E-4</v>
      </c>
    </row>
    <row r="53" spans="5:20" x14ac:dyDescent="0.2">
      <c r="E53" s="287">
        <v>27.494435236579609</v>
      </c>
      <c r="G53">
        <v>10</v>
      </c>
      <c r="H53" s="17">
        <v>10</v>
      </c>
      <c r="I53" s="287">
        <v>26.674090565647933</v>
      </c>
      <c r="J53" s="312">
        <f t="shared" si="8"/>
        <v>2.4013470110357389</v>
      </c>
      <c r="K53" s="284">
        <f t="shared" si="8"/>
        <v>-0.14016923120826164</v>
      </c>
      <c r="L53" s="284">
        <f t="shared" si="8"/>
        <v>-7.5100329758015505E-4</v>
      </c>
    </row>
    <row r="54" spans="5:20" x14ac:dyDescent="0.2">
      <c r="E54" s="287">
        <v>29.810832028624663</v>
      </c>
      <c r="G54">
        <v>11</v>
      </c>
      <c r="H54" s="17">
        <v>11</v>
      </c>
      <c r="I54" s="287">
        <v>28.934517342177717</v>
      </c>
      <c r="J54" s="312">
        <f t="shared" si="8"/>
        <v>2.2604267765297834</v>
      </c>
      <c r="K54" s="284">
        <f t="shared" si="8"/>
        <v>-0.14092023450595548</v>
      </c>
      <c r="L54" s="284">
        <f t="shared" si="8"/>
        <v>-7.5100329769384189E-4</v>
      </c>
    </row>
    <row r="55" spans="5:20" x14ac:dyDescent="0.2">
      <c r="E55" s="287">
        <v>31.963778487234951</v>
      </c>
      <c r="G55">
        <v>12</v>
      </c>
      <c r="H55" s="17">
        <v>12</v>
      </c>
      <c r="I55" s="287">
        <v>31.05327288090395</v>
      </c>
      <c r="J55" s="312">
        <f t="shared" si="8"/>
        <v>2.1187555387262336</v>
      </c>
      <c r="K55" s="284">
        <f t="shared" si="8"/>
        <v>-0.14167123780354984</v>
      </c>
      <c r="L55" s="284">
        <f t="shared" si="8"/>
        <v>-7.510032975943659E-4</v>
      </c>
    </row>
    <row r="56" spans="5:20" x14ac:dyDescent="0.2">
      <c r="E56" s="287">
        <v>33.954025615708105</v>
      </c>
      <c r="G56">
        <v>13</v>
      </c>
      <c r="H56" s="17">
        <v>13</v>
      </c>
      <c r="I56" s="287">
        <v>33.029606178529015</v>
      </c>
      <c r="J56" s="312">
        <f t="shared" si="8"/>
        <v>1.9763332976250645</v>
      </c>
      <c r="K56" s="284">
        <f t="shared" si="8"/>
        <v>-0.14242224110116908</v>
      </c>
      <c r="L56" s="284">
        <f t="shared" si="8"/>
        <v>-7.510032976192349E-4</v>
      </c>
    </row>
    <row r="57" spans="5:20" x14ac:dyDescent="0.2">
      <c r="E57" s="287">
        <v>35.782324417341748</v>
      </c>
      <c r="G57">
        <v>14</v>
      </c>
      <c r="H57" s="17">
        <v>14</v>
      </c>
      <c r="I57" s="287">
        <v>34.862766231755209</v>
      </c>
      <c r="J57" s="312">
        <f t="shared" si="8"/>
        <v>1.8331600532261945</v>
      </c>
      <c r="K57" s="284">
        <f t="shared" si="8"/>
        <v>-0.14317324439887003</v>
      </c>
      <c r="L57" s="284">
        <f t="shared" si="8"/>
        <v>-7.5100329770094731E-4</v>
      </c>
    </row>
    <row r="58" spans="5:20" x14ac:dyDescent="0.2">
      <c r="E58" s="287">
        <v>37.449425895433514</v>
      </c>
      <c r="G58">
        <v>15</v>
      </c>
      <c r="H58" s="17">
        <v>15</v>
      </c>
      <c r="I58" s="287">
        <v>36.552002037285</v>
      </c>
      <c r="J58" s="312">
        <f t="shared" si="8"/>
        <v>1.6892358055297905</v>
      </c>
      <c r="K58" s="284">
        <f t="shared" si="8"/>
        <v>-0.143924247696404</v>
      </c>
      <c r="L58" s="284">
        <f t="shared" si="8"/>
        <v>-7.5100329753396977E-4</v>
      </c>
    </row>
    <row r="59" spans="5:20" x14ac:dyDescent="0.2">
      <c r="E59" s="287">
        <v>38.956081053281032</v>
      </c>
      <c r="G59">
        <v>16</v>
      </c>
      <c r="H59" s="17">
        <v>16</v>
      </c>
      <c r="I59" s="287">
        <v>38.096562591820721</v>
      </c>
      <c r="J59" s="312">
        <f t="shared" si="8"/>
        <v>1.5445605545357211</v>
      </c>
      <c r="K59" s="284">
        <f t="shared" si="8"/>
        <v>-0.14467525099406942</v>
      </c>
      <c r="L59" s="284">
        <f t="shared" si="8"/>
        <v>-7.5100329766542018E-4</v>
      </c>
      <c r="S59" s="17"/>
      <c r="T59" s="287"/>
    </row>
    <row r="60" spans="5:20" x14ac:dyDescent="0.2">
      <c r="E60" s="287">
        <v>40.303040894181912</v>
      </c>
      <c r="G60">
        <v>17</v>
      </c>
      <c r="H60" s="17">
        <v>17</v>
      </c>
      <c r="I60" s="287">
        <v>39.495696892064707</v>
      </c>
      <c r="J60" s="312">
        <f t="shared" si="8"/>
        <v>1.3991343002439862</v>
      </c>
      <c r="K60" s="284">
        <f t="shared" si="8"/>
        <v>-0.14542625429173484</v>
      </c>
      <c r="L60" s="284">
        <f t="shared" si="8"/>
        <v>-7.5100329766542018E-4</v>
      </c>
      <c r="S60" s="17"/>
      <c r="T60" s="287"/>
    </row>
    <row r="61" spans="5:20" x14ac:dyDescent="0.2">
      <c r="E61" s="287">
        <v>41.491056421433811</v>
      </c>
      <c r="G61">
        <v>18</v>
      </c>
      <c r="H61" s="17">
        <v>18</v>
      </c>
      <c r="I61" s="287">
        <v>40.748653934719393</v>
      </c>
      <c r="J61" s="312">
        <f t="shared" si="8"/>
        <v>1.2529570426546854</v>
      </c>
      <c r="K61" s="284">
        <f t="shared" si="8"/>
        <v>-0.14617725758930078</v>
      </c>
      <c r="L61" s="284">
        <f t="shared" si="8"/>
        <v>-7.5100329756594419E-4</v>
      </c>
      <c r="S61" s="17"/>
      <c r="T61" s="287"/>
    </row>
    <row r="62" spans="5:20" x14ac:dyDescent="0.2">
      <c r="E62" s="287">
        <v>42.520878638334338</v>
      </c>
      <c r="G62">
        <v>19</v>
      </c>
      <c r="H62" s="17">
        <v>19</v>
      </c>
      <c r="I62" s="287">
        <v>41.85468271648714</v>
      </c>
      <c r="J62" s="312">
        <f t="shared" si="8"/>
        <v>1.1060287817677477</v>
      </c>
      <c r="K62" s="284">
        <f t="shared" si="8"/>
        <v>-0.14692826088693778</v>
      </c>
      <c r="L62" s="284">
        <f t="shared" si="8"/>
        <v>-7.5100329763699847E-4</v>
      </c>
      <c r="S62" s="17"/>
      <c r="T62" s="287"/>
    </row>
    <row r="63" spans="5:20" x14ac:dyDescent="0.2">
      <c r="E63" s="287">
        <v>43.393258548181116</v>
      </c>
      <c r="G63">
        <v>20</v>
      </c>
      <c r="H63" s="17">
        <v>20</v>
      </c>
      <c r="I63" s="287">
        <v>42.813032234070313</v>
      </c>
      <c r="J63" s="312">
        <f t="shared" si="8"/>
        <v>0.95834951758317288</v>
      </c>
      <c r="K63" s="284">
        <f t="shared" si="8"/>
        <v>-0.14767926418457478</v>
      </c>
      <c r="L63" s="284">
        <f t="shared" si="8"/>
        <v>-7.5100329763699847E-4</v>
      </c>
      <c r="S63" s="17"/>
      <c r="T63" s="287"/>
    </row>
    <row r="64" spans="5:20" x14ac:dyDescent="0.2">
      <c r="E64" s="287">
        <v>44.108947154271767</v>
      </c>
      <c r="G64">
        <v>21</v>
      </c>
      <c r="H64" s="17">
        <v>21</v>
      </c>
      <c r="I64" s="287">
        <v>43.622951484171246</v>
      </c>
      <c r="J64" s="312">
        <f t="shared" si="8"/>
        <v>0.80991925010093269</v>
      </c>
      <c r="K64" s="284">
        <f t="shared" si="8"/>
        <v>-0.1484302674822402</v>
      </c>
      <c r="L64" s="284">
        <f t="shared" si="8"/>
        <v>-7.5100329766542018E-4</v>
      </c>
      <c r="S64" s="311"/>
      <c r="T64" s="287"/>
    </row>
    <row r="65" spans="5:20" x14ac:dyDescent="0.2">
      <c r="E65" s="287">
        <v>44.668695459903965</v>
      </c>
      <c r="G65">
        <v>22</v>
      </c>
      <c r="H65" s="17">
        <v>22</v>
      </c>
      <c r="I65" s="287">
        <v>44.283689463492358</v>
      </c>
      <c r="J65" s="312">
        <f t="shared" si="8"/>
        <v>0.66073797932111233</v>
      </c>
      <c r="K65" s="284">
        <f t="shared" si="8"/>
        <v>-0.14918127077982035</v>
      </c>
      <c r="L65" s="284">
        <f t="shared" si="8"/>
        <v>-7.5100329758015505E-4</v>
      </c>
      <c r="S65" s="17"/>
      <c r="T65" s="287"/>
    </row>
    <row r="66" spans="5:20" x14ac:dyDescent="0.2">
      <c r="E66" s="287">
        <v>45.073254468375289</v>
      </c>
      <c r="G66">
        <v>23</v>
      </c>
      <c r="H66" s="17">
        <v>23</v>
      </c>
      <c r="I66" s="287">
        <v>44.794495168735999</v>
      </c>
      <c r="J66" s="312">
        <f t="shared" si="8"/>
        <v>0.51080570524364077</v>
      </c>
      <c r="K66" s="284">
        <f t="shared" si="8"/>
        <v>-0.14993227407747156</v>
      </c>
      <c r="L66" s="284">
        <f t="shared" si="8"/>
        <v>-7.5100329765120932E-4</v>
      </c>
      <c r="S66" s="17"/>
      <c r="T66" s="287"/>
    </row>
    <row r="67" spans="5:20" x14ac:dyDescent="0.2">
      <c r="E67" s="287">
        <v>45.323375182983376</v>
      </c>
      <c r="G67">
        <v>24</v>
      </c>
      <c r="H67" s="17">
        <v>24</v>
      </c>
      <c r="I67" s="287">
        <v>45.15461759660456</v>
      </c>
      <c r="J67" s="312">
        <f t="shared" si="8"/>
        <v>0.36012242786856064</v>
      </c>
      <c r="K67" s="284">
        <f t="shared" si="8"/>
        <v>-0.15068327737508014</v>
      </c>
      <c r="L67" s="284">
        <f t="shared" si="8"/>
        <v>-7.5100329760857676E-4</v>
      </c>
      <c r="S67" s="17"/>
      <c r="T67" s="287"/>
    </row>
    <row r="68" spans="5:20" x14ac:dyDescent="0.2">
      <c r="E68" s="318">
        <v>45.419808607025864</v>
      </c>
      <c r="G68" s="317">
        <v>25</v>
      </c>
      <c r="H68" s="319">
        <v>25</v>
      </c>
      <c r="I68" s="320">
        <v>45.363305743800382</v>
      </c>
      <c r="J68" s="312">
        <f t="shared" si="8"/>
        <v>0.20868814719582218</v>
      </c>
      <c r="K68" s="284">
        <f t="shared" si="8"/>
        <v>-0.15143428067273845</v>
      </c>
      <c r="L68" s="284">
        <f>K68-K67</f>
        <v>-7.5100329765831475E-4</v>
      </c>
      <c r="S68" s="17"/>
      <c r="T68" s="287"/>
    </row>
    <row r="69" spans="5:20" x14ac:dyDescent="0.2">
      <c r="G69">
        <v>25</v>
      </c>
      <c r="H69" s="17">
        <v>26</v>
      </c>
      <c r="I69" s="287">
        <v>45.363305743800382</v>
      </c>
      <c r="J69" s="312">
        <f t="shared" ref="J69:L91" si="9">I69-I70</f>
        <v>0.20868814719582218</v>
      </c>
      <c r="K69" s="284">
        <f t="shared" si="9"/>
        <v>-0.15143428067273845</v>
      </c>
      <c r="L69" s="284">
        <f t="shared" si="9"/>
        <v>-7.5100329765831475E-4</v>
      </c>
      <c r="S69" s="17"/>
      <c r="T69" s="287"/>
    </row>
    <row r="70" spans="5:20" x14ac:dyDescent="0.2">
      <c r="G70">
        <v>24</v>
      </c>
      <c r="H70" s="17">
        <v>27</v>
      </c>
      <c r="I70" s="287">
        <v>45.15461759660456</v>
      </c>
      <c r="J70" s="312">
        <f t="shared" si="9"/>
        <v>0.36012242786856064</v>
      </c>
      <c r="K70" s="284">
        <f t="shared" si="9"/>
        <v>-0.15068327737508014</v>
      </c>
      <c r="L70" s="284">
        <f t="shared" si="9"/>
        <v>-7.5100329760857676E-4</v>
      </c>
      <c r="O70">
        <f>0.00075+0.00075</f>
        <v>1.5E-3</v>
      </c>
    </row>
    <row r="71" spans="5:20" x14ac:dyDescent="0.2">
      <c r="G71">
        <v>23</v>
      </c>
      <c r="H71" s="17">
        <v>28</v>
      </c>
      <c r="I71" s="287">
        <v>44.794495168735999</v>
      </c>
      <c r="J71" s="312">
        <f t="shared" si="9"/>
        <v>0.51080570524364077</v>
      </c>
      <c r="K71" s="284">
        <f t="shared" si="9"/>
        <v>-0.14993227407747156</v>
      </c>
      <c r="L71" s="284">
        <f t="shared" si="9"/>
        <v>-7.5100329765120932E-4</v>
      </c>
    </row>
    <row r="72" spans="5:20" x14ac:dyDescent="0.2">
      <c r="G72">
        <v>22</v>
      </c>
      <c r="H72" s="17">
        <v>29</v>
      </c>
      <c r="I72" s="287">
        <v>44.283689463492358</v>
      </c>
      <c r="J72" s="312">
        <f t="shared" si="9"/>
        <v>0.66073797932111233</v>
      </c>
      <c r="K72" s="284">
        <f t="shared" si="9"/>
        <v>-0.14918127077982035</v>
      </c>
      <c r="L72" s="284">
        <f t="shared" si="9"/>
        <v>-7.5100329758015505E-4</v>
      </c>
    </row>
    <row r="73" spans="5:20" x14ac:dyDescent="0.2">
      <c r="G73">
        <v>21</v>
      </c>
      <c r="H73" s="17">
        <v>30</v>
      </c>
      <c r="I73" s="287">
        <v>43.622951484171246</v>
      </c>
      <c r="J73" s="312">
        <f t="shared" si="9"/>
        <v>0.80991925010093269</v>
      </c>
      <c r="K73" s="284">
        <f t="shared" si="9"/>
        <v>-0.1484302674822402</v>
      </c>
      <c r="L73" s="284">
        <f t="shared" si="9"/>
        <v>-7.5100329766542018E-4</v>
      </c>
    </row>
    <row r="74" spans="5:20" x14ac:dyDescent="0.2">
      <c r="G74">
        <v>20</v>
      </c>
      <c r="H74" s="17">
        <v>31</v>
      </c>
      <c r="I74" s="287">
        <v>42.813032234070313</v>
      </c>
      <c r="J74" s="312">
        <f t="shared" si="9"/>
        <v>0.95834951758317288</v>
      </c>
      <c r="K74" s="284">
        <f t="shared" si="9"/>
        <v>-0.14767926418457478</v>
      </c>
      <c r="L74" s="284">
        <f t="shared" si="9"/>
        <v>-7.5100329763699847E-4</v>
      </c>
    </row>
    <row r="75" spans="5:20" x14ac:dyDescent="0.2">
      <c r="G75">
        <v>19</v>
      </c>
      <c r="H75" s="17">
        <v>32</v>
      </c>
      <c r="I75" s="287">
        <v>41.85468271648714</v>
      </c>
      <c r="J75" s="312">
        <f t="shared" si="9"/>
        <v>1.1060287817677477</v>
      </c>
      <c r="K75" s="284">
        <f t="shared" si="9"/>
        <v>-0.14692826088693778</v>
      </c>
      <c r="L75" s="284">
        <f t="shared" si="9"/>
        <v>-7.5100329763699847E-4</v>
      </c>
    </row>
    <row r="76" spans="5:20" x14ac:dyDescent="0.2">
      <c r="G76">
        <v>18</v>
      </c>
      <c r="H76" s="17">
        <v>33</v>
      </c>
      <c r="I76" s="287">
        <v>40.748653934719393</v>
      </c>
      <c r="J76" s="312">
        <f t="shared" si="9"/>
        <v>1.2529570426546854</v>
      </c>
      <c r="K76" s="284">
        <f t="shared" si="9"/>
        <v>-0.14617725758930078</v>
      </c>
      <c r="L76" s="284">
        <f t="shared" si="9"/>
        <v>-7.5100329756594419E-4</v>
      </c>
    </row>
    <row r="77" spans="5:20" x14ac:dyDescent="0.2">
      <c r="G77">
        <v>17</v>
      </c>
      <c r="H77" s="17">
        <v>34</v>
      </c>
      <c r="I77" s="287">
        <v>39.495696892064707</v>
      </c>
      <c r="J77" s="312">
        <f t="shared" si="9"/>
        <v>1.3991343002439862</v>
      </c>
      <c r="K77" s="284">
        <f t="shared" si="9"/>
        <v>-0.14542625429173484</v>
      </c>
      <c r="L77" s="284">
        <f t="shared" si="9"/>
        <v>-7.5100329766542018E-4</v>
      </c>
    </row>
    <row r="78" spans="5:20" x14ac:dyDescent="0.2">
      <c r="G78">
        <v>16</v>
      </c>
      <c r="H78" s="17">
        <v>35</v>
      </c>
      <c r="I78" s="287">
        <v>38.096562591820721</v>
      </c>
      <c r="J78" s="312">
        <f t="shared" si="9"/>
        <v>1.5445605545357211</v>
      </c>
      <c r="K78" s="284">
        <f t="shared" si="9"/>
        <v>-0.14467525099406942</v>
      </c>
      <c r="L78" s="284">
        <f t="shared" si="9"/>
        <v>-7.5100329766542018E-4</v>
      </c>
    </row>
    <row r="79" spans="5:20" x14ac:dyDescent="0.2">
      <c r="G79">
        <v>15</v>
      </c>
      <c r="H79" s="17">
        <v>36</v>
      </c>
      <c r="I79" s="287">
        <v>36.552002037285</v>
      </c>
      <c r="J79" s="312">
        <f t="shared" si="9"/>
        <v>1.6892358055297905</v>
      </c>
      <c r="K79" s="284">
        <f t="shared" si="9"/>
        <v>-0.143924247696404</v>
      </c>
      <c r="L79" s="284">
        <f t="shared" si="9"/>
        <v>-7.5100329753396977E-4</v>
      </c>
    </row>
    <row r="80" spans="5:20" x14ac:dyDescent="0.2">
      <c r="G80">
        <v>14</v>
      </c>
      <c r="H80" s="17">
        <v>37</v>
      </c>
      <c r="I80" s="287">
        <v>34.862766231755209</v>
      </c>
      <c r="J80" s="312">
        <f t="shared" si="9"/>
        <v>1.8331600532261945</v>
      </c>
      <c r="K80" s="284">
        <f t="shared" si="9"/>
        <v>-0.14317324439887003</v>
      </c>
      <c r="L80" s="284">
        <f t="shared" si="9"/>
        <v>-7.5100329770094731E-4</v>
      </c>
    </row>
    <row r="81" spans="7:12" x14ac:dyDescent="0.2">
      <c r="G81">
        <v>13</v>
      </c>
      <c r="H81" s="17">
        <v>38</v>
      </c>
      <c r="I81" s="287">
        <v>33.029606178529015</v>
      </c>
      <c r="J81" s="312">
        <f t="shared" si="9"/>
        <v>1.9763332976250645</v>
      </c>
      <c r="K81" s="284">
        <f t="shared" si="9"/>
        <v>-0.14242224110116908</v>
      </c>
      <c r="L81" s="284">
        <f t="shared" si="9"/>
        <v>-7.510032976192349E-4</v>
      </c>
    </row>
    <row r="82" spans="7:12" x14ac:dyDescent="0.2">
      <c r="G82">
        <v>12</v>
      </c>
      <c r="H82" s="17">
        <v>39</v>
      </c>
      <c r="I82" s="287">
        <v>31.05327288090395</v>
      </c>
      <c r="J82" s="312">
        <f t="shared" si="9"/>
        <v>2.1187555387262336</v>
      </c>
      <c r="K82" s="284">
        <f t="shared" si="9"/>
        <v>-0.14167123780354984</v>
      </c>
      <c r="L82" s="284">
        <f t="shared" si="9"/>
        <v>-7.510032975943659E-4</v>
      </c>
    </row>
    <row r="83" spans="7:12" x14ac:dyDescent="0.2">
      <c r="G83">
        <v>11</v>
      </c>
      <c r="H83" s="17">
        <v>40</v>
      </c>
      <c r="I83" s="287">
        <v>28.934517342177717</v>
      </c>
      <c r="J83" s="312">
        <f t="shared" si="9"/>
        <v>2.2604267765297834</v>
      </c>
      <c r="K83" s="284">
        <f t="shared" si="9"/>
        <v>-0.14092023450595548</v>
      </c>
      <c r="L83" s="284">
        <f t="shared" si="9"/>
        <v>-7.5100329769384189E-4</v>
      </c>
    </row>
    <row r="84" spans="7:12" x14ac:dyDescent="0.2">
      <c r="G84">
        <v>10</v>
      </c>
      <c r="H84" s="17">
        <v>41</v>
      </c>
      <c r="I84" s="287">
        <v>26.674090565647933</v>
      </c>
      <c r="J84" s="312">
        <f t="shared" si="9"/>
        <v>2.4013470110357389</v>
      </c>
      <c r="K84" s="284">
        <f t="shared" si="9"/>
        <v>-0.14016923120826164</v>
      </c>
      <c r="L84" s="284">
        <f t="shared" si="9"/>
        <v>-7.5100329758015505E-4</v>
      </c>
    </row>
    <row r="85" spans="7:12" x14ac:dyDescent="0.2">
      <c r="G85">
        <v>9</v>
      </c>
      <c r="H85" s="17">
        <v>42</v>
      </c>
      <c r="I85" s="287">
        <v>24.272743554612195</v>
      </c>
      <c r="J85" s="312">
        <f t="shared" si="9"/>
        <v>2.5415162422440005</v>
      </c>
      <c r="K85" s="284">
        <f t="shared" si="9"/>
        <v>-0.13941822791068148</v>
      </c>
      <c r="L85" s="284">
        <f t="shared" si="9"/>
        <v>-7.5100329758015505E-4</v>
      </c>
    </row>
    <row r="86" spans="7:12" x14ac:dyDescent="0.2">
      <c r="G86">
        <v>8</v>
      </c>
      <c r="H86" s="17">
        <v>43</v>
      </c>
      <c r="I86" s="287">
        <v>21.731227312368194</v>
      </c>
      <c r="J86" s="312">
        <f t="shared" si="9"/>
        <v>2.680934470154682</v>
      </c>
      <c r="K86" s="284">
        <f t="shared" si="9"/>
        <v>-0.13866722461310133</v>
      </c>
      <c r="L86" s="284">
        <f t="shared" si="9"/>
        <v>-7.5100329775068531E-4</v>
      </c>
    </row>
    <row r="87" spans="7:12" x14ac:dyDescent="0.2">
      <c r="G87">
        <v>7</v>
      </c>
      <c r="H87" s="17">
        <v>44</v>
      </c>
      <c r="I87" s="287">
        <v>19.050292842213512</v>
      </c>
      <c r="J87" s="312">
        <f t="shared" si="9"/>
        <v>2.8196016947677833</v>
      </c>
      <c r="K87" s="284">
        <f t="shared" si="9"/>
        <v>-0.13791622131535064</v>
      </c>
      <c r="L87" s="284">
        <f t="shared" si="9"/>
        <v>-7.5100329752331163E-4</v>
      </c>
    </row>
    <row r="88" spans="7:12" x14ac:dyDescent="0.2">
      <c r="G88">
        <v>6</v>
      </c>
      <c r="H88" s="17">
        <v>45</v>
      </c>
      <c r="I88" s="287">
        <v>16.230691147445729</v>
      </c>
      <c r="J88" s="312">
        <f t="shared" si="9"/>
        <v>2.957517916083134</v>
      </c>
      <c r="K88" s="284">
        <f t="shared" si="9"/>
        <v>-0.13716521801782733</v>
      </c>
      <c r="L88" s="284">
        <f t="shared" si="9"/>
        <v>-7.5100329763788665E-4</v>
      </c>
    </row>
    <row r="89" spans="7:12" x14ac:dyDescent="0.2">
      <c r="G89">
        <v>5</v>
      </c>
      <c r="H89" s="17">
        <v>46</v>
      </c>
      <c r="I89" s="287">
        <v>13.273173231362595</v>
      </c>
      <c r="J89" s="312">
        <f t="shared" si="9"/>
        <v>3.0946831341009613</v>
      </c>
      <c r="K89" s="284">
        <f t="shared" si="9"/>
        <v>-0.13641421472018944</v>
      </c>
      <c r="L89" s="284">
        <f t="shared" si="9"/>
        <v>-7.5100329766364382E-4</v>
      </c>
    </row>
    <row r="90" spans="7:12" x14ac:dyDescent="0.2">
      <c r="G90">
        <v>4</v>
      </c>
      <c r="H90" s="17">
        <v>47</v>
      </c>
      <c r="I90" s="287">
        <v>10.178490097261633</v>
      </c>
      <c r="J90" s="312">
        <f t="shared" si="9"/>
        <v>3.2310973488211507</v>
      </c>
      <c r="K90" s="284">
        <f t="shared" si="9"/>
        <v>-0.1356632114225258</v>
      </c>
      <c r="L90" s="284">
        <f>K90-K91</f>
        <v>-7.5100329763788665E-4</v>
      </c>
    </row>
    <row r="91" spans="7:12" x14ac:dyDescent="0.2">
      <c r="G91">
        <v>3</v>
      </c>
      <c r="H91" s="17">
        <v>48</v>
      </c>
      <c r="I91" s="287">
        <v>6.9473927484404827</v>
      </c>
      <c r="J91" s="312">
        <f t="shared" si="9"/>
        <v>3.3667605602436765</v>
      </c>
      <c r="K91" s="284">
        <f>J91-J92</f>
        <v>-0.13491220812488791</v>
      </c>
      <c r="L91" s="284"/>
    </row>
    <row r="92" spans="7:12" x14ac:dyDescent="0.2">
      <c r="G92">
        <v>2</v>
      </c>
      <c r="H92" s="17">
        <v>49</v>
      </c>
      <c r="I92" s="287">
        <v>3.5806321881968062</v>
      </c>
      <c r="J92" s="312">
        <f>I92-I93</f>
        <v>3.5016727683685644</v>
      </c>
      <c r="K92" s="284"/>
      <c r="L92" s="284"/>
    </row>
    <row r="93" spans="7:12" x14ac:dyDescent="0.2">
      <c r="G93">
        <v>1</v>
      </c>
      <c r="H93" s="17">
        <v>50</v>
      </c>
      <c r="I93" s="287">
        <v>7.8959419828241728E-2</v>
      </c>
    </row>
  </sheetData>
  <sortState xmlns:xlrd2="http://schemas.microsoft.com/office/spreadsheetml/2017/richdata2" ref="I44:I68">
    <sortCondition ref="I44:I68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34BEA-CA17-4ADA-9555-E009E1F82A2E}">
  <sheetPr transitionEvaluation="1" transitionEntry="1"/>
  <dimension ref="B1:X91"/>
  <sheetViews>
    <sheetView showGridLines="0" topLeftCell="A42" zoomScale="90" zoomScaleNormal="90" workbookViewId="0">
      <selection activeCell="G64" sqref="G64"/>
    </sheetView>
  </sheetViews>
  <sheetFormatPr defaultRowHeight="12.75" x14ac:dyDescent="0.2"/>
  <sheetData>
    <row r="1" spans="6:21" x14ac:dyDescent="0.2">
      <c r="N1" s="310"/>
    </row>
    <row r="13" spans="6:21" ht="15" x14ac:dyDescent="0.25">
      <c r="F13" s="224" t="s">
        <v>123</v>
      </c>
      <c r="G13" s="224" t="s">
        <v>124</v>
      </c>
      <c r="H13" s="224"/>
      <c r="S13" s="224" t="s">
        <v>123</v>
      </c>
      <c r="T13" s="224" t="s">
        <v>124</v>
      </c>
      <c r="U13" s="224"/>
    </row>
    <row r="14" spans="6:21" ht="15" x14ac:dyDescent="0.25">
      <c r="F14" s="225">
        <v>1</v>
      </c>
      <c r="G14" s="232">
        <v>34.799999999999997</v>
      </c>
      <c r="H14" s="233"/>
      <c r="S14" s="225">
        <v>1</v>
      </c>
      <c r="T14" s="232">
        <v>29.1</v>
      </c>
      <c r="U14" s="233"/>
    </row>
    <row r="15" spans="6:21" ht="15" x14ac:dyDescent="0.25">
      <c r="F15" s="225">
        <v>50</v>
      </c>
      <c r="G15" s="232">
        <v>1318.1</v>
      </c>
      <c r="H15" s="233"/>
      <c r="S15" s="225">
        <v>50</v>
      </c>
      <c r="T15" s="232">
        <v>1348.2</v>
      </c>
      <c r="U15" s="233"/>
    </row>
    <row r="16" spans="6:21" x14ac:dyDescent="0.2">
      <c r="F16" s="160"/>
      <c r="G16" s="279" cm="1">
        <f t="array" ref="G16">_xlfn.SINGLE(INDEX(LINEST(G14:G15,($F14:$F15)^{1}),1))</f>
        <v>26.189795918367345</v>
      </c>
      <c r="H16" s="160"/>
      <c r="S16" s="160"/>
      <c r="T16" s="279" cm="1">
        <f t="array" ref="T16">_xlfn.SINGLE(INDEX(LINEST(T14:T15,($S14:$S15)^{1}),1))</f>
        <v>26.920408163265304</v>
      </c>
      <c r="U16" s="160"/>
    </row>
    <row r="17" spans="2:24" x14ac:dyDescent="0.2">
      <c r="F17" s="160"/>
      <c r="G17" s="279" cm="1">
        <f t="array" ref="G17">INDEX(LINEST(G14:G15,($F14:$F15)^{1}),1,2)</f>
        <v>8.6102040816326735</v>
      </c>
      <c r="H17" s="160"/>
      <c r="S17" s="160"/>
      <c r="T17" s="279" cm="1">
        <f t="array" ref="T17">INDEX(LINEST(T14:T15,($S14:$S15)^{1}),1,2)</f>
        <v>2.179591836734744</v>
      </c>
      <c r="U17" s="160"/>
    </row>
    <row r="18" spans="2:24" x14ac:dyDescent="0.2">
      <c r="B18" s="101"/>
      <c r="C18" s="117" t="s">
        <v>73</v>
      </c>
      <c r="D18" s="101"/>
      <c r="E18" s="101" t="s">
        <v>50</v>
      </c>
    </row>
    <row r="19" spans="2:24" ht="15" x14ac:dyDescent="0.2">
      <c r="B19" s="103" t="s">
        <v>9</v>
      </c>
      <c r="C19" s="101" t="s">
        <v>47</v>
      </c>
      <c r="D19" s="104" t="s">
        <v>56</v>
      </c>
      <c r="E19" s="101" t="s">
        <v>51</v>
      </c>
      <c r="F19" s="19" t="s">
        <v>123</v>
      </c>
      <c r="G19" s="282" t="s">
        <v>124</v>
      </c>
      <c r="H19" s="290" t="s">
        <v>182</v>
      </c>
      <c r="P19" s="308" t="s">
        <v>123</v>
      </c>
      <c r="Q19" s="308" t="s">
        <v>201</v>
      </c>
      <c r="R19" s="308" t="s">
        <v>47</v>
      </c>
      <c r="S19" s="19" t="s">
        <v>123</v>
      </c>
      <c r="T19" s="282" t="s">
        <v>124</v>
      </c>
      <c r="U19" s="290" t="s">
        <v>182</v>
      </c>
    </row>
    <row r="20" spans="2:24" ht="15" x14ac:dyDescent="0.25">
      <c r="B20" s="92">
        <v>1</v>
      </c>
      <c r="C20" s="111">
        <v>0.92510000000000003</v>
      </c>
      <c r="D20" s="98">
        <v>34.838084318002032</v>
      </c>
      <c r="E20" s="157">
        <v>34.838084318002032</v>
      </c>
      <c r="F20" s="17">
        <v>1</v>
      </c>
      <c r="G20" s="227">
        <f t="shared" ref="G20:G29" si="0">(G$16*F20)+G$17</f>
        <v>34.800000000000018</v>
      </c>
      <c r="H20" s="283">
        <f t="shared" ref="H20:H29" si="1">G20-E20</f>
        <v>-3.8084318002013617E-2</v>
      </c>
      <c r="P20" s="308">
        <v>1</v>
      </c>
      <c r="Q20" s="266">
        <v>29.1</v>
      </c>
      <c r="R20" s="309">
        <v>0.7</v>
      </c>
      <c r="S20" s="17">
        <v>1</v>
      </c>
      <c r="T20" s="227">
        <f t="shared" ref="T20:T29" si="2">(T$16*S20)+T$17</f>
        <v>29.100000000000048</v>
      </c>
      <c r="U20" s="283">
        <f>T20-Q20</f>
        <v>4.6185277824406512E-14</v>
      </c>
    </row>
    <row r="21" spans="2:24" ht="15" x14ac:dyDescent="0.25">
      <c r="B21" s="92">
        <v>2</v>
      </c>
      <c r="C21" s="112">
        <v>0.81499999999999995</v>
      </c>
      <c r="D21" s="94">
        <v>30.691858954893149</v>
      </c>
      <c r="E21" s="158">
        <v>59.2</v>
      </c>
      <c r="F21" s="17">
        <v>2</v>
      </c>
      <c r="G21" s="227">
        <f t="shared" si="0"/>
        <v>60.989795918367363</v>
      </c>
      <c r="H21" s="283">
        <f t="shared" si="1"/>
        <v>1.7897959183673606</v>
      </c>
      <c r="I21" s="220">
        <f>H21-H20</f>
        <v>1.8278802363693742</v>
      </c>
      <c r="P21" s="308">
        <v>2</v>
      </c>
      <c r="Q21" s="267">
        <v>52.5</v>
      </c>
      <c r="R21" s="309">
        <v>0.63</v>
      </c>
      <c r="S21" s="17">
        <v>2</v>
      </c>
      <c r="T21" s="227">
        <f t="shared" si="2"/>
        <v>56.020408163265351</v>
      </c>
      <c r="U21" s="283">
        <f t="shared" ref="U21:U29" si="3">T21-Q21</f>
        <v>3.5204081632653512</v>
      </c>
      <c r="V21" s="220">
        <f>U21-U20</f>
        <v>3.520408163265305</v>
      </c>
    </row>
    <row r="22" spans="2:24" ht="15" x14ac:dyDescent="0.25">
      <c r="B22" s="92">
        <v>3</v>
      </c>
      <c r="C22" s="113">
        <v>0.74</v>
      </c>
      <c r="D22" s="93">
        <v>27.867454756590096</v>
      </c>
      <c r="E22" s="91">
        <v>83.602364269770291</v>
      </c>
      <c r="F22" s="17">
        <v>3</v>
      </c>
      <c r="G22" s="227">
        <f t="shared" si="0"/>
        <v>87.179591836734716</v>
      </c>
      <c r="H22" s="283">
        <f t="shared" si="1"/>
        <v>3.5772275669644245</v>
      </c>
      <c r="I22" s="220">
        <f t="shared" ref="I22:I29" si="4">H22-H21</f>
        <v>1.7874316485970638</v>
      </c>
      <c r="K22" s="221">
        <f t="shared" ref="K22:K29" si="5">H22/H21</f>
        <v>1.9986790282925366</v>
      </c>
      <c r="P22" s="308">
        <v>3</v>
      </c>
      <c r="Q22" s="266">
        <v>75.3</v>
      </c>
      <c r="R22" s="309">
        <v>0.61</v>
      </c>
      <c r="S22" s="17">
        <v>3</v>
      </c>
      <c r="T22" s="227">
        <f t="shared" si="2"/>
        <v>82.940816326530651</v>
      </c>
      <c r="U22" s="283">
        <f t="shared" si="3"/>
        <v>7.6408163265306541</v>
      </c>
      <c r="V22" s="220">
        <f t="shared" ref="V22:V29" si="6">U22-U21</f>
        <v>4.1204081632653029</v>
      </c>
      <c r="X22" s="221">
        <f t="shared" ref="X22:X29" si="7">U22/U21</f>
        <v>2.1704347826086798</v>
      </c>
    </row>
    <row r="23" spans="2:24" ht="15" x14ac:dyDescent="0.25">
      <c r="B23" s="92">
        <v>4</v>
      </c>
      <c r="C23" s="113">
        <v>0.70499999999999996</v>
      </c>
      <c r="D23" s="93">
        <v>26.549399464048673</v>
      </c>
      <c r="E23" s="91">
        <v>106.19759785619469</v>
      </c>
      <c r="F23" s="17">
        <v>4</v>
      </c>
      <c r="G23" s="227">
        <f t="shared" si="0"/>
        <v>113.36938775510205</v>
      </c>
      <c r="H23" s="283">
        <f t="shared" si="1"/>
        <v>7.1717898989073632</v>
      </c>
      <c r="I23" s="220">
        <f t="shared" si="4"/>
        <v>3.5945623319429387</v>
      </c>
      <c r="K23" s="221">
        <f t="shared" si="5"/>
        <v>2.0048458658707093</v>
      </c>
      <c r="P23" s="308">
        <v>4</v>
      </c>
      <c r="Q23" s="266">
        <v>94.2</v>
      </c>
      <c r="R23" s="309">
        <v>0.56999999999999995</v>
      </c>
      <c r="S23" s="17">
        <v>4</v>
      </c>
      <c r="T23" s="227">
        <f t="shared" si="2"/>
        <v>109.86122448979596</v>
      </c>
      <c r="U23" s="283">
        <f t="shared" si="3"/>
        <v>15.661224489795956</v>
      </c>
      <c r="V23" s="220">
        <f t="shared" si="6"/>
        <v>8.0204081632653015</v>
      </c>
      <c r="X23" s="221">
        <f t="shared" si="7"/>
        <v>2.049679487179481</v>
      </c>
    </row>
    <row r="24" spans="2:24" ht="15" x14ac:dyDescent="0.25">
      <c r="B24" s="92">
        <v>5</v>
      </c>
      <c r="C24" s="112">
        <v>0.67849999999999999</v>
      </c>
      <c r="D24" s="94">
        <v>25.551443313981597</v>
      </c>
      <c r="E24" s="158">
        <v>129</v>
      </c>
      <c r="F24" s="17">
        <v>5</v>
      </c>
      <c r="G24" s="227">
        <f t="shared" si="0"/>
        <v>139.55918367346939</v>
      </c>
      <c r="H24" s="283">
        <f t="shared" si="1"/>
        <v>10.559183673469391</v>
      </c>
      <c r="I24" s="220">
        <f t="shared" si="4"/>
        <v>3.3873937745620282</v>
      </c>
      <c r="K24" s="221">
        <f t="shared" si="5"/>
        <v>1.472321947841515</v>
      </c>
      <c r="P24" s="308">
        <v>5</v>
      </c>
      <c r="Q24" s="267">
        <v>114.3</v>
      </c>
      <c r="R24" s="309">
        <v>0.55000000000000004</v>
      </c>
      <c r="S24" s="17">
        <v>5</v>
      </c>
      <c r="T24" s="227">
        <f t="shared" si="2"/>
        <v>136.78163265306125</v>
      </c>
      <c r="U24" s="283">
        <f t="shared" si="3"/>
        <v>22.481632653061254</v>
      </c>
      <c r="V24" s="220">
        <f t="shared" si="6"/>
        <v>6.8204081632652986</v>
      </c>
      <c r="X24" s="221">
        <f t="shared" si="7"/>
        <v>1.435496481626269</v>
      </c>
    </row>
    <row r="25" spans="2:24" ht="15" x14ac:dyDescent="0.25">
      <c r="B25" s="92">
        <v>10</v>
      </c>
      <c r="C25" s="154">
        <v>0.64</v>
      </c>
      <c r="D25" s="93">
        <v>24.101582492186029</v>
      </c>
      <c r="E25" s="91">
        <v>241.01582492186029</v>
      </c>
      <c r="F25" s="17">
        <v>10</v>
      </c>
      <c r="G25" s="227">
        <f t="shared" si="0"/>
        <v>270.50816326530611</v>
      </c>
      <c r="H25" s="283">
        <f t="shared" si="1"/>
        <v>29.492338343445823</v>
      </c>
      <c r="I25" s="220">
        <f t="shared" si="4"/>
        <v>18.933154669976432</v>
      </c>
      <c r="K25" s="221">
        <f t="shared" si="5"/>
        <v>2.7930509834341803</v>
      </c>
      <c r="P25" s="308">
        <v>10</v>
      </c>
      <c r="Q25" s="266">
        <v>233.6</v>
      </c>
      <c r="R25" s="309">
        <v>0.56000000000000005</v>
      </c>
      <c r="S25" s="17">
        <v>10</v>
      </c>
      <c r="T25" s="227">
        <f t="shared" si="2"/>
        <v>271.38367346938776</v>
      </c>
      <c r="U25" s="283">
        <f t="shared" si="3"/>
        <v>37.783673469387764</v>
      </c>
      <c r="V25" s="220">
        <f t="shared" si="6"/>
        <v>15.30204081632651</v>
      </c>
      <c r="X25" s="221">
        <f t="shared" si="7"/>
        <v>1.680646332607115</v>
      </c>
    </row>
    <row r="26" spans="2:24" ht="15" x14ac:dyDescent="0.25">
      <c r="B26" s="92">
        <v>20</v>
      </c>
      <c r="C26" s="154">
        <v>0.65</v>
      </c>
      <c r="D26" s="93">
        <v>24.478169718626436</v>
      </c>
      <c r="E26" s="91">
        <v>489.56339437252871</v>
      </c>
      <c r="F26" s="17">
        <v>20</v>
      </c>
      <c r="G26" s="227">
        <f t="shared" si="0"/>
        <v>532.40612244897954</v>
      </c>
      <c r="H26" s="283">
        <f t="shared" si="1"/>
        <v>42.84272807645084</v>
      </c>
      <c r="I26" s="220">
        <f t="shared" si="4"/>
        <v>13.350389733005017</v>
      </c>
      <c r="K26" s="221">
        <f t="shared" si="5"/>
        <v>1.4526731511600171</v>
      </c>
      <c r="P26" s="308">
        <v>20</v>
      </c>
      <c r="Q26" s="266">
        <v>480</v>
      </c>
      <c r="R26" s="309">
        <v>0.57999999999999996</v>
      </c>
      <c r="S26" s="17">
        <v>20</v>
      </c>
      <c r="T26" s="227">
        <f t="shared" si="2"/>
        <v>540.58775510204077</v>
      </c>
      <c r="U26" s="283">
        <f t="shared" si="3"/>
        <v>60.587755102040774</v>
      </c>
      <c r="V26" s="220">
        <f t="shared" si="6"/>
        <v>22.804081632653009</v>
      </c>
      <c r="X26" s="221">
        <f t="shared" si="7"/>
        <v>1.6035432645565502</v>
      </c>
    </row>
    <row r="27" spans="2:24" ht="15" x14ac:dyDescent="0.25">
      <c r="B27" s="92">
        <v>30</v>
      </c>
      <c r="C27" s="154">
        <v>0.66500000000000004</v>
      </c>
      <c r="D27" s="93">
        <v>25.04305055828705</v>
      </c>
      <c r="E27" s="91">
        <v>751.29151674861146</v>
      </c>
      <c r="F27" s="17">
        <v>30</v>
      </c>
      <c r="G27" s="227">
        <f t="shared" si="0"/>
        <v>794.30408163265304</v>
      </c>
      <c r="H27" s="283">
        <f t="shared" si="1"/>
        <v>43.012564884041581</v>
      </c>
      <c r="I27" s="220">
        <f t="shared" si="4"/>
        <v>0.16983680759074105</v>
      </c>
      <c r="K27" s="221">
        <f t="shared" si="5"/>
        <v>1.0039641921795381</v>
      </c>
      <c r="P27" s="308">
        <v>30</v>
      </c>
      <c r="Q27" s="266">
        <v>746.6</v>
      </c>
      <c r="R27" s="309">
        <v>0.6</v>
      </c>
      <c r="S27" s="17">
        <v>30</v>
      </c>
      <c r="T27" s="227">
        <f t="shared" si="2"/>
        <v>809.7918367346939</v>
      </c>
      <c r="U27" s="283">
        <f t="shared" si="3"/>
        <v>63.191836734693879</v>
      </c>
      <c r="V27" s="220">
        <f t="shared" si="6"/>
        <v>2.6040816326531058</v>
      </c>
      <c r="X27" s="221">
        <f t="shared" si="7"/>
        <v>1.0429803287523587</v>
      </c>
    </row>
    <row r="28" spans="2:24" ht="15" x14ac:dyDescent="0.25">
      <c r="B28" s="92">
        <v>40</v>
      </c>
      <c r="C28" s="155">
        <v>0.68</v>
      </c>
      <c r="D28" s="94">
        <v>25.607931397947663</v>
      </c>
      <c r="E28" s="158">
        <v>1024.3172559179066</v>
      </c>
      <c r="F28" s="17">
        <v>40</v>
      </c>
      <c r="G28" s="227">
        <f t="shared" si="0"/>
        <v>1056.2020408163264</v>
      </c>
      <c r="H28" s="283">
        <f t="shared" si="1"/>
        <v>31.884784898419866</v>
      </c>
      <c r="I28" s="220">
        <f t="shared" si="4"/>
        <v>-11.127779985621714</v>
      </c>
      <c r="K28" s="221">
        <f t="shared" si="5"/>
        <v>0.74129001570538011</v>
      </c>
      <c r="P28" s="308">
        <v>40</v>
      </c>
      <c r="Q28" s="267">
        <v>1055</v>
      </c>
      <c r="R28" s="309">
        <v>0.64</v>
      </c>
      <c r="S28" s="17">
        <v>40</v>
      </c>
      <c r="T28" s="227">
        <f t="shared" si="2"/>
        <v>1078.9959183673468</v>
      </c>
      <c r="U28" s="283">
        <f t="shared" si="3"/>
        <v>23.995918367346803</v>
      </c>
      <c r="V28" s="220">
        <f t="shared" si="6"/>
        <v>-39.195918367347076</v>
      </c>
      <c r="X28" s="221">
        <f t="shared" si="7"/>
        <v>0.37973130086551909</v>
      </c>
    </row>
    <row r="29" spans="2:24" ht="15" x14ac:dyDescent="0.25">
      <c r="B29" s="92">
        <v>50</v>
      </c>
      <c r="C29" s="154">
        <v>0.7</v>
      </c>
      <c r="D29" s="93">
        <v>26.361105850828469</v>
      </c>
      <c r="E29" s="91">
        <v>1318.0552925414236</v>
      </c>
      <c r="F29" s="17">
        <v>50</v>
      </c>
      <c r="G29" s="227">
        <f t="shared" si="0"/>
        <v>1318.1</v>
      </c>
      <c r="H29" s="283">
        <f t="shared" si="1"/>
        <v>4.4707458576340287E-2</v>
      </c>
      <c r="I29" s="220">
        <f t="shared" si="4"/>
        <v>-31.840077439843526</v>
      </c>
      <c r="K29" s="221">
        <f t="shared" si="5"/>
        <v>1.4021565056427864E-3</v>
      </c>
      <c r="P29" s="308">
        <v>50</v>
      </c>
      <c r="Q29" s="266">
        <v>1348.2</v>
      </c>
      <c r="R29" s="309">
        <v>0.65</v>
      </c>
      <c r="S29" s="17">
        <v>50</v>
      </c>
      <c r="T29" s="227">
        <f t="shared" si="2"/>
        <v>1348.1999999999998</v>
      </c>
      <c r="U29" s="283">
        <f t="shared" si="3"/>
        <v>0</v>
      </c>
      <c r="V29" s="220">
        <f t="shared" si="6"/>
        <v>-23.995918367346803</v>
      </c>
      <c r="X29" s="221">
        <f t="shared" si="7"/>
        <v>0</v>
      </c>
    </row>
    <row r="39" spans="4:17" x14ac:dyDescent="0.2">
      <c r="G39" s="19" t="s">
        <v>123</v>
      </c>
      <c r="I39" s="291" t="s">
        <v>202</v>
      </c>
    </row>
    <row r="40" spans="4:17" x14ac:dyDescent="0.2">
      <c r="G40" s="17">
        <v>1</v>
      </c>
      <c r="H40" s="287">
        <v>7.8959419828241728E-2</v>
      </c>
    </row>
    <row r="41" spans="4:17" x14ac:dyDescent="0.2">
      <c r="D41" s="272">
        <v>663.0183673469387</v>
      </c>
      <c r="E41" s="272">
        <v>45.320874346938695</v>
      </c>
      <c r="G41" s="17">
        <v>2</v>
      </c>
      <c r="H41" s="287">
        <v>3.5806321881968062</v>
      </c>
      <c r="I41" s="315">
        <f>H41-H40</f>
        <v>3.5016727683685644</v>
      </c>
    </row>
    <row r="42" spans="4:17" x14ac:dyDescent="0.2">
      <c r="D42" s="227">
        <v>689.18163265306111</v>
      </c>
      <c r="E42" s="227">
        <v>45.249435653061141</v>
      </c>
      <c r="G42" s="17">
        <v>3</v>
      </c>
      <c r="H42" s="287">
        <v>6.9473927484404827</v>
      </c>
      <c r="I42" s="315">
        <f t="shared" ref="I42:J90" si="8">H42-H41</f>
        <v>3.3667605602436765</v>
      </c>
      <c r="J42" s="284">
        <f>I42-I41</f>
        <v>-0.13491220812488791</v>
      </c>
      <c r="P42">
        <f>P43+Q43</f>
        <v>0.13493999999999998</v>
      </c>
    </row>
    <row r="43" spans="4:17" x14ac:dyDescent="0.2">
      <c r="D43" s="227">
        <v>715.34489795918364</v>
      </c>
      <c r="E43" s="227">
        <v>45.03274095918357</v>
      </c>
      <c r="G43" s="17">
        <v>4</v>
      </c>
      <c r="H43" s="287">
        <v>10.178490097261633</v>
      </c>
      <c r="I43" s="315">
        <f t="shared" si="8"/>
        <v>3.2310973488211507</v>
      </c>
      <c r="J43" s="284">
        <f t="shared" si="8"/>
        <v>-0.1356632114225258</v>
      </c>
      <c r="K43" s="284">
        <f>J43-J42</f>
        <v>-7.5100329763788665E-4</v>
      </c>
      <c r="P43">
        <f>P44+Q44</f>
        <v>0.13568999999999998</v>
      </c>
      <c r="Q43">
        <v>-7.5000000000000002E-4</v>
      </c>
    </row>
    <row r="44" spans="4:17" x14ac:dyDescent="0.2">
      <c r="D44" s="227">
        <v>741.50816326530605</v>
      </c>
      <c r="E44" s="227">
        <v>44.670790265306096</v>
      </c>
      <c r="G44" s="17">
        <v>5</v>
      </c>
      <c r="H44" s="287">
        <v>13.273173231362595</v>
      </c>
      <c r="I44" s="315">
        <f t="shared" si="8"/>
        <v>3.0946831341009613</v>
      </c>
      <c r="J44" s="284">
        <f t="shared" si="8"/>
        <v>-0.13641421472018944</v>
      </c>
      <c r="K44" s="284">
        <f t="shared" ref="K44" si="9">J44-J43</f>
        <v>-7.5100329766364382E-4</v>
      </c>
      <c r="P44">
        <f t="shared" ref="P44:P62" si="10">P45+Q45</f>
        <v>0.13643999999999998</v>
      </c>
      <c r="Q44">
        <v>-7.5000000000000002E-4</v>
      </c>
    </row>
    <row r="45" spans="4:17" x14ac:dyDescent="0.2">
      <c r="D45" s="227">
        <v>767.67142857142846</v>
      </c>
      <c r="E45" s="227">
        <v>44.163583571428489</v>
      </c>
      <c r="G45" s="17">
        <v>6</v>
      </c>
      <c r="H45" s="287">
        <v>16.230691147445729</v>
      </c>
      <c r="I45" s="315">
        <f t="shared" si="8"/>
        <v>2.957517916083134</v>
      </c>
      <c r="J45" s="284">
        <f t="shared" si="8"/>
        <v>-0.13716521801782733</v>
      </c>
      <c r="K45" s="284">
        <f t="shared" ref="K45" si="11">J45-J44</f>
        <v>-7.5100329763788665E-4</v>
      </c>
      <c r="P45">
        <f t="shared" si="10"/>
        <v>0.13718999999999998</v>
      </c>
      <c r="Q45">
        <v>-7.5000000000000002E-4</v>
      </c>
    </row>
    <row r="46" spans="4:17" x14ac:dyDescent="0.2">
      <c r="D46" s="227">
        <v>793.83469387755099</v>
      </c>
      <c r="E46" s="227">
        <v>43.511120877550979</v>
      </c>
      <c r="G46" s="17">
        <v>7</v>
      </c>
      <c r="H46" s="287">
        <v>19.050292842213512</v>
      </c>
      <c r="I46" s="315">
        <f t="shared" si="8"/>
        <v>2.8196016947677833</v>
      </c>
      <c r="J46" s="284">
        <f t="shared" si="8"/>
        <v>-0.13791622131535064</v>
      </c>
      <c r="K46" s="284">
        <f t="shared" ref="K46" si="12">J46-J45</f>
        <v>-7.5100329752331163E-4</v>
      </c>
      <c r="P46">
        <f t="shared" si="10"/>
        <v>0.13793999999999998</v>
      </c>
      <c r="Q46">
        <v>-7.5000000000000002E-4</v>
      </c>
    </row>
    <row r="47" spans="4:17" x14ac:dyDescent="0.2">
      <c r="D47" s="227">
        <v>819.9979591836734</v>
      </c>
      <c r="E47" s="227">
        <v>42.713402183673338</v>
      </c>
      <c r="G47" s="17">
        <v>8</v>
      </c>
      <c r="H47" s="287">
        <v>21.731227312368194</v>
      </c>
      <c r="I47" s="315">
        <f t="shared" si="8"/>
        <v>2.680934470154682</v>
      </c>
      <c r="J47" s="284">
        <f t="shared" si="8"/>
        <v>-0.13866722461310133</v>
      </c>
      <c r="K47" s="284">
        <f t="shared" ref="K47" si="13">J47-J46</f>
        <v>-7.5100329775068531E-4</v>
      </c>
      <c r="P47">
        <f t="shared" si="10"/>
        <v>0.13868999999999998</v>
      </c>
      <c r="Q47">
        <v>-7.5000000000000002E-4</v>
      </c>
    </row>
    <row r="48" spans="4:17" x14ac:dyDescent="0.2">
      <c r="D48" s="227">
        <v>846.16122448979581</v>
      </c>
      <c r="E48" s="227">
        <v>41.770427489795793</v>
      </c>
      <c r="G48" s="17">
        <v>9</v>
      </c>
      <c r="H48" s="287">
        <v>24.272743554612195</v>
      </c>
      <c r="I48" s="315">
        <f t="shared" si="8"/>
        <v>2.5415162422440005</v>
      </c>
      <c r="J48" s="284">
        <f t="shared" si="8"/>
        <v>-0.13941822791068148</v>
      </c>
      <c r="K48" s="284">
        <f t="shared" ref="K48" si="14">J48-J47</f>
        <v>-7.5100329758015505E-4</v>
      </c>
      <c r="P48">
        <f t="shared" si="10"/>
        <v>0.13943999999999998</v>
      </c>
      <c r="Q48">
        <v>-7.5000000000000002E-4</v>
      </c>
    </row>
    <row r="49" spans="4:20" x14ac:dyDescent="0.2">
      <c r="D49" s="227">
        <v>872.32448979591823</v>
      </c>
      <c r="E49" s="227">
        <v>40.68219679591823</v>
      </c>
      <c r="G49" s="17">
        <v>10</v>
      </c>
      <c r="H49" s="287">
        <v>26.674090565647933</v>
      </c>
      <c r="I49" s="315">
        <f t="shared" si="8"/>
        <v>2.4013470110357389</v>
      </c>
      <c r="J49" s="284">
        <f t="shared" si="8"/>
        <v>-0.14016923120826164</v>
      </c>
      <c r="K49" s="284">
        <f t="shared" ref="K49" si="15">J49-J48</f>
        <v>-7.5100329758015505E-4</v>
      </c>
      <c r="P49">
        <f t="shared" si="10"/>
        <v>0.14018999999999998</v>
      </c>
      <c r="Q49">
        <v>-7.5000000000000002E-4</v>
      </c>
    </row>
    <row r="50" spans="4:20" x14ac:dyDescent="0.2">
      <c r="D50" s="227">
        <v>898.48775510204064</v>
      </c>
      <c r="E50" s="227">
        <v>39.448710102040764</v>
      </c>
      <c r="G50" s="17">
        <v>11</v>
      </c>
      <c r="H50" s="287">
        <v>28.934517342177717</v>
      </c>
      <c r="I50" s="315">
        <f t="shared" si="8"/>
        <v>2.2604267765297834</v>
      </c>
      <c r="J50" s="284">
        <f t="shared" si="8"/>
        <v>-0.14092023450595548</v>
      </c>
      <c r="K50" s="284">
        <f t="shared" ref="K50" si="16">J50-J49</f>
        <v>-7.5100329769384189E-4</v>
      </c>
      <c r="P50">
        <f t="shared" si="10"/>
        <v>0.14093999999999998</v>
      </c>
      <c r="Q50">
        <v>-7.5000000000000002E-4</v>
      </c>
    </row>
    <row r="51" spans="4:20" x14ac:dyDescent="0.2">
      <c r="D51" s="227">
        <v>924.65102040816316</v>
      </c>
      <c r="E51" s="227">
        <v>38.069967408163166</v>
      </c>
      <c r="G51" s="17">
        <v>12</v>
      </c>
      <c r="H51" s="287">
        <v>31.05327288090395</v>
      </c>
      <c r="I51" s="315">
        <f t="shared" si="8"/>
        <v>2.1187555387262336</v>
      </c>
      <c r="J51" s="284">
        <f t="shared" si="8"/>
        <v>-0.14167123780354984</v>
      </c>
      <c r="K51" s="284">
        <f t="shared" ref="K51" si="17">J51-J50</f>
        <v>-7.510032975943659E-4</v>
      </c>
      <c r="P51">
        <f t="shared" si="10"/>
        <v>0.14168999999999998</v>
      </c>
      <c r="Q51">
        <v>-7.5000000000000002E-4</v>
      </c>
    </row>
    <row r="52" spans="4:20" x14ac:dyDescent="0.2">
      <c r="D52" s="227">
        <v>950.81428571428557</v>
      </c>
      <c r="E52" s="227">
        <v>36.54596871428555</v>
      </c>
      <c r="G52" s="17">
        <v>13</v>
      </c>
      <c r="H52" s="287">
        <v>33.029606178529015</v>
      </c>
      <c r="I52" s="315">
        <f t="shared" si="8"/>
        <v>1.9763332976250645</v>
      </c>
      <c r="J52" s="284">
        <f t="shared" si="8"/>
        <v>-0.14242224110116908</v>
      </c>
      <c r="K52" s="284">
        <f t="shared" ref="K52" si="18">J52-J51</f>
        <v>-7.510032976192349E-4</v>
      </c>
      <c r="P52">
        <f t="shared" si="10"/>
        <v>0.14243999999999998</v>
      </c>
      <c r="Q52">
        <v>-7.5000000000000002E-4</v>
      </c>
    </row>
    <row r="53" spans="4:20" x14ac:dyDescent="0.2">
      <c r="D53" s="227">
        <v>976.97755102040799</v>
      </c>
      <c r="E53" s="227">
        <v>34.876714020408031</v>
      </c>
      <c r="G53" s="17">
        <v>14</v>
      </c>
      <c r="H53" s="287">
        <v>34.862766231755209</v>
      </c>
      <c r="I53" s="315">
        <f t="shared" si="8"/>
        <v>1.8331600532261945</v>
      </c>
      <c r="J53" s="284">
        <f t="shared" si="8"/>
        <v>-0.14317324439887003</v>
      </c>
      <c r="K53" s="284">
        <f t="shared" ref="K53" si="19">J53-J52</f>
        <v>-7.5100329770094731E-4</v>
      </c>
      <c r="P53">
        <f t="shared" si="10"/>
        <v>0.14318999999999998</v>
      </c>
      <c r="Q53">
        <v>-7.5000000000000002E-4</v>
      </c>
    </row>
    <row r="54" spans="4:20" x14ac:dyDescent="0.2">
      <c r="D54" s="227">
        <v>1003.1408163265305</v>
      </c>
      <c r="E54" s="227">
        <v>33.062203326530494</v>
      </c>
      <c r="G54" s="17">
        <v>15</v>
      </c>
      <c r="H54" s="287">
        <v>36.552002037285</v>
      </c>
      <c r="I54" s="315">
        <f t="shared" si="8"/>
        <v>1.6892358055297905</v>
      </c>
      <c r="J54" s="284">
        <f t="shared" si="8"/>
        <v>-0.143924247696404</v>
      </c>
      <c r="K54" s="284">
        <f t="shared" ref="K54" si="20">J54-J53</f>
        <v>-7.5100329753396977E-4</v>
      </c>
      <c r="P54">
        <f t="shared" si="10"/>
        <v>0.14393999999999998</v>
      </c>
      <c r="Q54">
        <v>-7.5000000000000002E-4</v>
      </c>
    </row>
    <row r="55" spans="4:20" x14ac:dyDescent="0.2">
      <c r="D55" s="227">
        <v>1029.3040816326529</v>
      </c>
      <c r="E55" s="227">
        <v>31.102436632652939</v>
      </c>
      <c r="G55" s="17">
        <v>16</v>
      </c>
      <c r="H55" s="287">
        <v>38.096562591820721</v>
      </c>
      <c r="I55" s="315">
        <f t="shared" si="8"/>
        <v>1.5445605545357211</v>
      </c>
      <c r="J55" s="284">
        <f t="shared" si="8"/>
        <v>-0.14467525099406942</v>
      </c>
      <c r="K55" s="284">
        <f t="shared" ref="K55" si="21">J55-J54</f>
        <v>-7.5100329766542018E-4</v>
      </c>
      <c r="P55">
        <f t="shared" si="10"/>
        <v>0.14468999999999999</v>
      </c>
      <c r="Q55">
        <v>-7.5000000000000002E-4</v>
      </c>
    </row>
    <row r="56" spans="4:20" x14ac:dyDescent="0.2">
      <c r="D56" s="227">
        <v>1055.4673469387753</v>
      </c>
      <c r="E56" s="227">
        <v>28.99741393877548</v>
      </c>
      <c r="G56" s="17">
        <v>17</v>
      </c>
      <c r="H56" s="287">
        <v>39.495696892064707</v>
      </c>
      <c r="I56" s="315">
        <f t="shared" si="8"/>
        <v>1.3991343002439862</v>
      </c>
      <c r="J56" s="284">
        <f t="shared" si="8"/>
        <v>-0.14542625429173484</v>
      </c>
      <c r="K56" s="284">
        <f t="shared" ref="K56" si="22">J56-J55</f>
        <v>-7.5100329766542018E-4</v>
      </c>
      <c r="P56">
        <f t="shared" si="10"/>
        <v>0.14543999999999999</v>
      </c>
      <c r="Q56">
        <v>-7.5000000000000002E-4</v>
      </c>
    </row>
    <row r="57" spans="4:20" x14ac:dyDescent="0.2">
      <c r="D57" s="227">
        <v>1081.6306122448977</v>
      </c>
      <c r="E57" s="227">
        <v>26.747135244897891</v>
      </c>
      <c r="G57" s="17">
        <v>18</v>
      </c>
      <c r="H57" s="287">
        <v>40.748653934719393</v>
      </c>
      <c r="I57" s="315">
        <f t="shared" si="8"/>
        <v>1.2529570426546854</v>
      </c>
      <c r="J57" s="284">
        <f t="shared" si="8"/>
        <v>-0.14617725758930078</v>
      </c>
      <c r="K57" s="284">
        <f t="shared" ref="K57" si="23">J57-J56</f>
        <v>-7.5100329756594419E-4</v>
      </c>
      <c r="P57">
        <f t="shared" si="10"/>
        <v>0.14618999999999999</v>
      </c>
      <c r="Q57">
        <v>-7.5000000000000002E-4</v>
      </c>
    </row>
    <row r="58" spans="4:20" x14ac:dyDescent="0.2">
      <c r="D58" s="227">
        <v>1107.7938775510202</v>
      </c>
      <c r="E58" s="227">
        <v>24.351600551020283</v>
      </c>
      <c r="G58" s="17">
        <v>19</v>
      </c>
      <c r="H58" s="287">
        <v>41.85468271648714</v>
      </c>
      <c r="I58" s="315">
        <f t="shared" si="8"/>
        <v>1.1060287817677477</v>
      </c>
      <c r="J58" s="284">
        <f t="shared" si="8"/>
        <v>-0.14692826088693778</v>
      </c>
      <c r="K58" s="284">
        <f t="shared" ref="K58" si="24">J58-J57</f>
        <v>-7.5100329763699847E-4</v>
      </c>
      <c r="P58">
        <f t="shared" si="10"/>
        <v>0.14693999999999999</v>
      </c>
      <c r="Q58">
        <v>-7.5000000000000002E-4</v>
      </c>
    </row>
    <row r="59" spans="4:20" x14ac:dyDescent="0.2">
      <c r="D59" s="227">
        <v>1133.9571428571426</v>
      </c>
      <c r="E59" s="227">
        <v>21.810809857142658</v>
      </c>
      <c r="G59" s="17">
        <v>20</v>
      </c>
      <c r="H59" s="287">
        <v>42.813032234070313</v>
      </c>
      <c r="I59" s="315">
        <f t="shared" si="8"/>
        <v>0.95834951758317288</v>
      </c>
      <c r="J59" s="284">
        <f t="shared" si="8"/>
        <v>-0.14767926418457478</v>
      </c>
      <c r="K59" s="284">
        <f t="shared" ref="K59" si="25">J59-J58</f>
        <v>-7.5100329763699847E-4</v>
      </c>
      <c r="P59">
        <f t="shared" si="10"/>
        <v>0.14768999999999999</v>
      </c>
      <c r="Q59">
        <v>-7.5000000000000002E-4</v>
      </c>
      <c r="S59" s="17">
        <v>20</v>
      </c>
      <c r="T59" s="287">
        <v>42.813032234070313</v>
      </c>
    </row>
    <row r="60" spans="4:20" x14ac:dyDescent="0.2">
      <c r="D60" s="227">
        <v>1160.1204081632652</v>
      </c>
      <c r="E60" s="227">
        <v>19.124763163265243</v>
      </c>
      <c r="G60" s="17">
        <v>21</v>
      </c>
      <c r="H60" s="287">
        <v>43.622951484171246</v>
      </c>
      <c r="I60" s="315">
        <f t="shared" si="8"/>
        <v>0.80991925010093269</v>
      </c>
      <c r="J60" s="284">
        <f t="shared" si="8"/>
        <v>-0.1484302674822402</v>
      </c>
      <c r="K60" s="284">
        <f t="shared" ref="K60" si="26">J60-J59</f>
        <v>-7.5100329766542018E-4</v>
      </c>
      <c r="P60">
        <f t="shared" si="10"/>
        <v>0.14843999999999999</v>
      </c>
      <c r="Q60">
        <v>-7.5000000000000002E-4</v>
      </c>
      <c r="S60" s="17">
        <v>21</v>
      </c>
      <c r="T60" s="287">
        <v>43.622951484171246</v>
      </c>
    </row>
    <row r="61" spans="4:20" x14ac:dyDescent="0.2">
      <c r="D61" s="227">
        <v>1186.2836734693876</v>
      </c>
      <c r="E61" s="227">
        <v>16.29346046938781</v>
      </c>
      <c r="G61" s="17">
        <v>22</v>
      </c>
      <c r="H61" s="287">
        <v>44.283689463492358</v>
      </c>
      <c r="I61" s="315">
        <f t="shared" si="8"/>
        <v>0.66073797932111233</v>
      </c>
      <c r="J61" s="284">
        <f t="shared" si="8"/>
        <v>-0.14918127077982035</v>
      </c>
      <c r="K61" s="284">
        <f t="shared" ref="K61" si="27">J61-J60</f>
        <v>-7.5100329758015505E-4</v>
      </c>
      <c r="O61">
        <f>O62+P62</f>
        <v>0.60425999999999991</v>
      </c>
      <c r="P61">
        <f t="shared" si="10"/>
        <v>0.14918999999999999</v>
      </c>
      <c r="Q61">
        <v>-7.5000000000000002E-4</v>
      </c>
      <c r="S61" s="17">
        <v>22</v>
      </c>
      <c r="T61" s="287">
        <v>44.283689463492358</v>
      </c>
    </row>
    <row r="62" spans="4:20" x14ac:dyDescent="0.2">
      <c r="D62" s="227">
        <v>1212.44693877551</v>
      </c>
      <c r="E62" s="227">
        <v>13.316901775510132</v>
      </c>
      <c r="G62" s="17">
        <v>23</v>
      </c>
      <c r="H62" s="287">
        <v>44.794495168735999</v>
      </c>
      <c r="I62" s="315">
        <f t="shared" si="8"/>
        <v>0.51080570524364077</v>
      </c>
      <c r="J62" s="284">
        <f t="shared" si="8"/>
        <v>-0.14993227407747156</v>
      </c>
      <c r="K62" s="284">
        <f t="shared" ref="K62" si="28">J62-J61</f>
        <v>-7.5100329765120932E-4</v>
      </c>
      <c r="O62">
        <f>O63+P63</f>
        <v>0.45431999999999995</v>
      </c>
      <c r="P62">
        <f t="shared" si="10"/>
        <v>0.14993999999999999</v>
      </c>
      <c r="Q62">
        <v>-7.5000000000000002E-4</v>
      </c>
      <c r="S62" s="17">
        <v>23</v>
      </c>
      <c r="T62" s="287">
        <v>44.794495168735999</v>
      </c>
    </row>
    <row r="63" spans="4:20" x14ac:dyDescent="0.2">
      <c r="D63" s="227">
        <v>1238.6102040816324</v>
      </c>
      <c r="E63" s="227">
        <v>10.195087081632664</v>
      </c>
      <c r="G63" s="17">
        <v>24</v>
      </c>
      <c r="H63" s="287">
        <v>45.15461759660456</v>
      </c>
      <c r="I63" s="315">
        <f t="shared" si="8"/>
        <v>0.36012242786856064</v>
      </c>
      <c r="J63" s="284">
        <f t="shared" si="8"/>
        <v>-0.15068327737508014</v>
      </c>
      <c r="K63" s="284">
        <f t="shared" ref="K63" si="29">J63-J62</f>
        <v>-7.5100329760857676E-4</v>
      </c>
      <c r="O63">
        <f>O64+P64</f>
        <v>0.30362999999999996</v>
      </c>
      <c r="P63">
        <f>P64+Q64</f>
        <v>0.15068999999999999</v>
      </c>
      <c r="Q63">
        <v>-7.5000000000000002E-4</v>
      </c>
      <c r="S63" s="17">
        <v>24</v>
      </c>
      <c r="T63" s="287">
        <v>45.15461759660456</v>
      </c>
    </row>
    <row r="64" spans="4:20" x14ac:dyDescent="0.2">
      <c r="D64" s="227">
        <v>1264.7734693877549</v>
      </c>
      <c r="E64" s="227">
        <v>6.9280163877549512</v>
      </c>
      <c r="G64" s="311">
        <v>25</v>
      </c>
      <c r="H64" s="287">
        <v>45.363305743800382</v>
      </c>
      <c r="I64" s="315">
        <f t="shared" si="8"/>
        <v>0.20868814719582218</v>
      </c>
      <c r="J64" s="284">
        <f t="shared" si="8"/>
        <v>-0.15143428067273845</v>
      </c>
      <c r="K64" s="284">
        <f t="shared" ref="K64" si="30">J64-J63</f>
        <v>-7.5100329765831475E-4</v>
      </c>
      <c r="O64">
        <f>O65+P65</f>
        <v>0.15218999999999999</v>
      </c>
      <c r="P64">
        <f>P65+Q65</f>
        <v>0.15143999999999999</v>
      </c>
      <c r="Q64">
        <v>-7.5000000000000002E-4</v>
      </c>
      <c r="S64" s="311">
        <v>25</v>
      </c>
      <c r="T64" s="287">
        <v>45.363305743800382</v>
      </c>
    </row>
    <row r="65" spans="4:20" x14ac:dyDescent="0.2">
      <c r="D65" s="227">
        <v>1290.9367346938773</v>
      </c>
      <c r="E65" s="227">
        <v>3.5156896938772206</v>
      </c>
      <c r="G65" s="280">
        <v>25.4</v>
      </c>
      <c r="H65" s="289">
        <v>45.419808607025864</v>
      </c>
      <c r="I65" s="316">
        <f t="shared" si="8"/>
        <v>5.6502863225482258E-2</v>
      </c>
      <c r="J65" s="313">
        <f>I65-I64</f>
        <v>-0.15218528397033992</v>
      </c>
      <c r="K65" s="313">
        <f t="shared" ref="K65" si="31">J65-J64</f>
        <v>-7.5100329760147133E-4</v>
      </c>
      <c r="L65" s="314"/>
      <c r="M65" s="314"/>
      <c r="N65" s="314"/>
      <c r="O65" s="314">
        <v>0</v>
      </c>
      <c r="P65" s="314">
        <v>0.15218999999999999</v>
      </c>
      <c r="Q65" s="314">
        <v>-7.5000000000000002E-4</v>
      </c>
      <c r="S65" s="17">
        <v>26</v>
      </c>
      <c r="T65" s="287">
        <v>45.363305743800382</v>
      </c>
    </row>
    <row r="66" spans="4:20" x14ac:dyDescent="0.2">
      <c r="D66" s="227">
        <v>1317.0999999999997</v>
      </c>
      <c r="E66" s="227">
        <v>-4.1893000000072789E-2</v>
      </c>
      <c r="G66" s="17">
        <v>26</v>
      </c>
      <c r="H66" s="287">
        <v>45.363305743800382</v>
      </c>
      <c r="I66" s="315">
        <f t="shared" si="8"/>
        <v>-5.6502863225482258E-2</v>
      </c>
      <c r="J66" s="284">
        <f t="shared" si="8"/>
        <v>-0.11300572645096452</v>
      </c>
      <c r="K66" s="284">
        <f t="shared" ref="K66" si="32">J66-J65</f>
        <v>3.9179557519375408E-2</v>
      </c>
      <c r="P66">
        <f>P65+Q65</f>
        <v>0.15143999999999999</v>
      </c>
      <c r="Q66">
        <v>-7.5000000000000002E-4</v>
      </c>
      <c r="S66" s="17">
        <v>27</v>
      </c>
      <c r="T66" s="287">
        <v>45.15461759660456</v>
      </c>
    </row>
    <row r="67" spans="4:20" x14ac:dyDescent="0.2">
      <c r="G67" s="17">
        <v>27</v>
      </c>
      <c r="H67" s="287">
        <v>45.15461759660456</v>
      </c>
      <c r="I67" s="315">
        <f t="shared" si="8"/>
        <v>-0.20868814719582218</v>
      </c>
      <c r="J67" s="284">
        <f t="shared" si="8"/>
        <v>-0.15218528397033992</v>
      </c>
      <c r="K67" s="284">
        <f t="shared" ref="K67" si="33">J67-J66</f>
        <v>-3.9179557519375408E-2</v>
      </c>
      <c r="P67">
        <f t="shared" ref="P67:P91" si="34">P66+Q66</f>
        <v>0.15068999999999999</v>
      </c>
      <c r="Q67">
        <v>-7.5000000000000002E-4</v>
      </c>
      <c r="S67" s="17">
        <v>28</v>
      </c>
      <c r="T67" s="287">
        <v>44.794495168735999</v>
      </c>
    </row>
    <row r="68" spans="4:20" x14ac:dyDescent="0.2">
      <c r="G68" s="17">
        <v>28</v>
      </c>
      <c r="H68" s="287">
        <v>44.794495168735999</v>
      </c>
      <c r="I68" s="315">
        <f t="shared" si="8"/>
        <v>-0.36012242786856064</v>
      </c>
      <c r="J68" s="284">
        <f t="shared" si="8"/>
        <v>-0.15143428067273845</v>
      </c>
      <c r="K68" s="284">
        <f t="shared" ref="K68" si="35">J68-J67</f>
        <v>7.5100329760147133E-4</v>
      </c>
      <c r="P68">
        <f t="shared" si="34"/>
        <v>0.14993999999999999</v>
      </c>
      <c r="Q68">
        <v>-7.5000000000000002E-4</v>
      </c>
      <c r="S68" s="17">
        <v>29</v>
      </c>
      <c r="T68" s="287">
        <v>44.283689463492358</v>
      </c>
    </row>
    <row r="69" spans="4:20" x14ac:dyDescent="0.2">
      <c r="G69" s="17">
        <v>29</v>
      </c>
      <c r="H69" s="287">
        <v>44.283689463492358</v>
      </c>
      <c r="I69" s="315">
        <f t="shared" si="8"/>
        <v>-0.51080570524364077</v>
      </c>
      <c r="J69" s="284">
        <f t="shared" si="8"/>
        <v>-0.15068327737508014</v>
      </c>
      <c r="K69" s="284">
        <f t="shared" ref="K69" si="36">J69-J68</f>
        <v>7.5100329765831475E-4</v>
      </c>
      <c r="P69">
        <f t="shared" si="34"/>
        <v>0.14918999999999999</v>
      </c>
      <c r="Q69">
        <v>-7.5000000000000002E-4</v>
      </c>
      <c r="S69" s="17">
        <v>30</v>
      </c>
      <c r="T69" s="287">
        <v>43.622951484171246</v>
      </c>
    </row>
    <row r="70" spans="4:20" x14ac:dyDescent="0.2">
      <c r="G70" s="17">
        <v>30</v>
      </c>
      <c r="H70" s="287">
        <v>43.622951484171246</v>
      </c>
      <c r="I70" s="315">
        <f t="shared" si="8"/>
        <v>-0.66073797932111233</v>
      </c>
      <c r="J70" s="284">
        <f t="shared" si="8"/>
        <v>-0.14993227407747156</v>
      </c>
      <c r="K70" s="284">
        <f t="shared" ref="K70" si="37">J70-J69</f>
        <v>7.5100329760857676E-4</v>
      </c>
      <c r="P70">
        <f t="shared" si="34"/>
        <v>0.14843999999999999</v>
      </c>
      <c r="Q70">
        <v>-7.5000000000000002E-4</v>
      </c>
    </row>
    <row r="71" spans="4:20" x14ac:dyDescent="0.2">
      <c r="G71" s="17">
        <v>31</v>
      </c>
      <c r="H71" s="287">
        <v>42.813032234070313</v>
      </c>
      <c r="I71" s="315">
        <f t="shared" si="8"/>
        <v>-0.80991925010093269</v>
      </c>
      <c r="J71" s="284">
        <f t="shared" si="8"/>
        <v>-0.14918127077982035</v>
      </c>
      <c r="K71" s="284">
        <f t="shared" ref="K71" si="38">J71-J70</f>
        <v>7.5100329765120932E-4</v>
      </c>
      <c r="P71">
        <f t="shared" si="34"/>
        <v>0.14768999999999999</v>
      </c>
      <c r="Q71">
        <v>-7.5000000000000002E-4</v>
      </c>
    </row>
    <row r="72" spans="4:20" x14ac:dyDescent="0.2">
      <c r="G72" s="17">
        <v>32</v>
      </c>
      <c r="H72" s="287">
        <v>41.85468271648714</v>
      </c>
      <c r="I72" s="315">
        <f t="shared" si="8"/>
        <v>-0.95834951758317288</v>
      </c>
      <c r="J72" s="284">
        <f t="shared" si="8"/>
        <v>-0.1484302674822402</v>
      </c>
      <c r="K72" s="284">
        <f t="shared" ref="K72" si="39">J72-J71</f>
        <v>7.5100329758015505E-4</v>
      </c>
      <c r="P72">
        <f t="shared" si="34"/>
        <v>0.14693999999999999</v>
      </c>
      <c r="Q72">
        <v>-7.5000000000000002E-4</v>
      </c>
    </row>
    <row r="73" spans="4:20" x14ac:dyDescent="0.2">
      <c r="G73" s="17">
        <v>33</v>
      </c>
      <c r="H73" s="287">
        <v>40.748653934719393</v>
      </c>
      <c r="I73" s="315">
        <f t="shared" si="8"/>
        <v>-1.1060287817677477</v>
      </c>
      <c r="J73" s="284">
        <f t="shared" si="8"/>
        <v>-0.14767926418457478</v>
      </c>
      <c r="K73" s="284">
        <f t="shared" ref="K73" si="40">J73-J72</f>
        <v>7.5100329766542018E-4</v>
      </c>
      <c r="P73">
        <f t="shared" si="34"/>
        <v>0.14618999999999999</v>
      </c>
      <c r="Q73">
        <v>-7.5000000000000002E-4</v>
      </c>
    </row>
    <row r="74" spans="4:20" x14ac:dyDescent="0.2">
      <c r="G74" s="17">
        <v>34</v>
      </c>
      <c r="H74" s="287">
        <v>39.495696892064707</v>
      </c>
      <c r="I74" s="315">
        <f t="shared" si="8"/>
        <v>-1.2529570426546854</v>
      </c>
      <c r="J74" s="284">
        <f t="shared" si="8"/>
        <v>-0.14692826088693778</v>
      </c>
      <c r="K74" s="284">
        <f t="shared" ref="K74" si="41">J74-J73</f>
        <v>7.5100329763699847E-4</v>
      </c>
      <c r="P74">
        <f t="shared" si="34"/>
        <v>0.14543999999999999</v>
      </c>
      <c r="Q74">
        <v>-7.5000000000000002E-4</v>
      </c>
    </row>
    <row r="75" spans="4:20" x14ac:dyDescent="0.2">
      <c r="G75" s="17">
        <v>35</v>
      </c>
      <c r="H75" s="287">
        <v>38.096562591820721</v>
      </c>
      <c r="I75" s="315">
        <f t="shared" si="8"/>
        <v>-1.3991343002439862</v>
      </c>
      <c r="J75" s="284">
        <f t="shared" si="8"/>
        <v>-0.14617725758930078</v>
      </c>
      <c r="K75" s="284">
        <f t="shared" ref="K75" si="42">J75-J74</f>
        <v>7.5100329763699847E-4</v>
      </c>
      <c r="P75">
        <f t="shared" si="34"/>
        <v>0.14468999999999999</v>
      </c>
      <c r="Q75">
        <v>-7.5000000000000002E-4</v>
      </c>
    </row>
    <row r="76" spans="4:20" x14ac:dyDescent="0.2">
      <c r="G76" s="17">
        <v>36</v>
      </c>
      <c r="H76" s="287">
        <v>36.552002037285</v>
      </c>
      <c r="I76" s="315">
        <f t="shared" si="8"/>
        <v>-1.5445605545357211</v>
      </c>
      <c r="J76" s="284">
        <f t="shared" si="8"/>
        <v>-0.14542625429173484</v>
      </c>
      <c r="K76" s="284">
        <f t="shared" ref="K76" si="43">J76-J75</f>
        <v>7.5100329756594419E-4</v>
      </c>
      <c r="P76">
        <f t="shared" si="34"/>
        <v>0.14393999999999998</v>
      </c>
      <c r="Q76">
        <v>-7.5000000000000002E-4</v>
      </c>
    </row>
    <row r="77" spans="4:20" x14ac:dyDescent="0.2">
      <c r="G77" s="17">
        <v>37</v>
      </c>
      <c r="H77" s="287">
        <v>34.862766231755209</v>
      </c>
      <c r="I77" s="315">
        <f t="shared" si="8"/>
        <v>-1.6892358055297905</v>
      </c>
      <c r="J77" s="284">
        <f t="shared" si="8"/>
        <v>-0.14467525099406942</v>
      </c>
      <c r="K77" s="284">
        <f t="shared" ref="K77" si="44">J77-J76</f>
        <v>7.5100329766542018E-4</v>
      </c>
      <c r="P77">
        <f t="shared" si="34"/>
        <v>0.14318999999999998</v>
      </c>
      <c r="Q77">
        <v>-7.5000000000000002E-4</v>
      </c>
    </row>
    <row r="78" spans="4:20" x14ac:dyDescent="0.2">
      <c r="G78" s="17">
        <v>38</v>
      </c>
      <c r="H78" s="287">
        <v>33.029606178529015</v>
      </c>
      <c r="I78" s="315">
        <f t="shared" si="8"/>
        <v>-1.8331600532261945</v>
      </c>
      <c r="J78" s="284">
        <f t="shared" si="8"/>
        <v>-0.143924247696404</v>
      </c>
      <c r="K78" s="284">
        <f t="shared" ref="K78" si="45">J78-J77</f>
        <v>7.5100329766542018E-4</v>
      </c>
      <c r="P78">
        <f t="shared" si="34"/>
        <v>0.14243999999999998</v>
      </c>
      <c r="Q78">
        <v>-7.5000000000000002E-4</v>
      </c>
    </row>
    <row r="79" spans="4:20" x14ac:dyDescent="0.2">
      <c r="G79" s="17">
        <v>39</v>
      </c>
      <c r="H79" s="287">
        <v>31.05327288090395</v>
      </c>
      <c r="I79" s="315">
        <f t="shared" si="8"/>
        <v>-1.9763332976250645</v>
      </c>
      <c r="J79" s="284">
        <f t="shared" si="8"/>
        <v>-0.14317324439887003</v>
      </c>
      <c r="K79" s="284">
        <f t="shared" ref="K79" si="46">J79-J78</f>
        <v>7.5100329753396977E-4</v>
      </c>
      <c r="P79">
        <f t="shared" si="34"/>
        <v>0.14168999999999998</v>
      </c>
      <c r="Q79">
        <v>-7.5000000000000002E-4</v>
      </c>
    </row>
    <row r="80" spans="4:20" x14ac:dyDescent="0.2">
      <c r="G80" s="17">
        <v>40</v>
      </c>
      <c r="H80" s="287">
        <v>28.934517342177717</v>
      </c>
      <c r="I80" s="315">
        <f t="shared" si="8"/>
        <v>-2.1187555387262336</v>
      </c>
      <c r="J80" s="284">
        <f t="shared" si="8"/>
        <v>-0.14242224110116908</v>
      </c>
      <c r="K80" s="284">
        <f t="shared" ref="K80" si="47">J80-J79</f>
        <v>7.5100329770094731E-4</v>
      </c>
      <c r="P80">
        <f t="shared" si="34"/>
        <v>0.14093999999999998</v>
      </c>
      <c r="Q80">
        <v>-7.5000000000000002E-4</v>
      </c>
    </row>
    <row r="81" spans="7:17" x14ac:dyDescent="0.2">
      <c r="G81" s="17">
        <v>41</v>
      </c>
      <c r="H81" s="287">
        <v>26.674090565647933</v>
      </c>
      <c r="I81" s="315">
        <f t="shared" si="8"/>
        <v>-2.2604267765297834</v>
      </c>
      <c r="J81" s="284">
        <f t="shared" si="8"/>
        <v>-0.14167123780354984</v>
      </c>
      <c r="K81" s="284">
        <f t="shared" ref="K81" si="48">J81-J80</f>
        <v>7.510032976192349E-4</v>
      </c>
      <c r="P81">
        <f t="shared" si="34"/>
        <v>0.14018999999999998</v>
      </c>
      <c r="Q81">
        <v>-7.5000000000000002E-4</v>
      </c>
    </row>
    <row r="82" spans="7:17" x14ac:dyDescent="0.2">
      <c r="G82" s="17">
        <v>42</v>
      </c>
      <c r="H82" s="287">
        <v>24.272743554612195</v>
      </c>
      <c r="I82" s="315">
        <f t="shared" si="8"/>
        <v>-2.4013470110357389</v>
      </c>
      <c r="J82" s="284">
        <f t="shared" si="8"/>
        <v>-0.14092023450595548</v>
      </c>
      <c r="K82" s="284">
        <f t="shared" ref="K82" si="49">J82-J81</f>
        <v>7.510032975943659E-4</v>
      </c>
      <c r="P82">
        <f t="shared" si="34"/>
        <v>0.13943999999999998</v>
      </c>
      <c r="Q82">
        <v>-7.5000000000000002E-4</v>
      </c>
    </row>
    <row r="83" spans="7:17" x14ac:dyDescent="0.2">
      <c r="G83" s="17">
        <v>43</v>
      </c>
      <c r="H83" s="287">
        <v>21.731227312368194</v>
      </c>
      <c r="I83" s="315">
        <f t="shared" si="8"/>
        <v>-2.5415162422440005</v>
      </c>
      <c r="J83" s="284">
        <f t="shared" si="8"/>
        <v>-0.14016923120826164</v>
      </c>
      <c r="K83" s="284">
        <f t="shared" ref="K83" si="50">J83-J82</f>
        <v>7.5100329769384189E-4</v>
      </c>
      <c r="P83">
        <f t="shared" si="34"/>
        <v>0.13868999999999998</v>
      </c>
      <c r="Q83">
        <v>-7.5000000000000002E-4</v>
      </c>
    </row>
    <row r="84" spans="7:17" x14ac:dyDescent="0.2">
      <c r="G84" s="17">
        <v>44</v>
      </c>
      <c r="H84" s="287">
        <v>19.050292842213512</v>
      </c>
      <c r="I84" s="315">
        <f t="shared" si="8"/>
        <v>-2.680934470154682</v>
      </c>
      <c r="J84" s="284">
        <f t="shared" si="8"/>
        <v>-0.13941822791068148</v>
      </c>
      <c r="K84" s="284">
        <f t="shared" ref="K84" si="51">J84-J83</f>
        <v>7.5100329758015505E-4</v>
      </c>
      <c r="P84">
        <f t="shared" si="34"/>
        <v>0.13793999999999998</v>
      </c>
      <c r="Q84">
        <v>-7.5000000000000002E-4</v>
      </c>
    </row>
    <row r="85" spans="7:17" x14ac:dyDescent="0.2">
      <c r="G85" s="17">
        <v>45</v>
      </c>
      <c r="H85" s="287">
        <v>16.230691147445729</v>
      </c>
      <c r="I85" s="315">
        <f t="shared" si="8"/>
        <v>-2.8196016947677833</v>
      </c>
      <c r="J85" s="284">
        <f t="shared" si="8"/>
        <v>-0.13866722461310133</v>
      </c>
      <c r="K85" s="284">
        <f t="shared" ref="K85" si="52">J85-J84</f>
        <v>7.5100329758015505E-4</v>
      </c>
      <c r="P85">
        <f t="shared" si="34"/>
        <v>0.13718999999999998</v>
      </c>
      <c r="Q85">
        <v>-7.5000000000000002E-4</v>
      </c>
    </row>
    <row r="86" spans="7:17" x14ac:dyDescent="0.2">
      <c r="G86" s="17">
        <v>46</v>
      </c>
      <c r="H86" s="287">
        <v>13.273173231362595</v>
      </c>
      <c r="I86" s="315">
        <f t="shared" si="8"/>
        <v>-2.957517916083134</v>
      </c>
      <c r="J86" s="284">
        <f t="shared" si="8"/>
        <v>-0.13791622131535064</v>
      </c>
      <c r="K86" s="284">
        <f t="shared" ref="K86" si="53">J86-J85</f>
        <v>7.5100329775068531E-4</v>
      </c>
      <c r="P86">
        <f t="shared" si="34"/>
        <v>0.13643999999999998</v>
      </c>
      <c r="Q86">
        <v>-7.5000000000000002E-4</v>
      </c>
    </row>
    <row r="87" spans="7:17" x14ac:dyDescent="0.2">
      <c r="G87" s="17">
        <v>47</v>
      </c>
      <c r="H87" s="287">
        <v>10.178490097261633</v>
      </c>
      <c r="I87" s="315">
        <f t="shared" si="8"/>
        <v>-3.0946831341009613</v>
      </c>
      <c r="J87" s="284">
        <f t="shared" si="8"/>
        <v>-0.13716521801782733</v>
      </c>
      <c r="K87" s="284">
        <f t="shared" ref="K87" si="54">J87-J86</f>
        <v>7.5100329752331163E-4</v>
      </c>
      <c r="P87">
        <f t="shared" si="34"/>
        <v>0.13568999999999998</v>
      </c>
      <c r="Q87">
        <v>-7.5000000000000002E-4</v>
      </c>
    </row>
    <row r="88" spans="7:17" x14ac:dyDescent="0.2">
      <c r="G88" s="17">
        <v>48</v>
      </c>
      <c r="H88" s="287">
        <v>6.9473927484404827</v>
      </c>
      <c r="I88" s="315">
        <f t="shared" si="8"/>
        <v>-3.2310973488211507</v>
      </c>
      <c r="J88" s="284">
        <f t="shared" si="8"/>
        <v>-0.13641421472018944</v>
      </c>
      <c r="K88" s="284">
        <f t="shared" ref="K88" si="55">J88-J87</f>
        <v>7.5100329763788665E-4</v>
      </c>
      <c r="P88">
        <f t="shared" si="34"/>
        <v>0.13493999999999998</v>
      </c>
      <c r="Q88">
        <v>-7.5000000000000002E-4</v>
      </c>
    </row>
    <row r="89" spans="7:17" x14ac:dyDescent="0.2">
      <c r="G89" s="17">
        <v>49</v>
      </c>
      <c r="H89" s="287">
        <v>3.5806321881968062</v>
      </c>
      <c r="I89" s="315">
        <f t="shared" si="8"/>
        <v>-3.3667605602436765</v>
      </c>
      <c r="J89" s="284">
        <f t="shared" si="8"/>
        <v>-0.1356632114225258</v>
      </c>
      <c r="K89" s="284">
        <f t="shared" ref="K89" si="56">J89-J88</f>
        <v>7.5100329766364382E-4</v>
      </c>
      <c r="P89">
        <f t="shared" si="34"/>
        <v>0.13418999999999998</v>
      </c>
      <c r="Q89">
        <v>-7.5000000000000002E-4</v>
      </c>
    </row>
    <row r="90" spans="7:17" x14ac:dyDescent="0.2">
      <c r="G90" s="17">
        <v>50</v>
      </c>
      <c r="H90" s="287">
        <v>7.8959419828241728E-2</v>
      </c>
      <c r="I90" s="315">
        <f t="shared" si="8"/>
        <v>-3.5016727683685644</v>
      </c>
      <c r="J90" s="284">
        <f t="shared" si="8"/>
        <v>-0.13491220812488791</v>
      </c>
      <c r="K90" s="284">
        <f t="shared" ref="K90" si="57">J90-J89</f>
        <v>7.5100329763788665E-4</v>
      </c>
      <c r="P90">
        <f t="shared" si="34"/>
        <v>0.13343999999999998</v>
      </c>
      <c r="Q90">
        <v>-7.5000000000000002E-4</v>
      </c>
    </row>
    <row r="91" spans="7:17" x14ac:dyDescent="0.2">
      <c r="P91">
        <f t="shared" si="34"/>
        <v>0.13268999999999997</v>
      </c>
    </row>
  </sheetData>
  <sortState xmlns:xlrd2="http://schemas.microsoft.com/office/spreadsheetml/2017/richdata2" ref="H40:H64">
    <sortCondition ref="H40:H64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17A6-D2C4-48C9-8063-EC6C7F3EE30E}">
  <sheetPr transitionEvaluation="1" transitionEntry="1" codeName="Sheet2">
    <pageSetUpPr fitToPage="1"/>
  </sheetPr>
  <dimension ref="A1:AN269"/>
  <sheetViews>
    <sheetView showGridLines="0" topLeftCell="M25" zoomScale="90" zoomScaleNormal="90" workbookViewId="0">
      <selection activeCell="AH46" sqref="AH46"/>
    </sheetView>
  </sheetViews>
  <sheetFormatPr defaultRowHeight="12.75" x14ac:dyDescent="0.2"/>
  <cols>
    <col min="1" max="26" width="9.7109375" customWidth="1"/>
    <col min="27" max="27" width="8.28515625" customWidth="1"/>
    <col min="28" max="28" width="4.28515625" customWidth="1"/>
    <col min="29" max="34" width="8.28515625" customWidth="1"/>
  </cols>
  <sheetData>
    <row r="1" spans="2:40" x14ac:dyDescent="0.2">
      <c r="B1" t="s">
        <v>78</v>
      </c>
      <c r="R1" s="45" t="s">
        <v>85</v>
      </c>
    </row>
    <row r="2" spans="2:40" x14ac:dyDescent="0.2">
      <c r="B2" s="1" t="s">
        <v>79</v>
      </c>
      <c r="AN2" t="s">
        <v>22</v>
      </c>
    </row>
    <row r="3" spans="2:40" x14ac:dyDescent="0.2">
      <c r="B3" s="1"/>
    </row>
    <row r="4" spans="2:40" x14ac:dyDescent="0.2">
      <c r="B4" s="18">
        <v>2.52</v>
      </c>
      <c r="C4" s="234" t="s">
        <v>37</v>
      </c>
      <c r="F4" s="10"/>
      <c r="G4" s="10"/>
      <c r="H4" s="10"/>
      <c r="J4" s="248" t="s">
        <v>121</v>
      </c>
    </row>
    <row r="5" spans="2:40" x14ac:dyDescent="0.2">
      <c r="B5" s="18">
        <v>4.55</v>
      </c>
      <c r="C5" s="235" t="s">
        <v>1</v>
      </c>
      <c r="D5" s="10"/>
      <c r="E5" s="10"/>
      <c r="F5" s="10"/>
      <c r="G5" s="10"/>
      <c r="H5" s="10"/>
      <c r="J5" s="249" t="s">
        <v>130</v>
      </c>
    </row>
    <row r="6" spans="2:40" x14ac:dyDescent="0.2">
      <c r="B6" s="18">
        <v>85</v>
      </c>
      <c r="C6" s="234" t="s">
        <v>8</v>
      </c>
      <c r="D6" s="6"/>
      <c r="E6" s="10"/>
      <c r="F6" s="10"/>
      <c r="G6" s="24" t="s">
        <v>13</v>
      </c>
      <c r="H6" s="10"/>
      <c r="J6" s="248" t="s">
        <v>147</v>
      </c>
    </row>
    <row r="7" spans="2:40" x14ac:dyDescent="0.2">
      <c r="B7" s="2" t="s">
        <v>10</v>
      </c>
      <c r="C7" s="19" t="s">
        <v>9</v>
      </c>
      <c r="D7" s="19" t="s">
        <v>10</v>
      </c>
      <c r="E7" s="25" t="s">
        <v>12</v>
      </c>
      <c r="F7" s="19" t="s">
        <v>11</v>
      </c>
      <c r="G7" s="26" t="s">
        <v>11</v>
      </c>
      <c r="H7" s="19" t="s">
        <v>11</v>
      </c>
    </row>
    <row r="8" spans="2:40" ht="15" x14ac:dyDescent="0.2">
      <c r="B8" s="76"/>
      <c r="C8" s="17">
        <v>1</v>
      </c>
      <c r="D8" s="218">
        <v>33.561842105263182</v>
      </c>
      <c r="E8" s="32">
        <f>D8/C8</f>
        <v>33.561842105263182</v>
      </c>
      <c r="F8" s="78">
        <f t="shared" ref="F8:F17" si="0">SQRT(12*32.2*E8^2/(4*$B$6*($B$5*56)*$B$4^2))</f>
        <v>0.88945634518259098</v>
      </c>
      <c r="G8" s="80">
        <v>0.69992745230334086</v>
      </c>
      <c r="H8" s="241">
        <f>(F8)</f>
        <v>0.88945634518259098</v>
      </c>
      <c r="J8" s="62">
        <v>1</v>
      </c>
    </row>
    <row r="9" spans="2:40" ht="15" x14ac:dyDescent="0.2">
      <c r="B9" s="77"/>
      <c r="C9" s="31">
        <v>2</v>
      </c>
      <c r="D9" s="219">
        <v>55.500000000000021</v>
      </c>
      <c r="E9" s="33">
        <f t="shared" ref="E9:E17" si="1">D9/C9</f>
        <v>27.750000000000011</v>
      </c>
      <c r="F9" s="79">
        <f t="shared" si="0"/>
        <v>0.73543083545304577</v>
      </c>
      <c r="G9" s="81">
        <v>0.69992745230334086</v>
      </c>
      <c r="H9" s="242">
        <f>(F9)</f>
        <v>0.73543083545304577</v>
      </c>
      <c r="K9" s="220">
        <f>K10*$J8</f>
        <v>48.000000000000057</v>
      </c>
      <c r="N9" s="220">
        <f>N10*$J8</f>
        <v>50.5</v>
      </c>
      <c r="Q9" s="220">
        <f>Q10*$J8</f>
        <v>52.99999999999995</v>
      </c>
      <c r="T9" s="220">
        <f>T10*$J8</f>
        <v>55.500000000000107</v>
      </c>
      <c r="W9" s="220">
        <f>W10*$J8</f>
        <v>57.999999999999851</v>
      </c>
      <c r="Z9" s="220">
        <f>Z10*$J8</f>
        <v>60.499999999999943</v>
      </c>
      <c r="AC9" s="220">
        <f>AC10*$J8</f>
        <v>62.999999999999957</v>
      </c>
    </row>
    <row r="10" spans="2:40" ht="15" x14ac:dyDescent="0.2">
      <c r="B10" s="76"/>
      <c r="C10" s="17">
        <v>3</v>
      </c>
      <c r="D10" s="218">
        <v>77.438157894736861</v>
      </c>
      <c r="E10" s="32">
        <f t="shared" si="1"/>
        <v>25.812719298245622</v>
      </c>
      <c r="F10" s="78">
        <f t="shared" si="0"/>
        <v>0.68408899887653074</v>
      </c>
      <c r="G10" s="80">
        <v>0.70001912583998827</v>
      </c>
      <c r="H10" s="241">
        <f t="shared" ref="H10:H17" si="2">(F10)</f>
        <v>0.68408899887653074</v>
      </c>
      <c r="K10" s="220">
        <v>48.000000000000057</v>
      </c>
      <c r="N10" s="220">
        <v>50.5</v>
      </c>
      <c r="Q10" s="220">
        <v>52.99999999999995</v>
      </c>
      <c r="T10" s="220">
        <v>55.500000000000107</v>
      </c>
      <c r="W10" s="220">
        <v>57.999999999999851</v>
      </c>
      <c r="Z10" s="220">
        <v>60.499999999999943</v>
      </c>
      <c r="AC10" s="220">
        <v>62.999999999999957</v>
      </c>
    </row>
    <row r="11" spans="2:40" ht="15" x14ac:dyDescent="0.2">
      <c r="B11" s="76"/>
      <c r="C11" s="17">
        <v>4</v>
      </c>
      <c r="D11" s="218">
        <v>99.376315789473708</v>
      </c>
      <c r="E11" s="32">
        <f t="shared" si="1"/>
        <v>24.844078947368427</v>
      </c>
      <c r="F11" s="78">
        <f t="shared" si="0"/>
        <v>0.65841808058827322</v>
      </c>
      <c r="G11" s="80">
        <v>0.69999620745582647</v>
      </c>
      <c r="H11" s="241">
        <f t="shared" si="2"/>
        <v>0.65841808058827322</v>
      </c>
    </row>
    <row r="12" spans="2:40" ht="15" x14ac:dyDescent="0.2">
      <c r="B12" s="77"/>
      <c r="C12" s="31">
        <v>5</v>
      </c>
      <c r="D12" s="219">
        <v>121.31447368421055</v>
      </c>
      <c r="E12" s="33">
        <f t="shared" si="1"/>
        <v>24.26289473684211</v>
      </c>
      <c r="F12" s="79">
        <f t="shared" si="0"/>
        <v>0.6430155296153186</v>
      </c>
      <c r="G12" s="81">
        <v>0.70003746054731775</v>
      </c>
      <c r="H12" s="242">
        <f t="shared" si="2"/>
        <v>0.6430155296153186</v>
      </c>
      <c r="J12" s="62">
        <v>1.06</v>
      </c>
      <c r="K12" s="220">
        <f>K13*$J12</f>
        <v>874.5</v>
      </c>
      <c r="N12" s="220">
        <f>N13*$J12</f>
        <v>916.01666666666654</v>
      </c>
      <c r="Q12" s="220">
        <f>Q13*$J12</f>
        <v>957.5333333333333</v>
      </c>
      <c r="T12" s="220">
        <f>T13*$J12</f>
        <v>999.04999999999984</v>
      </c>
      <c r="W12" s="220">
        <f>W13*$J12</f>
        <v>1040.5666666666668</v>
      </c>
      <c r="Z12" s="220">
        <f>Z13*$J12</f>
        <v>1082.083333333333</v>
      </c>
      <c r="AC12" s="220">
        <f>AC13*$J12</f>
        <v>1123.6000000000001</v>
      </c>
    </row>
    <row r="13" spans="2:40" ht="15" x14ac:dyDescent="0.2">
      <c r="B13" s="76"/>
      <c r="C13" s="17">
        <v>10</v>
      </c>
      <c r="D13" s="218">
        <v>231.00526315789477</v>
      </c>
      <c r="E13" s="32">
        <f t="shared" si="1"/>
        <v>23.100526315789477</v>
      </c>
      <c r="F13" s="78">
        <f t="shared" si="0"/>
        <v>0.6122104276694097</v>
      </c>
      <c r="G13" s="80">
        <v>0.70000995848632352</v>
      </c>
      <c r="H13" s="241">
        <f t="shared" si="2"/>
        <v>0.6122104276694097</v>
      </c>
      <c r="K13" s="220">
        <v>825</v>
      </c>
      <c r="N13" s="220">
        <v>864.16666666666652</v>
      </c>
      <c r="Q13" s="220">
        <v>903.33333333333326</v>
      </c>
      <c r="T13" s="220">
        <v>942.49999999999977</v>
      </c>
      <c r="W13" s="220">
        <v>981.66666666666674</v>
      </c>
      <c r="Z13" s="220">
        <v>1020.833333333333</v>
      </c>
      <c r="AC13" s="220">
        <v>1060</v>
      </c>
    </row>
    <row r="14" spans="2:40" ht="15" x14ac:dyDescent="0.2">
      <c r="B14" s="76"/>
      <c r="C14" s="17">
        <v>20</v>
      </c>
      <c r="D14" s="218">
        <v>450.38684210526321</v>
      </c>
      <c r="E14" s="32">
        <f t="shared" si="1"/>
        <v>22.51934210526316</v>
      </c>
      <c r="F14" s="78">
        <f t="shared" si="0"/>
        <v>0.59680787669645508</v>
      </c>
      <c r="G14" s="80">
        <v>0.69999620745582647</v>
      </c>
      <c r="H14" s="241">
        <f t="shared" si="2"/>
        <v>0.59680787669645508</v>
      </c>
      <c r="K14" s="220">
        <f>K12-K13</f>
        <v>49.5</v>
      </c>
      <c r="N14" s="220">
        <f>N12-N13</f>
        <v>51.850000000000023</v>
      </c>
      <c r="Q14" s="220">
        <f>Q12-Q13</f>
        <v>54.200000000000045</v>
      </c>
      <c r="T14" s="220">
        <f>T12-T13</f>
        <v>56.550000000000068</v>
      </c>
      <c r="W14" s="220">
        <f>W12-W13</f>
        <v>58.900000000000091</v>
      </c>
      <c r="Z14" s="220">
        <f>Z12-Z13</f>
        <v>61.25</v>
      </c>
      <c r="AC14" s="220">
        <f>AC12-AC13</f>
        <v>63.600000000000136</v>
      </c>
    </row>
    <row r="15" spans="2:40" ht="15" x14ac:dyDescent="0.2">
      <c r="B15" s="76"/>
      <c r="C15" s="17">
        <v>30</v>
      </c>
      <c r="D15" s="218">
        <v>669.76842105263165</v>
      </c>
      <c r="E15" s="32">
        <f t="shared" si="1"/>
        <v>22.325614035087721</v>
      </c>
      <c r="F15" s="78">
        <f t="shared" si="0"/>
        <v>0.59167369303880357</v>
      </c>
      <c r="G15" s="80">
        <v>0.70001912583998827</v>
      </c>
      <c r="H15" s="241">
        <f t="shared" si="2"/>
        <v>0.59167369303880357</v>
      </c>
    </row>
    <row r="16" spans="2:40" ht="15" x14ac:dyDescent="0.2">
      <c r="B16" s="77"/>
      <c r="C16" s="31">
        <v>40</v>
      </c>
      <c r="D16" s="219">
        <v>889.15000000000009</v>
      </c>
      <c r="E16" s="33">
        <f t="shared" si="1"/>
        <v>22.228750000000002</v>
      </c>
      <c r="F16" s="79">
        <f t="shared" si="0"/>
        <v>0.58910660120997782</v>
      </c>
      <c r="G16" s="81">
        <v>0.69999620745582647</v>
      </c>
      <c r="H16" s="242">
        <f t="shared" si="2"/>
        <v>0.58910660120997782</v>
      </c>
      <c r="J16" s="11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 t="s">
        <v>121</v>
      </c>
      <c r="AD16" s="13"/>
    </row>
    <row r="17" spans="1:31" ht="15" x14ac:dyDescent="0.2">
      <c r="A17" s="1"/>
      <c r="B17" s="76"/>
      <c r="C17" s="17">
        <v>50</v>
      </c>
      <c r="D17" s="218">
        <v>1108.5315789473684</v>
      </c>
      <c r="E17" s="32">
        <f t="shared" si="1"/>
        <v>22.170631578947368</v>
      </c>
      <c r="F17" s="78">
        <f t="shared" si="0"/>
        <v>0.58756634611268244</v>
      </c>
      <c r="G17" s="80">
        <v>0.69998795683752812</v>
      </c>
      <c r="H17" s="241">
        <f t="shared" si="2"/>
        <v>0.58756634611268244</v>
      </c>
      <c r="J17" s="14" t="s">
        <v>148</v>
      </c>
      <c r="K17" s="15" t="s">
        <v>161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45" t="s">
        <v>85</v>
      </c>
      <c r="AA17" s="10"/>
      <c r="AB17" s="10"/>
      <c r="AC17" s="10"/>
      <c r="AD17" s="16"/>
    </row>
    <row r="18" spans="1:31" x14ac:dyDescent="0.2">
      <c r="A18" s="1"/>
      <c r="D18" s="10"/>
      <c r="J18" s="14" t="s">
        <v>158</v>
      </c>
      <c r="K18" s="10" t="s">
        <v>159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6"/>
    </row>
    <row r="19" spans="1:31" x14ac:dyDescent="0.2">
      <c r="J19" s="14"/>
      <c r="K19" s="15" t="s">
        <v>162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6"/>
    </row>
    <row r="20" spans="1:31" x14ac:dyDescent="0.2">
      <c r="J20" s="14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6"/>
    </row>
    <row r="21" spans="1:31" x14ac:dyDescent="0.2">
      <c r="J21" s="14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6"/>
    </row>
    <row r="22" spans="1:31" x14ac:dyDescent="0.2">
      <c r="J22" s="14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258" t="s">
        <v>160</v>
      </c>
      <c r="V22" s="10"/>
      <c r="W22" s="10"/>
      <c r="X22" s="10"/>
      <c r="Y22" s="10"/>
      <c r="Z22" s="10"/>
      <c r="AA22" s="10"/>
      <c r="AB22" s="10"/>
      <c r="AC22" s="10"/>
      <c r="AD22" s="16"/>
    </row>
    <row r="23" spans="1:31" ht="15" x14ac:dyDescent="0.25">
      <c r="A23" s="236"/>
      <c r="B23" s="229">
        <v>48</v>
      </c>
      <c r="C23" s="230">
        <f>B23+$C24</f>
        <v>50.5</v>
      </c>
      <c r="D23" s="230">
        <f>C23+$C24</f>
        <v>53</v>
      </c>
      <c r="E23" s="230">
        <f>D23+$C24</f>
        <v>55.5</v>
      </c>
      <c r="F23" s="230">
        <f>E23+$C24</f>
        <v>58</v>
      </c>
      <c r="G23" s="230">
        <f>F23+$C24</f>
        <v>60.5</v>
      </c>
      <c r="H23" s="229">
        <v>63</v>
      </c>
      <c r="J23" s="224" t="s">
        <v>123</v>
      </c>
      <c r="K23" s="224" t="s">
        <v>124</v>
      </c>
      <c r="L23" s="224"/>
      <c r="M23" s="10"/>
      <c r="N23" s="224" t="s">
        <v>124</v>
      </c>
      <c r="O23" s="224"/>
      <c r="P23" s="10"/>
      <c r="Q23" s="224" t="s">
        <v>124</v>
      </c>
      <c r="R23" s="224"/>
      <c r="T23" s="254" t="s">
        <v>124</v>
      </c>
      <c r="U23" s="256"/>
      <c r="W23" s="224" t="s">
        <v>124</v>
      </c>
      <c r="X23" s="224"/>
      <c r="Z23" s="224" t="s">
        <v>124</v>
      </c>
      <c r="AA23" s="224"/>
      <c r="AC23" s="224" t="s">
        <v>124</v>
      </c>
      <c r="AD23" s="224"/>
    </row>
    <row r="24" spans="1:31" ht="15" x14ac:dyDescent="0.25">
      <c r="A24" s="1"/>
      <c r="B24" s="62"/>
      <c r="C24" s="231">
        <f>(H23-B23)/6</f>
        <v>2.5</v>
      </c>
      <c r="D24" s="10"/>
      <c r="E24" s="10"/>
      <c r="G24" s="10"/>
      <c r="H24" s="10"/>
      <c r="J24" s="225">
        <v>2</v>
      </c>
      <c r="K24" s="232">
        <f>B23</f>
        <v>48</v>
      </c>
      <c r="L24" s="233">
        <f>L31</f>
        <v>0.63604829012155339</v>
      </c>
      <c r="M24" s="223"/>
      <c r="N24" s="232">
        <f>C23</f>
        <v>50.5</v>
      </c>
      <c r="O24" s="233">
        <f>O31</f>
        <v>0.66917580523205045</v>
      </c>
      <c r="P24" s="223"/>
      <c r="Q24" s="232">
        <f>D23</f>
        <v>53</v>
      </c>
      <c r="R24" s="233">
        <f>R31</f>
        <v>0.70230332034254872</v>
      </c>
      <c r="S24" s="223"/>
      <c r="T24" s="232">
        <f>E23</f>
        <v>55.5</v>
      </c>
      <c r="U24" s="257">
        <f>U31</f>
        <v>0.73543083545304577</v>
      </c>
      <c r="V24" s="223"/>
      <c r="W24" s="232">
        <f>F23</f>
        <v>58</v>
      </c>
      <c r="X24" s="233">
        <f>X31</f>
        <v>0.76855835056354271</v>
      </c>
      <c r="Y24" s="223"/>
      <c r="Z24" s="232">
        <f>G23</f>
        <v>60.5</v>
      </c>
      <c r="AA24" s="233">
        <f>AA31</f>
        <v>0.80168586567404043</v>
      </c>
      <c r="AB24" s="223"/>
      <c r="AC24" s="232">
        <f>H23</f>
        <v>63</v>
      </c>
      <c r="AD24" s="233">
        <f>AD31</f>
        <v>0.83481338078453726</v>
      </c>
    </row>
    <row r="25" spans="1:31" ht="15" x14ac:dyDescent="0.25">
      <c r="A25" s="1"/>
      <c r="B25" s="229">
        <v>778.3</v>
      </c>
      <c r="C25" s="230">
        <f>B25+$C26</f>
        <v>815.25</v>
      </c>
      <c r="D25" s="230">
        <f>C25+$C26</f>
        <v>852.2</v>
      </c>
      <c r="E25" s="230">
        <f>D25+$C26</f>
        <v>889.15000000000009</v>
      </c>
      <c r="F25" s="230">
        <f>E25+$C26</f>
        <v>926.10000000000014</v>
      </c>
      <c r="G25" s="230">
        <f>F25+$C26</f>
        <v>963.05000000000018</v>
      </c>
      <c r="H25" s="229">
        <v>1000</v>
      </c>
      <c r="J25" s="225">
        <v>40</v>
      </c>
      <c r="K25" s="232">
        <f>B25</f>
        <v>778.3</v>
      </c>
      <c r="L25" s="233">
        <f>L34</f>
        <v>0.56001541228268059</v>
      </c>
      <c r="M25" s="223"/>
      <c r="N25" s="232">
        <f>C25</f>
        <v>815.25</v>
      </c>
      <c r="O25" s="233">
        <f>O34</f>
        <v>0.58768211806022652</v>
      </c>
      <c r="P25" s="223"/>
      <c r="Q25" s="232">
        <f>D25</f>
        <v>852.2</v>
      </c>
      <c r="R25" s="233">
        <f>R34</f>
        <v>0.61534882383777278</v>
      </c>
      <c r="S25" s="223"/>
      <c r="T25" s="232">
        <f>E25</f>
        <v>889.15000000000009</v>
      </c>
      <c r="U25" s="244">
        <f>U34</f>
        <v>0.6430155296153186</v>
      </c>
      <c r="V25" s="223"/>
      <c r="W25" s="232">
        <f>F25</f>
        <v>926.10000000000014</v>
      </c>
      <c r="X25" s="233">
        <f>X34</f>
        <v>0.67068223539286453</v>
      </c>
      <c r="Y25" s="223"/>
      <c r="Z25" s="232">
        <f>G25</f>
        <v>963.05000000000018</v>
      </c>
      <c r="AA25" s="233">
        <f>AA34</f>
        <v>0.69834894117041069</v>
      </c>
      <c r="AB25" s="223"/>
      <c r="AC25" s="232">
        <f>H25</f>
        <v>1000</v>
      </c>
      <c r="AD25" s="180">
        <f>AD34</f>
        <v>0.72601564694795628</v>
      </c>
    </row>
    <row r="26" spans="1:31" x14ac:dyDescent="0.2">
      <c r="A26" s="1"/>
      <c r="B26" s="228"/>
      <c r="C26" s="231">
        <f>(H25-B25)/6</f>
        <v>36.95000000000001</v>
      </c>
      <c r="D26" s="10"/>
      <c r="F26" s="10"/>
      <c r="G26" s="10"/>
      <c r="J26" s="160"/>
      <c r="K26" s="160"/>
      <c r="L26" s="180">
        <f>L38</f>
        <v>0.51566290021000472</v>
      </c>
      <c r="N26" s="160"/>
      <c r="O26" s="180">
        <f>O38</f>
        <v>0.54014413387666249</v>
      </c>
      <c r="Q26" s="160"/>
      <c r="R26" s="180">
        <f>R38</f>
        <v>0.56462536754332016</v>
      </c>
      <c r="T26" s="160"/>
      <c r="U26" s="244">
        <f>U38</f>
        <v>0.58910660120997782</v>
      </c>
      <c r="W26" s="160"/>
      <c r="X26" s="180">
        <f>X38</f>
        <v>0.6135878348766356</v>
      </c>
      <c r="Z26" s="160"/>
      <c r="AA26" s="180">
        <f>AA38</f>
        <v>0.63806906854329337</v>
      </c>
      <c r="AC26" s="160"/>
      <c r="AD26" s="180">
        <f>AD38</f>
        <v>0.66255030220995093</v>
      </c>
    </row>
    <row r="27" spans="1:31" x14ac:dyDescent="0.2">
      <c r="A27" s="1" t="s">
        <v>80</v>
      </c>
      <c r="J27" s="160"/>
      <c r="K27" s="226" cm="1">
        <f t="array" ref="K27">_xlfn.SINGLE(INDEX(LINEST(K24:K25,($J24:$J25)^{1}),1))</f>
        <v>19.218421052631577</v>
      </c>
      <c r="L27" s="160"/>
      <c r="N27" s="226" cm="1">
        <f t="array" ref="N27">_xlfn.SINGLE(INDEX(LINEST(N24:N25,($J24:$J25)^{1}),1))</f>
        <v>20.125</v>
      </c>
      <c r="O27" s="160"/>
      <c r="Q27" s="226" cm="1">
        <f t="array" ref="Q27">_xlfn.SINGLE(INDEX(LINEST(Q24:Q25,($J24:$J25)^{1}),1))</f>
        <v>21.03157894736842</v>
      </c>
      <c r="R27" s="160"/>
      <c r="T27" s="226" cm="1">
        <f t="array" ref="T27">_xlfn.SINGLE(INDEX(LINEST(T24:T25,($J24:$J25)^{1}),1))</f>
        <v>21.938157894736843</v>
      </c>
      <c r="U27" s="160"/>
      <c r="W27" s="226" cm="1">
        <f t="array" ref="W27">_xlfn.SINGLE(INDEX(LINEST(W24:W25,($J24:$J25)^{1}),1))</f>
        <v>22.844736842105267</v>
      </c>
      <c r="X27" s="160"/>
      <c r="Z27" s="226" cm="1">
        <f t="array" ref="Z27">_xlfn.SINGLE(INDEX(LINEST(Z24:Z25,($J24:$J25)^{1}),1))</f>
        <v>23.75131578947369</v>
      </c>
      <c r="AA27" s="160"/>
      <c r="AC27" s="226" cm="1">
        <f t="array" ref="AC27">_xlfn.SINGLE(INDEX(LINEST(AC24:AC25,($J24:$J25)^{1}),1))</f>
        <v>24.657894736842106</v>
      </c>
      <c r="AD27" s="160"/>
    </row>
    <row r="28" spans="1:31" x14ac:dyDescent="0.2">
      <c r="A28" s="61"/>
      <c r="B28" s="239" t="s">
        <v>127</v>
      </c>
      <c r="C28" s="240" t="s">
        <v>129</v>
      </c>
      <c r="J28" s="160"/>
      <c r="K28" s="226" cm="1">
        <f t="array" ref="K28">INDEX(LINEST(K24:K25,($J24:$J25)^{1}),1,2)</f>
        <v>9.5631578947368894</v>
      </c>
      <c r="L28" s="160"/>
      <c r="N28" s="226" cm="1">
        <f t="array" ref="N28">INDEX(LINEST(N24:N25,($J24:$J25)^{1}),1,2)</f>
        <v>10.25</v>
      </c>
      <c r="O28" s="160"/>
      <c r="Q28" s="226" cm="1">
        <f t="array" ref="Q28">INDEX(LINEST(Q24:Q25,($J24:$J25)^{1}),1,2)</f>
        <v>10.936842105263224</v>
      </c>
      <c r="R28" s="160"/>
      <c r="T28" s="226" cm="1">
        <f t="array" ref="T28">INDEX(LINEST(T24:T25,($J24:$J25)^{1}),1,2)</f>
        <v>11.623684210526335</v>
      </c>
      <c r="U28" s="160"/>
      <c r="W28" s="226" cm="1">
        <f t="array" ref="W28">INDEX(LINEST(W24:W25,($J24:$J25)^{1}),1,2)</f>
        <v>12.310526315789446</v>
      </c>
      <c r="X28" s="160"/>
      <c r="Z28" s="226" cm="1">
        <f t="array" ref="Z28">INDEX(LINEST(Z24:Z25,($J24:$J25)^{1}),1,2)</f>
        <v>12.997368421052613</v>
      </c>
      <c r="AA28" s="160"/>
      <c r="AC28" s="226" cm="1">
        <f t="array" ref="AC28">INDEX(LINEST(AC24:AC25,($J24:$J25)^{1}),1,2)</f>
        <v>13.684210526315724</v>
      </c>
      <c r="AD28" s="160"/>
    </row>
    <row r="29" spans="1:31" x14ac:dyDescent="0.2">
      <c r="A29" s="61"/>
      <c r="J29" s="160"/>
      <c r="K29" s="160"/>
      <c r="L29" s="19" t="s">
        <v>11</v>
      </c>
      <c r="N29" s="160"/>
      <c r="O29" s="19" t="s">
        <v>11</v>
      </c>
      <c r="Q29" s="160"/>
      <c r="R29" s="19" t="s">
        <v>11</v>
      </c>
      <c r="T29" s="160"/>
      <c r="U29" s="19" t="s">
        <v>11</v>
      </c>
      <c r="W29" s="160"/>
      <c r="X29" s="19" t="s">
        <v>11</v>
      </c>
      <c r="Z29" s="160"/>
      <c r="AA29" s="19" t="s">
        <v>11</v>
      </c>
      <c r="AC29" s="160"/>
      <c r="AD29" s="19" t="s">
        <v>11</v>
      </c>
    </row>
    <row r="30" spans="1:31" x14ac:dyDescent="0.2">
      <c r="J30" s="17">
        <v>1</v>
      </c>
      <c r="K30" s="227">
        <f>(K27*$J30)+K28</f>
        <v>28.781578947368466</v>
      </c>
      <c r="L30" s="241">
        <v>0.76276975318634155</v>
      </c>
      <c r="N30" s="227">
        <f>(N27*$J30)+N28</f>
        <v>30.375</v>
      </c>
      <c r="O30" s="241">
        <v>0.80499861718509036</v>
      </c>
      <c r="Q30" s="227">
        <f>(Q27*$J30)+Q28</f>
        <v>31.968421052631644</v>
      </c>
      <c r="R30" s="241">
        <v>0.84722748118384206</v>
      </c>
      <c r="T30" s="227">
        <f>(T27*$J30)+T28</f>
        <v>33.561842105263182</v>
      </c>
      <c r="U30" s="259">
        <v>0.88945634518259098</v>
      </c>
      <c r="V30" s="260">
        <v>0.81299999999999994</v>
      </c>
      <c r="W30" s="227">
        <f>(W27*$J30)+W28</f>
        <v>35.155263157894709</v>
      </c>
      <c r="X30" s="241">
        <v>0.93168520918133968</v>
      </c>
      <c r="Z30" s="227">
        <f>(Z27*$J30)+Z28</f>
        <v>36.748684210526307</v>
      </c>
      <c r="AA30" s="241">
        <v>0.97391407318009016</v>
      </c>
      <c r="AC30" s="227">
        <f>(AC27*$J30)+AC28</f>
        <v>38.342105263157833</v>
      </c>
      <c r="AD30" s="241">
        <v>1.0161429371788389</v>
      </c>
      <c r="AE30" s="238">
        <f>AC30/K30</f>
        <v>1.3321751851513171</v>
      </c>
    </row>
    <row r="31" spans="1:31" x14ac:dyDescent="0.2">
      <c r="A31" s="21"/>
      <c r="G31" s="10"/>
      <c r="H31" s="15"/>
      <c r="J31" s="31">
        <v>2</v>
      </c>
      <c r="K31" s="243">
        <f>(K27*$J31)+K28</f>
        <v>48.000000000000043</v>
      </c>
      <c r="L31" s="242">
        <v>0.63604829012155339</v>
      </c>
      <c r="N31" s="243">
        <f>(N27*$J31)+N28</f>
        <v>50.5</v>
      </c>
      <c r="O31" s="242">
        <v>0.66917580523205045</v>
      </c>
      <c r="Q31" s="243">
        <f>(Q27*$J31)+Q28</f>
        <v>53.000000000000064</v>
      </c>
      <c r="R31" s="242">
        <v>0.70230332034254872</v>
      </c>
      <c r="T31" s="243">
        <f>(T27*$J31)+T28</f>
        <v>55.500000000000021</v>
      </c>
      <c r="U31" s="242">
        <v>0.73543083545304577</v>
      </c>
      <c r="W31" s="243">
        <f>(W27*$J31)+W28</f>
        <v>57.999999999999979</v>
      </c>
      <c r="X31" s="242">
        <v>0.76855835056354271</v>
      </c>
      <c r="Z31" s="243">
        <f>(Z27*$J31)+Z28</f>
        <v>60.499999999999993</v>
      </c>
      <c r="AA31" s="242">
        <v>0.80168586567404043</v>
      </c>
      <c r="AC31" s="243">
        <f>(AC27*$J31)+AC28</f>
        <v>62.999999999999936</v>
      </c>
      <c r="AD31" s="242">
        <v>0.83481338078453726</v>
      </c>
      <c r="AE31" s="238">
        <f t="shared" ref="AE31:AE39" si="3">AC31/K31</f>
        <v>1.3124999999999976</v>
      </c>
    </row>
    <row r="32" spans="1:31" x14ac:dyDescent="0.2">
      <c r="J32" s="17">
        <v>3</v>
      </c>
      <c r="K32" s="227">
        <f>(K27*$J32)+K28</f>
        <v>67.218421052631612</v>
      </c>
      <c r="L32" s="241">
        <v>0.59380780243329068</v>
      </c>
      <c r="N32" s="227">
        <f>(N27*$J32)+N28</f>
        <v>70.625</v>
      </c>
      <c r="O32" s="241">
        <v>0.62390153458103703</v>
      </c>
      <c r="Q32" s="227">
        <f>(Q27*$J32)+Q28</f>
        <v>74.031578947368487</v>
      </c>
      <c r="R32" s="241">
        <v>0.65399526672878439</v>
      </c>
      <c r="T32" s="227">
        <f>(T27*$J32)+T28</f>
        <v>77.438157894736861</v>
      </c>
      <c r="U32" s="241">
        <v>0.68408899887653074</v>
      </c>
      <c r="W32" s="227">
        <f>(W27*$J32)+W28</f>
        <v>80.844736842105249</v>
      </c>
      <c r="X32" s="241">
        <v>0.71418273102427721</v>
      </c>
      <c r="Z32" s="227">
        <f>(Z27*$J32)+Z28</f>
        <v>84.251315789473679</v>
      </c>
      <c r="AA32" s="241">
        <v>0.74427646317202389</v>
      </c>
      <c r="AC32" s="227">
        <f>(AC27*$J32)+AC28</f>
        <v>87.657894736842039</v>
      </c>
      <c r="AD32" s="241">
        <v>0.77437019531977003</v>
      </c>
      <c r="AE32" s="238">
        <f t="shared" si="3"/>
        <v>1.3040754805621877</v>
      </c>
    </row>
    <row r="33" spans="1:31" x14ac:dyDescent="0.2">
      <c r="B33" s="34"/>
      <c r="C33" s="10"/>
      <c r="E33" s="10"/>
      <c r="F33" s="10"/>
      <c r="G33" s="18"/>
      <c r="H33" s="10"/>
      <c r="I33" s="10"/>
      <c r="J33" s="17">
        <v>4</v>
      </c>
      <c r="K33" s="227">
        <f>(K27*$J33)+K28</f>
        <v>86.436842105263196</v>
      </c>
      <c r="L33" s="241">
        <v>0.57268755858915932</v>
      </c>
      <c r="N33" s="227">
        <f>(N27*$J33)+N28</f>
        <v>90.75</v>
      </c>
      <c r="O33" s="241">
        <v>0.60126439925553044</v>
      </c>
      <c r="Q33" s="227">
        <f>(Q27*$J33)+Q28</f>
        <v>95.063157894736904</v>
      </c>
      <c r="R33" s="241">
        <v>0.62984123992190211</v>
      </c>
      <c r="T33" s="227">
        <f>(T27*$J33)+T28</f>
        <v>99.376315789473708</v>
      </c>
      <c r="U33" s="241">
        <v>0.65841808058827322</v>
      </c>
      <c r="W33" s="227">
        <f>(W27*$J33)+W28</f>
        <v>103.68947368421051</v>
      </c>
      <c r="X33" s="241">
        <v>0.68699492125464423</v>
      </c>
      <c r="Z33" s="227">
        <f>(Z27*$J33)+Z28</f>
        <v>108.00263157894737</v>
      </c>
      <c r="AA33" s="241">
        <v>0.71557176192101568</v>
      </c>
      <c r="AC33" s="227">
        <f>(AC27*$J33)+AC28</f>
        <v>112.31578947368415</v>
      </c>
      <c r="AD33" s="241">
        <v>0.74414860258738647</v>
      </c>
      <c r="AE33" s="238">
        <f t="shared" si="3"/>
        <v>1.2993971868720684</v>
      </c>
    </row>
    <row r="34" spans="1:31" x14ac:dyDescent="0.2">
      <c r="E34" s="62"/>
      <c r="F34" s="10"/>
      <c r="G34" s="15"/>
      <c r="H34" s="10"/>
      <c r="I34" s="10"/>
      <c r="J34" s="31">
        <v>5</v>
      </c>
      <c r="K34" s="243">
        <f>(K27*$J34)+K28</f>
        <v>105.65526315789478</v>
      </c>
      <c r="L34" s="242">
        <v>0.56001541228268059</v>
      </c>
      <c r="N34" s="243">
        <f>(N27*$J34)+N28</f>
        <v>110.875</v>
      </c>
      <c r="O34" s="242">
        <v>0.58768211806022652</v>
      </c>
      <c r="Q34" s="243">
        <f>(Q27*$J34)+Q28</f>
        <v>116.09473684210532</v>
      </c>
      <c r="R34" s="242">
        <v>0.61534882383777278</v>
      </c>
      <c r="T34" s="243">
        <f>(T27*$J34)+T28</f>
        <v>121.31447368421055</v>
      </c>
      <c r="U34" s="242">
        <v>0.6430155296153186</v>
      </c>
      <c r="W34" s="243">
        <f>(W27*$J34)+W28</f>
        <v>126.53421052631577</v>
      </c>
      <c r="X34" s="242">
        <v>0.67068223539286453</v>
      </c>
      <c r="Z34" s="243">
        <f>(Z27*$J34)+Z28</f>
        <v>131.75394736842105</v>
      </c>
      <c r="AA34" s="242">
        <v>0.69834894117041069</v>
      </c>
      <c r="AC34" s="243">
        <f>(AC27*$J34)+AC28</f>
        <v>136.97368421052624</v>
      </c>
      <c r="AD34" s="242">
        <v>0.72601564694795628</v>
      </c>
      <c r="AE34" s="238">
        <f t="shared" si="3"/>
        <v>1.2964208323993114</v>
      </c>
    </row>
    <row r="35" spans="1:31" x14ac:dyDescent="0.2">
      <c r="F35" s="10"/>
      <c r="G35" s="10"/>
      <c r="H35" s="84"/>
      <c r="I35" s="10"/>
      <c r="J35" s="17">
        <v>10</v>
      </c>
      <c r="K35" s="227">
        <f>(K27*$J35)+K28</f>
        <v>201.74736842105267</v>
      </c>
      <c r="L35" s="241">
        <v>0.53467111966972303</v>
      </c>
      <c r="N35" s="227">
        <f>(N27*$J35)+N28</f>
        <v>211.5</v>
      </c>
      <c r="O35" s="241">
        <v>0.56051755566961836</v>
      </c>
      <c r="Q35" s="227">
        <f>(Q27*$J35)+Q28</f>
        <v>221.25263157894742</v>
      </c>
      <c r="R35" s="241">
        <v>0.58636399166951414</v>
      </c>
      <c r="T35" s="227">
        <f>(T27*$J35)+T28</f>
        <v>231.00526315789477</v>
      </c>
      <c r="U35" s="241">
        <v>0.6122104276694097</v>
      </c>
      <c r="W35" s="227">
        <f>(W27*$J35)+W28</f>
        <v>240.7578947368421</v>
      </c>
      <c r="X35" s="241">
        <v>0.63805686366930514</v>
      </c>
      <c r="Z35" s="227">
        <f>(Z27*$J35)+Z28</f>
        <v>250.51052631578952</v>
      </c>
      <c r="AA35" s="241">
        <v>0.66390329966920081</v>
      </c>
      <c r="AC35" s="227">
        <f>(AC27*$J35)+AC28</f>
        <v>260.26315789473676</v>
      </c>
      <c r="AD35" s="241">
        <v>0.68974973566909603</v>
      </c>
      <c r="AE35" s="238">
        <f t="shared" si="3"/>
        <v>1.2900448711259516</v>
      </c>
    </row>
    <row r="36" spans="1:31" x14ac:dyDescent="0.2">
      <c r="I36" s="10"/>
      <c r="J36" s="17">
        <v>20</v>
      </c>
      <c r="K36" s="227">
        <f>(K27*$J36)+K28</f>
        <v>393.93157894736845</v>
      </c>
      <c r="L36" s="241">
        <v>0.52199897336324419</v>
      </c>
      <c r="N36" s="227">
        <f>(N27*$J36)+N28</f>
        <v>412.75</v>
      </c>
      <c r="O36" s="241">
        <v>0.54693527447431445</v>
      </c>
      <c r="Q36" s="227">
        <f>(Q27*$J36)+Q28</f>
        <v>431.56842105263161</v>
      </c>
      <c r="R36" s="241">
        <v>0.57187157558538471</v>
      </c>
      <c r="T36" s="227">
        <f>(T27*$J36)+T28</f>
        <v>450.38684210526321</v>
      </c>
      <c r="U36" s="241">
        <v>0.59680787669645508</v>
      </c>
      <c r="W36" s="227">
        <f>(W27*$J36)+W28</f>
        <v>469.20526315789476</v>
      </c>
      <c r="X36" s="241">
        <v>0.62174417780752533</v>
      </c>
      <c r="Z36" s="227">
        <f>(Z27*$J36)+Z28</f>
        <v>488.02368421052643</v>
      </c>
      <c r="AA36" s="241">
        <v>0.64668047891859581</v>
      </c>
      <c r="AC36" s="227">
        <f>(AC27*$J36)+AC28</f>
        <v>506.84210526315786</v>
      </c>
      <c r="AD36" s="241">
        <v>0.67161678002966596</v>
      </c>
      <c r="AE36" s="238">
        <f t="shared" si="3"/>
        <v>1.2866247144174114</v>
      </c>
    </row>
    <row r="37" spans="1:31" x14ac:dyDescent="0.2">
      <c r="I37" s="10"/>
      <c r="J37" s="17">
        <v>30</v>
      </c>
      <c r="K37" s="227">
        <f>(K27*$J37)+K28</f>
        <v>586.11578947368412</v>
      </c>
      <c r="L37" s="241">
        <v>0.51777492459441787</v>
      </c>
      <c r="N37" s="227">
        <f>(N27*$J37)+N28</f>
        <v>614</v>
      </c>
      <c r="O37" s="241">
        <v>0.54240784740921311</v>
      </c>
      <c r="Q37" s="227">
        <f>(Q27*$J37)+Q28</f>
        <v>641.88421052631588</v>
      </c>
      <c r="R37" s="241">
        <v>0.56704077022400845</v>
      </c>
      <c r="T37" s="227">
        <f>(T27*$J37)+T28</f>
        <v>669.76842105263165</v>
      </c>
      <c r="U37" s="241">
        <v>0.59167369303880357</v>
      </c>
      <c r="W37" s="227">
        <f>(W27*$J37)+W28</f>
        <v>697.65263157894742</v>
      </c>
      <c r="X37" s="241">
        <v>0.61630661585359892</v>
      </c>
      <c r="Z37" s="227">
        <f>(Z27*$J37)+Z28</f>
        <v>725.5368421052633</v>
      </c>
      <c r="AA37" s="241">
        <v>0.64093953866839415</v>
      </c>
      <c r="AC37" s="227">
        <f>(AC27*$J37)+AC28</f>
        <v>753.42105263157896</v>
      </c>
      <c r="AD37" s="241">
        <v>0.66557246148318927</v>
      </c>
      <c r="AE37" s="238">
        <f t="shared" si="3"/>
        <v>1.2854474596361418</v>
      </c>
    </row>
    <row r="38" spans="1:31" x14ac:dyDescent="0.2">
      <c r="I38" s="10"/>
      <c r="J38" s="31">
        <v>40</v>
      </c>
      <c r="K38" s="243">
        <f>(K27*$J38)+K28</f>
        <v>778.3</v>
      </c>
      <c r="L38" s="242">
        <v>0.51566290021000472</v>
      </c>
      <c r="N38" s="243">
        <f>(N27*$J38)+N28</f>
        <v>815.25</v>
      </c>
      <c r="O38" s="242">
        <v>0.54014413387666249</v>
      </c>
      <c r="Q38" s="243">
        <f>(Q27*$J38)+Q28</f>
        <v>852.2</v>
      </c>
      <c r="R38" s="242">
        <v>0.56462536754332016</v>
      </c>
      <c r="T38" s="243">
        <f>(T27*$J38)+T28</f>
        <v>889.15000000000009</v>
      </c>
      <c r="U38" s="242">
        <v>0.58910660120997782</v>
      </c>
      <c r="W38" s="243">
        <f>(W27*$J38)+W28</f>
        <v>926.10000000000014</v>
      </c>
      <c r="X38" s="242">
        <v>0.6135878348766356</v>
      </c>
      <c r="Z38" s="243">
        <f>(Z27*$J38)+Z28</f>
        <v>963.05000000000018</v>
      </c>
      <c r="AA38" s="242">
        <v>0.63806906854329337</v>
      </c>
      <c r="AC38" s="243">
        <f>(AC27*$J38)+AC28</f>
        <v>1000</v>
      </c>
      <c r="AD38" s="242">
        <v>0.66255030220995093</v>
      </c>
      <c r="AE38" s="238">
        <f t="shared" si="3"/>
        <v>1.2848515996402416</v>
      </c>
    </row>
    <row r="39" spans="1:31" x14ac:dyDescent="0.2">
      <c r="I39" s="17"/>
      <c r="J39" s="17">
        <v>50</v>
      </c>
      <c r="K39" s="227">
        <f>(K27*$J39)+K28</f>
        <v>970.48421052631579</v>
      </c>
      <c r="L39" s="241">
        <v>0.51439568557935689</v>
      </c>
      <c r="N39" s="227">
        <f>(N27*$J39)+N28</f>
        <v>1016.5</v>
      </c>
      <c r="O39" s="241">
        <v>0.53878590575713203</v>
      </c>
      <c r="Q39" s="227">
        <f>(Q27*$J39)+Q28</f>
        <v>1062.5157894736842</v>
      </c>
      <c r="R39" s="241">
        <v>0.56317612593490729</v>
      </c>
      <c r="T39" s="227">
        <f>(T27*$J39)+T28</f>
        <v>1108.5315789473684</v>
      </c>
      <c r="U39" s="241">
        <v>0.58756634611268244</v>
      </c>
      <c r="W39" s="227">
        <f>(W27*$J39)+W28</f>
        <v>1154.5473684210529</v>
      </c>
      <c r="X39" s="241">
        <v>0.61195656629045758</v>
      </c>
      <c r="Z39" s="227">
        <f>(Z27*$J39)+Z28</f>
        <v>1200.5631578947371</v>
      </c>
      <c r="AA39" s="241">
        <v>0.63634678646823284</v>
      </c>
      <c r="AC39" s="227">
        <f>(AC27*$J39)+AC28</f>
        <v>1246.5789473684208</v>
      </c>
      <c r="AD39" s="241">
        <v>0.66073700664600776</v>
      </c>
      <c r="AE39" s="238">
        <f t="shared" si="3"/>
        <v>1.284491734999349</v>
      </c>
    </row>
    <row r="40" spans="1:31" x14ac:dyDescent="0.2">
      <c r="I40" s="10"/>
      <c r="N40" s="250">
        <f>N38/K38</f>
        <v>1.0474752666067071</v>
      </c>
      <c r="O40" s="251"/>
      <c r="P40" s="251"/>
      <c r="Q40" s="250">
        <f>Q38/N38</f>
        <v>1.0453235203925177</v>
      </c>
      <c r="R40" s="251"/>
      <c r="S40" s="251"/>
      <c r="T40" s="250">
        <f>T38/Q38</f>
        <v>1.043358366580615</v>
      </c>
      <c r="U40" s="251"/>
      <c r="V40" s="251"/>
      <c r="W40" s="250">
        <f>W38/T38</f>
        <v>1.0415565427655626</v>
      </c>
      <c r="X40" s="251"/>
      <c r="Y40" s="251"/>
      <c r="Z40" s="250">
        <f>Z38/W38</f>
        <v>1.0398984990821727</v>
      </c>
      <c r="AA40" s="251"/>
      <c r="AB40" s="251"/>
      <c r="AC40" s="250">
        <f>AC38/Z38</f>
        <v>1.0383676859976116</v>
      </c>
    </row>
    <row r="41" spans="1:31" x14ac:dyDescent="0.2">
      <c r="I41" s="10"/>
      <c r="K41" s="252"/>
      <c r="L41" s="252"/>
      <c r="M41" s="252"/>
      <c r="N41" s="253"/>
      <c r="O41" s="252"/>
      <c r="P41" s="252"/>
      <c r="Q41" s="253"/>
      <c r="R41" s="252"/>
      <c r="S41" s="252"/>
      <c r="T41" s="253"/>
      <c r="U41" s="252"/>
      <c r="V41" s="252"/>
      <c r="W41" s="253"/>
      <c r="X41" s="252"/>
      <c r="Y41" s="252"/>
      <c r="AA41" s="252"/>
      <c r="AB41" s="252"/>
      <c r="AC41" s="253"/>
      <c r="AD41" s="252"/>
    </row>
    <row r="42" spans="1:31" x14ac:dyDescent="0.2">
      <c r="I42" s="4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</row>
    <row r="43" spans="1:31" x14ac:dyDescent="0.2">
      <c r="I43" s="4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8" t="s">
        <v>160</v>
      </c>
      <c r="V43" s="252"/>
      <c r="W43" s="252"/>
      <c r="X43" s="252"/>
      <c r="Y43" s="252"/>
      <c r="Z43" s="252"/>
      <c r="AA43" s="252"/>
      <c r="AB43" s="252"/>
      <c r="AC43" s="252"/>
      <c r="AD43" s="252"/>
    </row>
    <row r="44" spans="1:31" ht="15" x14ac:dyDescent="0.25">
      <c r="A44" s="237"/>
      <c r="B44" s="229">
        <v>48</v>
      </c>
      <c r="C44" s="230">
        <f>B44+$C45</f>
        <v>50.5</v>
      </c>
      <c r="D44" s="230">
        <f>C44+$C45</f>
        <v>53</v>
      </c>
      <c r="E44" s="230">
        <f>D44+$C45</f>
        <v>55.5</v>
      </c>
      <c r="F44" s="230">
        <f>E44+$C45</f>
        <v>58</v>
      </c>
      <c r="G44" s="230">
        <f>F44+$C45</f>
        <v>60.5</v>
      </c>
      <c r="H44" s="229">
        <v>63</v>
      </c>
      <c r="J44" s="224" t="s">
        <v>123</v>
      </c>
      <c r="K44" s="224" t="s">
        <v>124</v>
      </c>
      <c r="L44" s="224"/>
      <c r="M44" s="10"/>
      <c r="N44" s="224" t="s">
        <v>124</v>
      </c>
      <c r="O44" s="224"/>
      <c r="P44" s="10"/>
      <c r="Q44" s="224" t="s">
        <v>124</v>
      </c>
      <c r="R44" s="224"/>
      <c r="T44" s="254" t="s">
        <v>124</v>
      </c>
      <c r="U44" s="256"/>
      <c r="W44" s="224" t="s">
        <v>124</v>
      </c>
      <c r="X44" s="224"/>
      <c r="Z44" s="224" t="s">
        <v>124</v>
      </c>
      <c r="AA44" s="224"/>
      <c r="AC44" s="224" t="s">
        <v>124</v>
      </c>
      <c r="AD44" s="224"/>
    </row>
    <row r="45" spans="1:31" ht="15" x14ac:dyDescent="0.25">
      <c r="B45" s="62"/>
      <c r="C45" s="231">
        <f>(H44-B44)/6</f>
        <v>2.5</v>
      </c>
      <c r="D45" s="10"/>
      <c r="E45" s="10"/>
      <c r="G45" s="10"/>
      <c r="H45" s="10"/>
      <c r="J45" s="225">
        <v>2</v>
      </c>
      <c r="K45" s="232">
        <f>B44</f>
        <v>48</v>
      </c>
      <c r="L45" s="233">
        <f>L52</f>
        <v>0.63604829012155362</v>
      </c>
      <c r="M45" s="223"/>
      <c r="N45" s="232">
        <f>C44</f>
        <v>50.5</v>
      </c>
      <c r="O45" s="233">
        <f>O52</f>
        <v>0.66917580523205045</v>
      </c>
      <c r="P45" s="223"/>
      <c r="Q45" s="232">
        <f>D44</f>
        <v>53</v>
      </c>
      <c r="R45" s="233">
        <f>R52</f>
        <v>0.70230332034254728</v>
      </c>
      <c r="S45" s="223"/>
      <c r="T45" s="232">
        <f>E44</f>
        <v>55.5</v>
      </c>
      <c r="U45" s="257">
        <f>U52</f>
        <v>0.73543083545304688</v>
      </c>
      <c r="V45" s="223"/>
      <c r="W45" s="232">
        <f>F44</f>
        <v>58</v>
      </c>
      <c r="X45" s="233">
        <f>X52</f>
        <v>0.76855835056354105</v>
      </c>
      <c r="Y45" s="223"/>
      <c r="Z45" s="232">
        <f>G44</f>
        <v>60.5</v>
      </c>
      <c r="AA45" s="233">
        <f>AA52</f>
        <v>0.80168586567403988</v>
      </c>
      <c r="AB45" s="223"/>
      <c r="AC45" s="232">
        <f>H44</f>
        <v>63</v>
      </c>
      <c r="AD45" s="233">
        <f>AD52</f>
        <v>0.83481338078453748</v>
      </c>
    </row>
    <row r="46" spans="1:31" ht="15" x14ac:dyDescent="0.25">
      <c r="B46" s="229">
        <v>825</v>
      </c>
      <c r="C46" s="230">
        <f>B46+$C47</f>
        <v>864.16666666666663</v>
      </c>
      <c r="D46" s="230">
        <f>C46+$C47</f>
        <v>903.33333333333326</v>
      </c>
      <c r="E46" s="230">
        <f>D46+$C47</f>
        <v>942.49999999999989</v>
      </c>
      <c r="F46" s="230">
        <f>E46+$C47</f>
        <v>981.66666666666652</v>
      </c>
      <c r="G46" s="230">
        <f>F46+$C47</f>
        <v>1020.8333333333331</v>
      </c>
      <c r="H46" s="229">
        <v>1060</v>
      </c>
      <c r="J46" s="225">
        <v>40</v>
      </c>
      <c r="K46" s="232">
        <f>B46</f>
        <v>825</v>
      </c>
      <c r="L46" s="233">
        <f>L55</f>
        <v>0.57955715909102046</v>
      </c>
      <c r="M46" s="223"/>
      <c r="N46" s="232">
        <f>C46</f>
        <v>864.16666666666663</v>
      </c>
      <c r="O46" s="233">
        <f>O55</f>
        <v>0.60815143529166016</v>
      </c>
      <c r="P46" s="223"/>
      <c r="Q46" s="232">
        <f>D46</f>
        <v>903.33333333333326</v>
      </c>
      <c r="R46" s="233">
        <f>R55</f>
        <v>0.63674571149229997</v>
      </c>
      <c r="S46" s="223"/>
      <c r="T46" s="232">
        <f>E46</f>
        <v>942.49999999999989</v>
      </c>
      <c r="U46" s="244">
        <f>U55</f>
        <v>0.665339987692941</v>
      </c>
      <c r="V46" s="223"/>
      <c r="W46" s="232">
        <f>F46</f>
        <v>981.66666666666652</v>
      </c>
      <c r="X46" s="233">
        <f>X55</f>
        <v>0.69393426389357937</v>
      </c>
      <c r="Y46" s="223"/>
      <c r="Z46" s="232">
        <f>G46</f>
        <v>1020.8333333333331</v>
      </c>
      <c r="AA46" s="233">
        <f>AA55</f>
        <v>0.72252854009421974</v>
      </c>
      <c r="AB46" s="223"/>
      <c r="AC46" s="232">
        <f>H46</f>
        <v>1060</v>
      </c>
      <c r="AD46" s="180">
        <f>AD55</f>
        <v>0.75112281629485977</v>
      </c>
    </row>
    <row r="47" spans="1:31" x14ac:dyDescent="0.2">
      <c r="B47" s="228"/>
      <c r="C47" s="231">
        <f>(H46-B46)/6</f>
        <v>39.166666666666664</v>
      </c>
      <c r="D47" s="10"/>
      <c r="F47" s="10"/>
      <c r="G47" s="10"/>
      <c r="J47" s="160"/>
      <c r="K47" s="160"/>
      <c r="L47" s="180">
        <f>L59</f>
        <v>0.54660399932320947</v>
      </c>
      <c r="N47" s="160"/>
      <c r="O47" s="180">
        <f>O59</f>
        <v>0.57255388615976588</v>
      </c>
      <c r="Q47" s="160"/>
      <c r="R47" s="180">
        <f>R59</f>
        <v>0.59850377299632229</v>
      </c>
      <c r="T47" s="160"/>
      <c r="U47" s="244">
        <f>U59</f>
        <v>0.62445365983287848</v>
      </c>
      <c r="W47" s="160"/>
      <c r="X47" s="180">
        <f>X59</f>
        <v>0.65040354666943512</v>
      </c>
      <c r="Z47" s="160"/>
      <c r="AA47" s="180">
        <f>AA59</f>
        <v>0.67635343350599131</v>
      </c>
      <c r="AC47" s="160"/>
      <c r="AD47" s="180">
        <f>AD59</f>
        <v>0.70230332034254794</v>
      </c>
    </row>
    <row r="48" spans="1:31" x14ac:dyDescent="0.2">
      <c r="B48" s="239" t="s">
        <v>126</v>
      </c>
      <c r="J48" s="160"/>
      <c r="K48" s="226" cm="1">
        <f t="array" ref="K48">_xlfn.SINGLE(INDEX(LINEST(K45:K46,($J45:$J46)^{1}),1))</f>
        <v>20.44736842105263</v>
      </c>
      <c r="L48" s="160"/>
      <c r="N48" s="226" cm="1">
        <f t="array" ref="N48">_xlfn.SINGLE(INDEX(LINEST(N45:N46,($J45:$J46)^{1}),1))</f>
        <v>21.412280701754383</v>
      </c>
      <c r="O48" s="160"/>
      <c r="Q48" s="226" cm="1">
        <f t="array" ref="Q48">_xlfn.SINGLE(INDEX(LINEST(Q45:Q46,($J45:$J46)^{1}),1))</f>
        <v>22.37719298245614</v>
      </c>
      <c r="R48" s="160"/>
      <c r="T48" s="226" cm="1">
        <f t="array" ref="T48">_xlfn.SINGLE(INDEX(LINEST(T45:T46,($J45:$J46)^{1}),1))</f>
        <v>23.342105263157887</v>
      </c>
      <c r="U48" s="160"/>
      <c r="W48" s="226" cm="1">
        <f t="array" ref="W48">_xlfn.SINGLE(INDEX(LINEST(W45:W46,($J45:$J46)^{1}),1))</f>
        <v>24.307017543859654</v>
      </c>
      <c r="X48" s="160"/>
      <c r="Z48" s="226" cm="1">
        <f t="array" ref="Z48">_xlfn.SINGLE(INDEX(LINEST(Z45:Z46,($J45:$J46)^{1}),1))</f>
        <v>25.271929824561397</v>
      </c>
      <c r="AA48" s="160"/>
      <c r="AC48" s="226" cm="1">
        <f t="array" ref="AC48">_xlfn.SINGLE(INDEX(LINEST(AC45:AC46,($J45:$J46)^{1}),1))</f>
        <v>26.236842105263158</v>
      </c>
      <c r="AD48" s="160"/>
    </row>
    <row r="49" spans="6:31" x14ac:dyDescent="0.2">
      <c r="J49" s="160"/>
      <c r="K49" s="226" cm="1">
        <f t="array" ref="K49">INDEX(LINEST(K45:K46,($J45:$J46)^{1}),1,2)</f>
        <v>7.1052631578947967</v>
      </c>
      <c r="L49" s="160"/>
      <c r="N49" s="226" cm="1">
        <f t="array" ref="N49">INDEX(LINEST(N45:N46,($J45:$J46)^{1}),1,2)</f>
        <v>7.6754385964912331</v>
      </c>
      <c r="O49" s="160"/>
      <c r="Q49" s="226" cm="1">
        <f t="array" ref="Q49">INDEX(LINEST(Q45:Q46,($J45:$J46)^{1}),1,2)</f>
        <v>8.2456140350876694</v>
      </c>
      <c r="R49" s="160"/>
      <c r="T49" s="226" cm="1">
        <f t="array" ref="T49">INDEX(LINEST(T45:T46,($J45:$J46)^{1}),1,2)</f>
        <v>8.8157894736843332</v>
      </c>
      <c r="U49" s="160"/>
      <c r="W49" s="226" cm="1">
        <f t="array" ref="W49">INDEX(LINEST(W45:W46,($J45:$J46)^{1}),1,2)</f>
        <v>9.3859649122805422</v>
      </c>
      <c r="X49" s="160"/>
      <c r="Z49" s="226" cm="1">
        <f t="array" ref="Z49">INDEX(LINEST(Z45:Z46,($J45:$J46)^{1}),1,2)</f>
        <v>9.9561403508771491</v>
      </c>
      <c r="AA49" s="160"/>
      <c r="AC49" s="226" cm="1">
        <f t="array" ref="AC49">INDEX(LINEST(AC45:AC46,($J45:$J46)^{1}),1,2)</f>
        <v>10.526315789473642</v>
      </c>
      <c r="AD49" s="160"/>
    </row>
    <row r="50" spans="6:31" x14ac:dyDescent="0.2">
      <c r="I50" s="9"/>
      <c r="J50" s="160"/>
      <c r="K50" s="160"/>
      <c r="L50" s="19" t="s">
        <v>11</v>
      </c>
      <c r="N50" s="160"/>
      <c r="O50" s="19" t="s">
        <v>11</v>
      </c>
      <c r="Q50" s="160"/>
      <c r="R50" s="19" t="s">
        <v>11</v>
      </c>
      <c r="T50" s="160"/>
      <c r="U50" s="19" t="s">
        <v>11</v>
      </c>
      <c r="W50" s="160"/>
      <c r="X50" s="19" t="s">
        <v>11</v>
      </c>
      <c r="Z50" s="160"/>
      <c r="AA50" s="19" t="s">
        <v>11</v>
      </c>
      <c r="AC50" s="160"/>
      <c r="AD50" s="19" t="s">
        <v>11</v>
      </c>
    </row>
    <row r="51" spans="6:31" x14ac:dyDescent="0.2">
      <c r="I51" s="9"/>
      <c r="J51" s="17">
        <v>1</v>
      </c>
      <c r="K51" s="227">
        <f>(K48*$J51)+K49</f>
        <v>27.552631578947427</v>
      </c>
      <c r="L51" s="241">
        <v>0.73020017517244218</v>
      </c>
      <c r="N51" s="227">
        <f>(N48*$J51)+N49</f>
        <v>29.087719298245617</v>
      </c>
      <c r="O51" s="241">
        <v>0.77088308846603415</v>
      </c>
      <c r="Q51" s="227">
        <f>(Q48*$J51)+Q49</f>
        <v>30.62280701754381</v>
      </c>
      <c r="R51" s="241">
        <v>0.81156600175962623</v>
      </c>
      <c r="T51" s="227">
        <f>(T48*$J51)+T49</f>
        <v>32.157894736842223</v>
      </c>
      <c r="U51" s="259">
        <v>0.8522489150532242</v>
      </c>
      <c r="V51" s="260">
        <v>0.81299999999999994</v>
      </c>
      <c r="W51" s="227">
        <f>(W48*$J51)+W49</f>
        <v>33.6929824561402</v>
      </c>
      <c r="X51" s="241">
        <v>0.89293182834681051</v>
      </c>
      <c r="Z51" s="227">
        <f>(Z48*$J51)+Z49</f>
        <v>35.228070175438546</v>
      </c>
      <c r="AA51" s="241">
        <v>0.93361474164040659</v>
      </c>
      <c r="AC51" s="227">
        <f>(AC48*$J51)+AC49</f>
        <v>36.7631578947368</v>
      </c>
      <c r="AD51" s="241">
        <v>0.97429765493400033</v>
      </c>
      <c r="AE51" s="238">
        <f>AC51/K51</f>
        <v>1.3342884431709603</v>
      </c>
    </row>
    <row r="52" spans="6:31" x14ac:dyDescent="0.2">
      <c r="G52" s="10"/>
      <c r="H52" s="36"/>
      <c r="I52" s="9"/>
      <c r="J52" s="31">
        <v>2</v>
      </c>
      <c r="K52" s="243">
        <f>(K48*$J52)+K49</f>
        <v>48.000000000000057</v>
      </c>
      <c r="L52" s="242">
        <v>0.63604829012155362</v>
      </c>
      <c r="N52" s="243">
        <f>(N48*$J52)+N49</f>
        <v>50.5</v>
      </c>
      <c r="O52" s="242">
        <v>0.66917580523205045</v>
      </c>
      <c r="Q52" s="243">
        <f>(Q48*$J52)+Q49</f>
        <v>52.99999999999995</v>
      </c>
      <c r="R52" s="242">
        <v>0.70230332034254728</v>
      </c>
      <c r="T52" s="243">
        <f>(T48*$J52)+T49</f>
        <v>55.500000000000107</v>
      </c>
      <c r="U52" s="242">
        <v>0.73543083545304688</v>
      </c>
      <c r="W52" s="243">
        <f>(W48*$J52)+W49</f>
        <v>57.999999999999851</v>
      </c>
      <c r="X52" s="242">
        <v>0.76855835056354105</v>
      </c>
      <c r="Z52" s="243">
        <f>(Z48*$J52)+Z49</f>
        <v>60.499999999999943</v>
      </c>
      <c r="AA52" s="242">
        <v>0.80168586567403988</v>
      </c>
      <c r="AC52" s="243">
        <f>(AC48*$J52)+AC49</f>
        <v>62.999999999999957</v>
      </c>
      <c r="AD52" s="242">
        <v>0.83481338078453748</v>
      </c>
      <c r="AE52" s="238">
        <f t="shared" ref="AE52:AE60" si="4">AC52/K52</f>
        <v>1.3124999999999976</v>
      </c>
    </row>
    <row r="53" spans="6:31" x14ac:dyDescent="0.2">
      <c r="H53" s="36"/>
      <c r="I53" s="9"/>
      <c r="J53" s="17">
        <v>3</v>
      </c>
      <c r="K53" s="227">
        <f>(K48*$J53)+K49</f>
        <v>68.447368421052687</v>
      </c>
      <c r="L53" s="241">
        <v>0.60466432843792417</v>
      </c>
      <c r="N53" s="227">
        <f>(N48*$J53)+N49</f>
        <v>71.912280701754383</v>
      </c>
      <c r="O53" s="241">
        <v>0.63527337748738921</v>
      </c>
      <c r="Q53" s="227">
        <f>(Q48*$J53)+Q49</f>
        <v>75.377192982456094</v>
      </c>
      <c r="R53" s="241">
        <v>0.66588242653685425</v>
      </c>
      <c r="T53" s="227">
        <f>(T48*$J53)+T49</f>
        <v>78.84210526315799</v>
      </c>
      <c r="U53" s="241">
        <v>0.69649147558632118</v>
      </c>
      <c r="W53" s="227">
        <f>(W48*$J53)+W49</f>
        <v>82.307017543859502</v>
      </c>
      <c r="X53" s="241">
        <v>0.72710052463578467</v>
      </c>
      <c r="Z53" s="227">
        <f>(Z48*$J53)+Z49</f>
        <v>85.77192982456134</v>
      </c>
      <c r="AA53" s="241">
        <v>0.75770957368525083</v>
      </c>
      <c r="AC53" s="227">
        <f>(AC48*$J53)+AC49</f>
        <v>89.236842105263122</v>
      </c>
      <c r="AD53" s="241">
        <v>0.78831862273471665</v>
      </c>
      <c r="AE53" s="238">
        <f t="shared" si="4"/>
        <v>1.3037293348712018</v>
      </c>
    </row>
    <row r="54" spans="6:31" x14ac:dyDescent="0.2">
      <c r="H54" s="36"/>
      <c r="I54" s="9"/>
      <c r="J54" s="17">
        <v>4</v>
      </c>
      <c r="K54" s="227">
        <f>(K48*$J54)+K49</f>
        <v>88.894736842105317</v>
      </c>
      <c r="L54" s="241">
        <v>0.58897234759610939</v>
      </c>
      <c r="N54" s="227">
        <f>(N48*$J54)+N49</f>
        <v>93.324561403508767</v>
      </c>
      <c r="O54" s="241">
        <v>0.61832216361505843</v>
      </c>
      <c r="Q54" s="227">
        <f>(Q48*$J54)+Q49</f>
        <v>97.754385964912231</v>
      </c>
      <c r="R54" s="241">
        <v>0.6476719796340078</v>
      </c>
      <c r="T54" s="227">
        <f>(T48*$J54)+T49</f>
        <v>102.18421052631588</v>
      </c>
      <c r="U54" s="241">
        <v>0.67702179565295828</v>
      </c>
      <c r="W54" s="227">
        <f>(W48*$J54)+W49</f>
        <v>106.61403508771916</v>
      </c>
      <c r="X54" s="241">
        <v>0.70637161167190643</v>
      </c>
      <c r="Z54" s="227">
        <f>(Z48*$J54)+Z49</f>
        <v>111.04385964912274</v>
      </c>
      <c r="AA54" s="241">
        <v>0.73572142769085647</v>
      </c>
      <c r="AC54" s="227">
        <f>(AC48*$J54)+AC49</f>
        <v>115.47368421052627</v>
      </c>
      <c r="AD54" s="241">
        <v>0.76507124370980606</v>
      </c>
      <c r="AE54" s="238">
        <f t="shared" si="4"/>
        <v>1.2989934872705731</v>
      </c>
    </row>
    <row r="55" spans="6:31" x14ac:dyDescent="0.2">
      <c r="H55" s="36"/>
      <c r="J55" s="31">
        <v>5</v>
      </c>
      <c r="K55" s="243">
        <f>(K48*$J55)+K49</f>
        <v>109.34210526315795</v>
      </c>
      <c r="L55" s="242">
        <v>0.57955715909102046</v>
      </c>
      <c r="N55" s="243">
        <f>(N48*$J55)+N49</f>
        <v>114.73684210526315</v>
      </c>
      <c r="O55" s="242">
        <v>0.60815143529166016</v>
      </c>
      <c r="Q55" s="243">
        <f>(Q48*$J55)+Q49</f>
        <v>120.13157894736837</v>
      </c>
      <c r="R55" s="242">
        <v>0.63674571149229997</v>
      </c>
      <c r="T55" s="243">
        <f>(T48*$J55)+T49</f>
        <v>125.52631578947377</v>
      </c>
      <c r="U55" s="242">
        <v>0.665339987692941</v>
      </c>
      <c r="W55" s="243">
        <f>(W48*$J55)+W49</f>
        <v>130.92105263157882</v>
      </c>
      <c r="X55" s="242">
        <v>0.69393426389357937</v>
      </c>
      <c r="Z55" s="243">
        <f>(Z48*$J55)+Z49</f>
        <v>136.31578947368413</v>
      </c>
      <c r="AA55" s="242">
        <v>0.72252854009421974</v>
      </c>
      <c r="AC55" s="243">
        <f>(AC48*$J55)+AC49</f>
        <v>141.71052631578942</v>
      </c>
      <c r="AD55" s="242">
        <v>0.75112281629485977</v>
      </c>
      <c r="AE55" s="238">
        <f t="shared" si="4"/>
        <v>1.2960288808664249</v>
      </c>
    </row>
    <row r="56" spans="6:31" x14ac:dyDescent="0.2">
      <c r="F56" s="10"/>
      <c r="H56" s="36"/>
      <c r="J56" s="17">
        <v>10</v>
      </c>
      <c r="K56" s="227">
        <f>(K48*$J56)+K49</f>
        <v>211.5789473684211</v>
      </c>
      <c r="L56" s="241">
        <v>0.5607267820808427</v>
      </c>
      <c r="N56" s="227">
        <f>(N48*$J56)+N49</f>
        <v>221.79824561403507</v>
      </c>
      <c r="O56" s="241">
        <v>0.5878099786448634</v>
      </c>
      <c r="Q56" s="227">
        <f>(Q48*$J56)+Q49</f>
        <v>232.01754385964907</v>
      </c>
      <c r="R56" s="241">
        <v>0.61489317520888409</v>
      </c>
      <c r="T56" s="227">
        <f>(T48*$J56)+T49</f>
        <v>242.23684210526321</v>
      </c>
      <c r="U56" s="241">
        <v>0.64197637177290523</v>
      </c>
      <c r="W56" s="227">
        <f>(W48*$J56)+W49</f>
        <v>252.45614035087709</v>
      </c>
      <c r="X56" s="241">
        <v>0.66905956833692559</v>
      </c>
      <c r="Z56" s="227">
        <f>(Z48*$J56)+Z49</f>
        <v>262.67543859649112</v>
      </c>
      <c r="AA56" s="241">
        <v>0.6961427649009464</v>
      </c>
      <c r="AC56" s="227">
        <f>(AC48*$J56)+AC49</f>
        <v>272.8947368421052</v>
      </c>
      <c r="AD56" s="241">
        <v>0.7232259614649672</v>
      </c>
      <c r="AE56" s="238">
        <f t="shared" si="4"/>
        <v>1.289800995024875</v>
      </c>
    </row>
    <row r="57" spans="6:31" x14ac:dyDescent="0.2">
      <c r="F57" s="10"/>
      <c r="H57" s="36"/>
      <c r="J57" s="17">
        <v>20</v>
      </c>
      <c r="K57" s="227">
        <f>(K48*$J57)+K49</f>
        <v>416.0526315789474</v>
      </c>
      <c r="L57" s="241">
        <v>0.55131159357575388</v>
      </c>
      <c r="N57" s="227">
        <f>(N48*$J57)+N49</f>
        <v>435.9210526315789</v>
      </c>
      <c r="O57" s="241">
        <v>0.57763925032146501</v>
      </c>
      <c r="Q57" s="227">
        <f>(Q48*$J57)+Q49</f>
        <v>455.78947368421046</v>
      </c>
      <c r="R57" s="241">
        <v>0.60396690706717615</v>
      </c>
      <c r="T57" s="227">
        <f>(T48*$J57)+T49</f>
        <v>475.65789473684208</v>
      </c>
      <c r="U57" s="241">
        <v>0.6302945638128874</v>
      </c>
      <c r="W57" s="227">
        <f>(W48*$J57)+W49</f>
        <v>495.52631578947364</v>
      </c>
      <c r="X57" s="241">
        <v>0.65662222055859865</v>
      </c>
      <c r="Z57" s="227">
        <f>(Z48*$J57)+Z49</f>
        <v>515.39473684210509</v>
      </c>
      <c r="AA57" s="241">
        <v>0.68294987730430956</v>
      </c>
      <c r="AC57" s="227">
        <f>(AC48*$J57)+AC49</f>
        <v>535.26315789473676</v>
      </c>
      <c r="AD57" s="241">
        <v>0.70927753405002103</v>
      </c>
      <c r="AE57" s="238">
        <f t="shared" si="4"/>
        <v>1.2865275142314987</v>
      </c>
    </row>
    <row r="58" spans="6:31" x14ac:dyDescent="0.2">
      <c r="F58" s="10"/>
      <c r="H58" s="36"/>
      <c r="J58" s="17">
        <v>30</v>
      </c>
      <c r="K58" s="227">
        <f>(K48*$J58)+K49</f>
        <v>620.52631578947376</v>
      </c>
      <c r="L58" s="241">
        <v>0.54817319740739101</v>
      </c>
      <c r="N58" s="227">
        <f>(N48*$J58)+N49</f>
        <v>650.04385964912262</v>
      </c>
      <c r="O58" s="241">
        <v>0.57424900754699881</v>
      </c>
      <c r="Q58" s="227">
        <f>(Q48*$J58)+Q49</f>
        <v>679.56140350877183</v>
      </c>
      <c r="R58" s="241">
        <v>0.60032481768660684</v>
      </c>
      <c r="T58" s="227">
        <f>(T48*$J58)+T49</f>
        <v>709.07894736842104</v>
      </c>
      <c r="U58" s="241">
        <v>0.62640062782621497</v>
      </c>
      <c r="W58" s="227">
        <f>(W48*$J58)+W49</f>
        <v>738.59649122807014</v>
      </c>
      <c r="X58" s="241">
        <v>0.652476437965823</v>
      </c>
      <c r="Z58" s="227">
        <f>(Z48*$J58)+Z49</f>
        <v>768.114035087719</v>
      </c>
      <c r="AA58" s="241">
        <v>0.67855224810543069</v>
      </c>
      <c r="AC58" s="227">
        <f>(AC48*$J58)+AC49</f>
        <v>797.63157894736833</v>
      </c>
      <c r="AD58" s="241">
        <v>0.70462805824503882</v>
      </c>
      <c r="AE58" s="238">
        <f t="shared" si="4"/>
        <v>1.2854113655640371</v>
      </c>
    </row>
    <row r="59" spans="6:31" x14ac:dyDescent="0.2">
      <c r="F59" s="10"/>
      <c r="H59" s="36"/>
      <c r="J59" s="31">
        <v>40</v>
      </c>
      <c r="K59" s="243">
        <f>(K48*$J59)+K49</f>
        <v>825</v>
      </c>
      <c r="L59" s="242">
        <v>0.54660399932320947</v>
      </c>
      <c r="N59" s="243">
        <f>(N48*$J59)+N49</f>
        <v>864.16666666666652</v>
      </c>
      <c r="O59" s="242">
        <v>0.57255388615976588</v>
      </c>
      <c r="Q59" s="243">
        <f>(Q48*$J59)+Q49</f>
        <v>903.33333333333326</v>
      </c>
      <c r="R59" s="242">
        <v>0.59850377299632229</v>
      </c>
      <c r="T59" s="243">
        <f>(T48*$J59)+T49</f>
        <v>942.49999999999977</v>
      </c>
      <c r="U59" s="242">
        <v>0.62445365983287848</v>
      </c>
      <c r="W59" s="243">
        <f>(W48*$J59)+W49</f>
        <v>981.66666666666674</v>
      </c>
      <c r="X59" s="242">
        <v>0.65040354666943512</v>
      </c>
      <c r="Z59" s="243">
        <f>(Z48*$J59)+Z49</f>
        <v>1020.833333333333</v>
      </c>
      <c r="AA59" s="242">
        <v>0.67635343350599131</v>
      </c>
      <c r="AC59" s="243">
        <f>(AC48*$J59)+AC49</f>
        <v>1060</v>
      </c>
      <c r="AD59" s="242">
        <v>0.70230332034254794</v>
      </c>
      <c r="AE59" s="238">
        <f t="shared" si="4"/>
        <v>1.2848484848484849</v>
      </c>
    </row>
    <row r="60" spans="6:31" x14ac:dyDescent="0.2">
      <c r="F60" s="10"/>
      <c r="H60" s="36"/>
      <c r="J60" s="17">
        <v>50</v>
      </c>
      <c r="K60" s="227">
        <f>(K48*$J60)+K49</f>
        <v>1029.4736842105262</v>
      </c>
      <c r="L60" s="241">
        <v>0.5456624804727005</v>
      </c>
      <c r="N60" s="227">
        <f>(N48*$J60)+N49</f>
        <v>1078.2894736842104</v>
      </c>
      <c r="O60" s="241">
        <v>0.57153681332742601</v>
      </c>
      <c r="Q60" s="227">
        <f>(Q48*$J60)+Q49</f>
        <v>1127.1052631578946</v>
      </c>
      <c r="R60" s="241">
        <v>0.59741114618215141</v>
      </c>
      <c r="T60" s="227">
        <f>(T48*$J60)+T49</f>
        <v>1175.9210526315787</v>
      </c>
      <c r="U60" s="241">
        <v>0.62328547903687681</v>
      </c>
      <c r="W60" s="227">
        <f>(W48*$J60)+W49</f>
        <v>1224.7368421052633</v>
      </c>
      <c r="X60" s="241">
        <v>0.64915981189160255</v>
      </c>
      <c r="Z60" s="227">
        <f>(Z48*$J60)+Z49</f>
        <v>1273.5526315789471</v>
      </c>
      <c r="AA60" s="241">
        <v>0.67503414474632772</v>
      </c>
      <c r="AC60" s="227">
        <f>(AC48*$J60)+AC49</f>
        <v>1322.3684210526317</v>
      </c>
      <c r="AD60" s="241">
        <v>0.70090847760105335</v>
      </c>
      <c r="AE60" s="238">
        <f t="shared" si="4"/>
        <v>1.2845092024539879</v>
      </c>
    </row>
    <row r="61" spans="6:31" x14ac:dyDescent="0.2">
      <c r="F61" s="10"/>
      <c r="H61" s="36"/>
      <c r="N61" s="250">
        <f>N59/K59</f>
        <v>1.0474747474747472</v>
      </c>
      <c r="O61" s="251"/>
      <c r="P61" s="251"/>
      <c r="Q61" s="250">
        <f>Q59/N59</f>
        <v>1.0453230472516877</v>
      </c>
      <c r="R61" s="251"/>
      <c r="S61" s="251"/>
      <c r="T61" s="250">
        <f>T59/Q59</f>
        <v>1.0433579335793357</v>
      </c>
      <c r="U61" s="251"/>
      <c r="V61" s="251"/>
      <c r="W61" s="250">
        <f>W59/T59</f>
        <v>1.0415561450044213</v>
      </c>
      <c r="X61" s="251"/>
      <c r="Y61" s="251"/>
      <c r="Z61" s="250">
        <f>Z59/W59</f>
        <v>1.0398981324278433</v>
      </c>
      <c r="AA61" s="251"/>
      <c r="AB61" s="251"/>
      <c r="AC61" s="250">
        <f>AC59/Z59</f>
        <v>1.0383673469387757</v>
      </c>
      <c r="AD61" s="72"/>
    </row>
    <row r="62" spans="6:31" x14ac:dyDescent="0.2">
      <c r="F62" s="10"/>
      <c r="H62" s="36"/>
      <c r="J62" s="252"/>
      <c r="K62" s="252"/>
      <c r="L62" s="252"/>
      <c r="M62" s="252"/>
      <c r="N62" s="253"/>
      <c r="O62" s="252"/>
      <c r="P62" s="252"/>
      <c r="Q62" s="253"/>
      <c r="R62" s="252"/>
      <c r="S62" s="252"/>
      <c r="T62" s="253"/>
      <c r="U62" s="252"/>
      <c r="V62" s="252"/>
      <c r="W62" s="253"/>
      <c r="X62" s="252"/>
      <c r="Y62" s="252"/>
      <c r="Z62" s="253"/>
      <c r="AA62" s="252"/>
      <c r="AB62" s="252"/>
      <c r="AC62" s="253"/>
      <c r="AD62" s="252"/>
      <c r="AE62" s="252"/>
    </row>
    <row r="63" spans="6:31" x14ac:dyDescent="0.2">
      <c r="F63" s="10"/>
      <c r="H63" s="36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2"/>
      <c r="V63" s="252"/>
      <c r="W63" s="252"/>
      <c r="X63" s="252"/>
      <c r="Y63" s="252"/>
      <c r="Z63" s="252"/>
      <c r="AA63" s="252"/>
      <c r="AB63" s="252"/>
      <c r="AC63" s="252"/>
      <c r="AD63" s="252"/>
      <c r="AE63" s="252"/>
    </row>
    <row r="64" spans="6:31" x14ac:dyDescent="0.2">
      <c r="F64" s="10"/>
      <c r="H64" s="36"/>
      <c r="K64" s="252"/>
      <c r="L64" s="252"/>
      <c r="M64" s="252"/>
      <c r="N64" s="252"/>
      <c r="O64" s="252"/>
      <c r="P64" s="252"/>
      <c r="Q64" s="252"/>
      <c r="R64" s="252"/>
      <c r="S64" s="252"/>
      <c r="T64" s="252"/>
      <c r="U64" s="258" t="s">
        <v>160</v>
      </c>
      <c r="V64" s="252"/>
      <c r="W64" s="252"/>
      <c r="X64" s="252"/>
      <c r="Y64" s="252"/>
      <c r="Z64" s="252"/>
      <c r="AA64" s="252"/>
      <c r="AB64" s="252"/>
      <c r="AC64" s="252"/>
      <c r="AD64" s="252"/>
    </row>
    <row r="65" spans="1:31" ht="15" x14ac:dyDescent="0.25">
      <c r="A65" s="236"/>
      <c r="B65" s="229">
        <v>48</v>
      </c>
      <c r="C65" s="230">
        <f>B65+$C66</f>
        <v>50.5</v>
      </c>
      <c r="D65" s="230">
        <f>C65+$C66</f>
        <v>53</v>
      </c>
      <c r="E65" s="230">
        <f>D65+$C66</f>
        <v>55.5</v>
      </c>
      <c r="F65" s="230">
        <f>E65+$C66</f>
        <v>58</v>
      </c>
      <c r="G65" s="230">
        <f>F65+$C66</f>
        <v>60.5</v>
      </c>
      <c r="H65" s="229">
        <v>63</v>
      </c>
      <c r="J65" s="224" t="s">
        <v>123</v>
      </c>
      <c r="K65" s="224" t="s">
        <v>124</v>
      </c>
      <c r="L65" s="224"/>
      <c r="M65" s="10"/>
      <c r="N65" s="224" t="s">
        <v>124</v>
      </c>
      <c r="O65" s="224"/>
      <c r="P65" s="10"/>
      <c r="Q65" s="224" t="s">
        <v>124</v>
      </c>
      <c r="R65" s="224"/>
      <c r="T65" s="254" t="s">
        <v>124</v>
      </c>
      <c r="U65" s="256"/>
      <c r="W65" s="224" t="s">
        <v>124</v>
      </c>
      <c r="X65" s="224"/>
      <c r="Z65" s="224" t="s">
        <v>124</v>
      </c>
      <c r="AA65" s="224"/>
      <c r="AC65" s="224" t="s">
        <v>124</v>
      </c>
      <c r="AD65" s="224"/>
    </row>
    <row r="66" spans="1:31" ht="15" x14ac:dyDescent="0.25">
      <c r="A66" s="1"/>
      <c r="B66" s="62"/>
      <c r="C66" s="231">
        <f>(H65-B65)/6</f>
        <v>2.5</v>
      </c>
      <c r="D66" s="10"/>
      <c r="E66" s="10"/>
      <c r="G66" s="10"/>
      <c r="H66" s="10"/>
      <c r="J66" s="225">
        <v>2</v>
      </c>
      <c r="K66" s="232">
        <f>B65</f>
        <v>48</v>
      </c>
      <c r="L66" s="233">
        <f>L73</f>
        <v>0.63604829012155284</v>
      </c>
      <c r="M66" s="223"/>
      <c r="N66" s="232">
        <f>C65</f>
        <v>50.5</v>
      </c>
      <c r="O66" s="233">
        <f>O73</f>
        <v>0.66917580523205089</v>
      </c>
      <c r="P66" s="223"/>
      <c r="Q66" s="232">
        <v>50</v>
      </c>
      <c r="R66" s="233">
        <f>R73</f>
        <v>0.70230332034254817</v>
      </c>
      <c r="S66" s="223"/>
      <c r="T66" s="232">
        <f>E65</f>
        <v>55.5</v>
      </c>
      <c r="U66" s="257">
        <f>U73</f>
        <v>0.73543083545304622</v>
      </c>
      <c r="V66" s="223"/>
      <c r="W66" s="232">
        <f>F65</f>
        <v>58</v>
      </c>
      <c r="X66" s="233">
        <f>X73</f>
        <v>0.76855835056354349</v>
      </c>
      <c r="Y66" s="223"/>
      <c r="Z66" s="232">
        <f>G65</f>
        <v>60.5</v>
      </c>
      <c r="AA66" s="233">
        <f>AA73</f>
        <v>0.8016858656740421</v>
      </c>
      <c r="AB66" s="223"/>
      <c r="AC66" s="232">
        <f>H65</f>
        <v>63</v>
      </c>
      <c r="AD66" s="233">
        <f>AD73</f>
        <v>0.83481338078453682</v>
      </c>
    </row>
    <row r="67" spans="1:31" ht="15" x14ac:dyDescent="0.25">
      <c r="A67" s="1"/>
      <c r="B67" s="229">
        <v>874.5</v>
      </c>
      <c r="C67" s="230">
        <f>B67+$C68</f>
        <v>916.01666666666665</v>
      </c>
      <c r="D67" s="230">
        <f>C67+$C68</f>
        <v>957.5333333333333</v>
      </c>
      <c r="E67" s="230">
        <f>D67+$C68</f>
        <v>999.05</v>
      </c>
      <c r="F67" s="230">
        <f>E67+$C68</f>
        <v>1040.5666666666666</v>
      </c>
      <c r="G67" s="230">
        <f>F67+$C68</f>
        <v>1082.0833333333333</v>
      </c>
      <c r="H67" s="229">
        <v>1123.5999999999999</v>
      </c>
      <c r="J67" s="225">
        <v>40</v>
      </c>
      <c r="K67" s="232">
        <f>B67</f>
        <v>874.5</v>
      </c>
      <c r="L67" s="233">
        <f>L76</f>
        <v>0.60027057380221549</v>
      </c>
      <c r="M67" s="223"/>
      <c r="N67" s="232">
        <f>C67</f>
        <v>916.01666666666665</v>
      </c>
      <c r="O67" s="233">
        <f>O76</f>
        <v>0.62984821413560932</v>
      </c>
      <c r="P67" s="223"/>
      <c r="Q67" s="232">
        <f>D67</f>
        <v>957.5333333333333</v>
      </c>
      <c r="R67" s="233">
        <f>R76</f>
        <v>0.65942585446900304</v>
      </c>
      <c r="S67" s="223"/>
      <c r="T67" s="232">
        <f>E67</f>
        <v>999.05</v>
      </c>
      <c r="U67" s="244">
        <f>U76</f>
        <v>0.68900349480239687</v>
      </c>
      <c r="V67" s="223"/>
      <c r="W67" s="232">
        <f>F67</f>
        <v>1040.5666666666666</v>
      </c>
      <c r="X67" s="233">
        <f>X76</f>
        <v>0.71858113513579036</v>
      </c>
      <c r="Y67" s="223"/>
      <c r="Z67" s="232">
        <f>G67</f>
        <v>1082.0833333333333</v>
      </c>
      <c r="AA67" s="233">
        <f>AA76</f>
        <v>0.74815877546918452</v>
      </c>
      <c r="AB67" s="223"/>
      <c r="AC67" s="232">
        <f>H67</f>
        <v>1123.5999999999999</v>
      </c>
      <c r="AD67" s="180">
        <f>AD76</f>
        <v>0.77773641580257713</v>
      </c>
    </row>
    <row r="68" spans="1:31" x14ac:dyDescent="0.2">
      <c r="A68" s="1"/>
      <c r="B68" s="228"/>
      <c r="C68" s="231">
        <f>(H67-B67)/6</f>
        <v>41.516666666666652</v>
      </c>
      <c r="D68" s="10"/>
      <c r="F68" s="10"/>
      <c r="G68" s="10"/>
      <c r="J68" s="160"/>
      <c r="K68" s="160"/>
      <c r="L68" s="180">
        <f>L80</f>
        <v>0.57940023928260209</v>
      </c>
      <c r="N68" s="160"/>
      <c r="O68" s="180">
        <f>O80</f>
        <v>0.60690711932935182</v>
      </c>
      <c r="Q68" s="160"/>
      <c r="R68" s="180">
        <f>R80</f>
        <v>0.63441399937610155</v>
      </c>
      <c r="T68" s="160"/>
      <c r="U68" s="244">
        <f>U80</f>
        <v>0.66192087942285138</v>
      </c>
      <c r="W68" s="160"/>
      <c r="X68" s="180">
        <f>X80</f>
        <v>0.68942775946960111</v>
      </c>
      <c r="Z68" s="160"/>
      <c r="AA68" s="180">
        <f>AA80</f>
        <v>0.71693463951635084</v>
      </c>
      <c r="AC68" s="160"/>
      <c r="AD68" s="180">
        <f>AD80</f>
        <v>0.74444151956310067</v>
      </c>
    </row>
    <row r="69" spans="1:31" x14ac:dyDescent="0.2">
      <c r="A69" s="1" t="s">
        <v>80</v>
      </c>
      <c r="J69" s="160"/>
      <c r="K69" s="226" cm="1">
        <f t="array" ref="K69">_xlfn.SINGLE(INDEX(LINEST(K66:K67,($J66:$J67)^{1}),1))</f>
        <v>21.75</v>
      </c>
      <c r="L69" s="160"/>
      <c r="N69" s="226" cm="1">
        <f t="array" ref="N69">_xlfn.SINGLE(INDEX(LINEST(N66:N67,($J66:$J67)^{1}),1))</f>
        <v>22.77675438596491</v>
      </c>
      <c r="O69" s="160"/>
      <c r="Q69" s="226" cm="1">
        <f t="array" ref="Q69">_xlfn.SINGLE(INDEX(LINEST(Q66:Q67,($J66:$J67)^{1}),1))</f>
        <v>23.882456140350875</v>
      </c>
      <c r="R69" s="160"/>
      <c r="T69" s="226" cm="1">
        <f t="array" ref="T69">_xlfn.SINGLE(INDEX(LINEST(T66:T67,($J66:$J67)^{1}),1))</f>
        <v>24.830263157894734</v>
      </c>
      <c r="U69" s="160"/>
      <c r="W69" s="226" cm="1">
        <f t="array" ref="W69">_xlfn.SINGLE(INDEX(LINEST(W66:W67,($J66:$J67)^{1}),1))</f>
        <v>25.857017543859644</v>
      </c>
      <c r="X69" s="160"/>
      <c r="Z69" s="226" cm="1">
        <f t="array" ref="Z69">_xlfn.SINGLE(INDEX(LINEST(Z66:Z67,($J66:$J67)^{1}),1))</f>
        <v>26.883771929824551</v>
      </c>
      <c r="AA69" s="160"/>
      <c r="AC69" s="226" cm="1">
        <f t="array" ref="AC69">_xlfn.SINGLE(INDEX(LINEST(AC66:AC67,($J66:$J67)^{1}),1))</f>
        <v>27.910526315789475</v>
      </c>
      <c r="AD69" s="160"/>
    </row>
    <row r="70" spans="1:31" x14ac:dyDescent="0.2">
      <c r="A70" s="61"/>
      <c r="B70" s="239" t="s">
        <v>125</v>
      </c>
      <c r="C70" s="240" t="s">
        <v>128</v>
      </c>
      <c r="J70" s="160"/>
      <c r="K70" s="226" cm="1">
        <f t="array" ref="K70">INDEX(LINEST(K66:K67,($J66:$J67)^{1}),1,2)</f>
        <v>4.5</v>
      </c>
      <c r="L70" s="160"/>
      <c r="N70" s="226" cm="1">
        <f t="array" ref="N70">INDEX(LINEST(N66:N67,($J66:$J67)^{1}),1,2)</f>
        <v>4.9464912280702151</v>
      </c>
      <c r="O70" s="160"/>
      <c r="Q70" s="226" cm="1">
        <f t="array" ref="Q70">INDEX(LINEST(Q66:Q67,($J66:$J67)^{1}),1,2)</f>
        <v>2.2350877192982921</v>
      </c>
      <c r="R70" s="160"/>
      <c r="T70" s="226" cm="1">
        <f t="array" ref="T70">INDEX(LINEST(T66:T67,($J66:$J67)^{1}),1,2)</f>
        <v>5.8394736842105885</v>
      </c>
      <c r="U70" s="160"/>
      <c r="W70" s="226" cm="1">
        <f t="array" ref="W70">INDEX(LINEST(W66:W67,($J66:$J67)^{1}),1,2)</f>
        <v>6.2859649122807468</v>
      </c>
      <c r="X70" s="160"/>
      <c r="Z70" s="226" cm="1">
        <f t="array" ref="Z70">INDEX(LINEST(Z66:Z67,($J66:$J67)^{1}),1,2)</f>
        <v>6.7324561403510188</v>
      </c>
      <c r="AA70" s="160"/>
      <c r="AC70" s="226" cm="1">
        <f t="array" ref="AC70">INDEX(LINEST(AC66:AC67,($J66:$J67)^{1}),1,2)</f>
        <v>7.1789473684209497</v>
      </c>
      <c r="AD70" s="160"/>
    </row>
    <row r="71" spans="1:31" x14ac:dyDescent="0.2">
      <c r="A71" s="61"/>
      <c r="J71" s="160"/>
      <c r="K71" s="160"/>
      <c r="L71" s="19" t="s">
        <v>11</v>
      </c>
      <c r="N71" s="160"/>
      <c r="O71" s="19" t="s">
        <v>11</v>
      </c>
      <c r="Q71" s="160"/>
      <c r="R71" s="19" t="s">
        <v>11</v>
      </c>
      <c r="T71" s="160"/>
      <c r="U71" s="19" t="s">
        <v>11</v>
      </c>
      <c r="W71" s="160"/>
      <c r="X71" s="19" t="s">
        <v>11</v>
      </c>
      <c r="Z71" s="160"/>
      <c r="AA71" s="19" t="s">
        <v>11</v>
      </c>
      <c r="AC71" s="160"/>
      <c r="AD71" s="19" t="s">
        <v>11</v>
      </c>
    </row>
    <row r="72" spans="1:31" x14ac:dyDescent="0.2">
      <c r="J72" s="17">
        <v>1</v>
      </c>
      <c r="K72" s="227">
        <f>(K69*$J72)+K70</f>
        <v>26.25</v>
      </c>
      <c r="L72" s="241">
        <v>0.69567781732044842</v>
      </c>
      <c r="N72" s="227">
        <f>(N69*$J72)+N70</f>
        <v>27.723245614035125</v>
      </c>
      <c r="O72" s="241">
        <v>0.73472179039278662</v>
      </c>
      <c r="Q72" s="227">
        <f>(Q69*$J72)+Q70</f>
        <v>26.117543859649167</v>
      </c>
      <c r="R72" s="241">
        <v>0.77376576346512349</v>
      </c>
      <c r="T72" s="227">
        <f>(T69*$J72)+T70</f>
        <v>30.669736842105323</v>
      </c>
      <c r="U72" s="241">
        <v>0.81280973653746191</v>
      </c>
      <c r="W72" s="227">
        <f>(W69*$J72)+W70</f>
        <v>32.142982456140388</v>
      </c>
      <c r="X72" s="241">
        <v>0.85185370960979856</v>
      </c>
      <c r="Z72" s="227">
        <f>(Z69*$J72)+Z70</f>
        <v>33.616228070175566</v>
      </c>
      <c r="AA72" s="241">
        <v>0.8908976826821382</v>
      </c>
      <c r="AC72" s="227">
        <f>(AC69*$J72)+AC70</f>
        <v>35.089473684210425</v>
      </c>
      <c r="AD72" s="241">
        <v>0.92994165575446941</v>
      </c>
      <c r="AE72" s="238">
        <f>AC72/K72</f>
        <v>1.3367418546365877</v>
      </c>
    </row>
    <row r="73" spans="1:31" x14ac:dyDescent="0.2">
      <c r="A73" s="21"/>
      <c r="G73" s="10"/>
      <c r="H73" s="15"/>
      <c r="J73" s="31">
        <v>2</v>
      </c>
      <c r="K73" s="243">
        <f>(K69*$J73)+K70</f>
        <v>48</v>
      </c>
      <c r="L73" s="242">
        <v>0.63604829012155284</v>
      </c>
      <c r="N73" s="243">
        <f>(N69*$J73)+N70</f>
        <v>50.500000000000036</v>
      </c>
      <c r="O73" s="242">
        <v>0.66917580523205089</v>
      </c>
      <c r="Q73" s="243">
        <f>(Q69*$J73)+Q70</f>
        <v>50.000000000000043</v>
      </c>
      <c r="R73" s="242">
        <v>0.70230332034254817</v>
      </c>
      <c r="T73" s="243">
        <f>(T69*$J73)+T70</f>
        <v>55.500000000000057</v>
      </c>
      <c r="U73" s="242">
        <v>0.73543083545304622</v>
      </c>
      <c r="W73" s="243">
        <f>(W69*$J73)+W70</f>
        <v>58.000000000000036</v>
      </c>
      <c r="X73" s="242">
        <v>0.76855835056354349</v>
      </c>
      <c r="Z73" s="243">
        <f>(Z69*$J73)+Z70</f>
        <v>60.500000000000121</v>
      </c>
      <c r="AA73" s="242">
        <v>0.8016858656740421</v>
      </c>
      <c r="AC73" s="243">
        <f>(AC69*$J73)+AC70</f>
        <v>62.999999999999901</v>
      </c>
      <c r="AD73" s="242">
        <v>0.83481338078453682</v>
      </c>
      <c r="AE73" s="238">
        <f t="shared" ref="AE73:AE81" si="5">AC73/K73</f>
        <v>1.312499999999998</v>
      </c>
    </row>
    <row r="74" spans="1:31" x14ac:dyDescent="0.2">
      <c r="J74" s="17">
        <v>3</v>
      </c>
      <c r="K74" s="227">
        <f>(K69*$J74)+K70</f>
        <v>69.75</v>
      </c>
      <c r="L74" s="241">
        <v>0.61617178105525428</v>
      </c>
      <c r="N74" s="227">
        <f>(N69*$J74)+N70</f>
        <v>73.276754385964949</v>
      </c>
      <c r="O74" s="241">
        <v>0.64732714351180565</v>
      </c>
      <c r="Q74" s="227">
        <f>(Q69*$J74)+Q70</f>
        <v>73.882456140350911</v>
      </c>
      <c r="R74" s="241">
        <v>0.67848250596835646</v>
      </c>
      <c r="T74" s="227">
        <f>(T69*$J74)+T70</f>
        <v>80.330263157894791</v>
      </c>
      <c r="U74" s="241">
        <v>0.70963786842490773</v>
      </c>
      <c r="W74" s="227">
        <f>(W69*$J74)+W70</f>
        <v>83.857017543859683</v>
      </c>
      <c r="X74" s="241">
        <v>0.74079323088145843</v>
      </c>
      <c r="Z74" s="227">
        <f>(Z69*$J74)+Z70</f>
        <v>87.383771929824675</v>
      </c>
      <c r="AA74" s="241">
        <v>0.77194859333801025</v>
      </c>
      <c r="AC74" s="227">
        <f>(AC69*$J74)+AC70</f>
        <v>90.910526315789383</v>
      </c>
      <c r="AD74" s="241">
        <v>0.8031039557945594</v>
      </c>
      <c r="AE74" s="238">
        <f t="shared" si="5"/>
        <v>1.3033767213733245</v>
      </c>
    </row>
    <row r="75" spans="1:31" x14ac:dyDescent="0.2">
      <c r="B75" s="34"/>
      <c r="C75" s="10"/>
      <c r="E75" s="10"/>
      <c r="F75" s="10"/>
      <c r="G75" s="18"/>
      <c r="H75" s="10"/>
      <c r="I75" s="10"/>
      <c r="J75" s="17">
        <v>4</v>
      </c>
      <c r="K75" s="227">
        <f>(K69*$J75)+K70</f>
        <v>91.5</v>
      </c>
      <c r="L75" s="241">
        <v>0.60623352652210505</v>
      </c>
      <c r="N75" s="227">
        <f>(N69*$J75)+N70</f>
        <v>96.053508771929856</v>
      </c>
      <c r="O75" s="241">
        <v>0.63640281265168297</v>
      </c>
      <c r="Q75" s="227">
        <f>(Q69*$J75)+Q70</f>
        <v>97.764912280701793</v>
      </c>
      <c r="R75" s="241">
        <v>0.66657209878126056</v>
      </c>
      <c r="T75" s="227">
        <f>(T69*$J75)+T70</f>
        <v>105.16052631578953</v>
      </c>
      <c r="U75" s="241">
        <v>0.69674138491083837</v>
      </c>
      <c r="W75" s="227">
        <f>(W69*$J75)+W70</f>
        <v>109.71403508771932</v>
      </c>
      <c r="X75" s="241">
        <v>0.72691067104041596</v>
      </c>
      <c r="Z75" s="227">
        <f>(Z69*$J75)+Z70</f>
        <v>114.26754385964922</v>
      </c>
      <c r="AA75" s="241">
        <v>0.7570799571699941</v>
      </c>
      <c r="AC75" s="227">
        <f>(AC69*$J75)+AC70</f>
        <v>118.82105263157885</v>
      </c>
      <c r="AD75" s="241">
        <v>0.78724924329957047</v>
      </c>
      <c r="AE75" s="238">
        <f t="shared" si="5"/>
        <v>1.2985907391429383</v>
      </c>
    </row>
    <row r="76" spans="1:31" x14ac:dyDescent="0.2">
      <c r="E76" s="62"/>
      <c r="F76" s="10"/>
      <c r="G76" s="15"/>
      <c r="H76" s="10"/>
      <c r="I76" s="10"/>
      <c r="J76" s="31">
        <v>5</v>
      </c>
      <c r="K76" s="243">
        <f>(K69*$J76)+K70</f>
        <v>113.25</v>
      </c>
      <c r="L76" s="242">
        <v>0.60027057380221549</v>
      </c>
      <c r="N76" s="243">
        <f>(N69*$J76)+N70</f>
        <v>118.83026315789476</v>
      </c>
      <c r="O76" s="242">
        <v>0.62984821413560932</v>
      </c>
      <c r="Q76" s="243">
        <f>(Q69*$J76)+Q70</f>
        <v>121.64736842105268</v>
      </c>
      <c r="R76" s="242">
        <v>0.65942585446900304</v>
      </c>
      <c r="T76" s="243">
        <f>(T69*$J76)+T70</f>
        <v>129.99078947368426</v>
      </c>
      <c r="U76" s="242">
        <v>0.68900349480239687</v>
      </c>
      <c r="W76" s="243">
        <f>(W69*$J76)+W70</f>
        <v>135.57105263157897</v>
      </c>
      <c r="X76" s="242">
        <v>0.71858113513579036</v>
      </c>
      <c r="Z76" s="243">
        <f>(Z69*$J76)+Z70</f>
        <v>141.15131578947378</v>
      </c>
      <c r="AA76" s="242">
        <v>0.74815877546918452</v>
      </c>
      <c r="AC76" s="243">
        <f>(AC69*$J76)+AC70</f>
        <v>146.73157894736832</v>
      </c>
      <c r="AD76" s="242">
        <v>0.77773641580257713</v>
      </c>
      <c r="AE76" s="238">
        <f t="shared" si="5"/>
        <v>1.2956430812129653</v>
      </c>
    </row>
    <row r="77" spans="1:31" x14ac:dyDescent="0.2">
      <c r="F77" s="10"/>
      <c r="G77" s="10"/>
      <c r="H77" s="84"/>
      <c r="I77" s="10"/>
      <c r="J77" s="17">
        <v>10</v>
      </c>
      <c r="K77" s="227">
        <f>(K69*$J77)+K70</f>
        <v>222</v>
      </c>
      <c r="L77" s="241">
        <v>0.58834466836243637</v>
      </c>
      <c r="N77" s="227">
        <f>(N69*$J77)+N70</f>
        <v>232.71403508771931</v>
      </c>
      <c r="O77" s="241">
        <v>0.61673901710346224</v>
      </c>
      <c r="Q77" s="227">
        <f>(Q69*$J77)+Q70</f>
        <v>241.05964912280706</v>
      </c>
      <c r="R77" s="241">
        <v>0.64513336584448799</v>
      </c>
      <c r="T77" s="227">
        <f>(T69*$J77)+T70</f>
        <v>254.14210526315793</v>
      </c>
      <c r="U77" s="241">
        <v>0.67352771458551364</v>
      </c>
      <c r="W77" s="227">
        <f>(W69*$J77)+W70</f>
        <v>264.85614035087718</v>
      </c>
      <c r="X77" s="241">
        <v>0.70192206332653939</v>
      </c>
      <c r="Z77" s="227">
        <f>(Z69*$J77)+Z70</f>
        <v>275.57017543859655</v>
      </c>
      <c r="AA77" s="241">
        <v>0.73031641206756526</v>
      </c>
      <c r="AC77" s="227">
        <f>(AC69*$J77)+AC70</f>
        <v>286.28421052631569</v>
      </c>
      <c r="AD77" s="241">
        <v>0.75871076080859068</v>
      </c>
      <c r="AE77" s="238">
        <f t="shared" si="5"/>
        <v>1.2895685158843049</v>
      </c>
    </row>
    <row r="78" spans="1:31" x14ac:dyDescent="0.2">
      <c r="I78" s="10"/>
      <c r="J78" s="17">
        <v>20</v>
      </c>
      <c r="K78" s="227">
        <f>(K69*$J78)+K70</f>
        <v>439.5</v>
      </c>
      <c r="L78" s="241">
        <v>0.58238171564254682</v>
      </c>
      <c r="N78" s="227">
        <f>(N69*$J78)+N70</f>
        <v>460.4815789473684</v>
      </c>
      <c r="O78" s="241">
        <v>0.61018441858738859</v>
      </c>
      <c r="Q78" s="227">
        <f>(Q69*$J78)+Q70</f>
        <v>479.88421052631583</v>
      </c>
      <c r="R78" s="241">
        <v>0.63798712153223036</v>
      </c>
      <c r="T78" s="227">
        <f>(T69*$J78)+T70</f>
        <v>502.44473684210527</v>
      </c>
      <c r="U78" s="241">
        <v>0.66578982447707225</v>
      </c>
      <c r="W78" s="227">
        <f>(W69*$J78)+W70</f>
        <v>523.42631578947362</v>
      </c>
      <c r="X78" s="241">
        <v>0.6935925274219138</v>
      </c>
      <c r="Z78" s="227">
        <f>(Z69*$J78)+Z70</f>
        <v>544.40789473684208</v>
      </c>
      <c r="AA78" s="241">
        <v>0.72139523036675568</v>
      </c>
      <c r="AC78" s="227">
        <f>(AC69*$J78)+AC70</f>
        <v>565.38947368421043</v>
      </c>
      <c r="AD78" s="241">
        <v>0.74919793331159734</v>
      </c>
      <c r="AE78" s="238">
        <f t="shared" si="5"/>
        <v>1.2864379378480328</v>
      </c>
    </row>
    <row r="79" spans="1:31" x14ac:dyDescent="0.2">
      <c r="I79" s="10"/>
      <c r="J79" s="17">
        <v>30</v>
      </c>
      <c r="K79" s="227">
        <f>(K69*$J79)+K70</f>
        <v>657</v>
      </c>
      <c r="L79" s="241">
        <v>0.58039406473591693</v>
      </c>
      <c r="N79" s="227">
        <f>(N69*$J79)+N70</f>
        <v>688.24912280701756</v>
      </c>
      <c r="O79" s="241">
        <v>0.60799955241536408</v>
      </c>
      <c r="Q79" s="227">
        <f>(Q69*$J79)+Q70</f>
        <v>718.70877192982448</v>
      </c>
      <c r="R79" s="241">
        <v>0.63560504009481122</v>
      </c>
      <c r="T79" s="227">
        <f>(T69*$J79)+T70</f>
        <v>750.74736842105267</v>
      </c>
      <c r="U79" s="241">
        <v>0.66321052777425837</v>
      </c>
      <c r="W79" s="227">
        <f>(W69*$J79)+W70</f>
        <v>781.99649122807011</v>
      </c>
      <c r="X79" s="241">
        <v>0.69081601545370552</v>
      </c>
      <c r="Z79" s="227">
        <f>(Z69*$J79)+Z70</f>
        <v>813.24561403508756</v>
      </c>
      <c r="AA79" s="241">
        <v>0.71842150313315245</v>
      </c>
      <c r="AC79" s="227">
        <f>(AC69*$J79)+AC70</f>
        <v>844.49473684210523</v>
      </c>
      <c r="AD79" s="241">
        <v>0.74602699081259971</v>
      </c>
      <c r="AE79" s="238">
        <f t="shared" si="5"/>
        <v>1.2853801169590642</v>
      </c>
    </row>
    <row r="80" spans="1:31" x14ac:dyDescent="0.2">
      <c r="I80" s="10"/>
      <c r="J80" s="31">
        <v>40</v>
      </c>
      <c r="K80" s="243">
        <f>(K69*$J80)+K70</f>
        <v>874.5</v>
      </c>
      <c r="L80" s="242">
        <v>0.57940023928260209</v>
      </c>
      <c r="N80" s="243">
        <f>(N69*$J80)+N70</f>
        <v>916.01666666666665</v>
      </c>
      <c r="O80" s="242">
        <v>0.60690711932935182</v>
      </c>
      <c r="Q80" s="243">
        <f>(Q69*$J80)+Q70</f>
        <v>957.5333333333333</v>
      </c>
      <c r="R80" s="242">
        <v>0.63441399937610155</v>
      </c>
      <c r="T80" s="243">
        <f>(T69*$J80)+T70</f>
        <v>999.05</v>
      </c>
      <c r="U80" s="242">
        <v>0.66192087942285138</v>
      </c>
      <c r="W80" s="243">
        <f>(W69*$J80)+W70</f>
        <v>1040.5666666666666</v>
      </c>
      <c r="X80" s="242">
        <v>0.68942775946960111</v>
      </c>
      <c r="Z80" s="243">
        <f>(Z69*$J80)+Z70</f>
        <v>1082.083333333333</v>
      </c>
      <c r="AA80" s="242">
        <v>0.71693463951635084</v>
      </c>
      <c r="AC80" s="243">
        <f>(AC69*$J80)+AC70</f>
        <v>1123.5999999999999</v>
      </c>
      <c r="AD80" s="242">
        <v>0.74444151956310067</v>
      </c>
      <c r="AE80" s="238">
        <f t="shared" si="5"/>
        <v>1.2848484848484847</v>
      </c>
    </row>
    <row r="81" spans="2:31" x14ac:dyDescent="0.2">
      <c r="I81" s="17"/>
      <c r="J81" s="17">
        <v>50</v>
      </c>
      <c r="K81" s="227">
        <f>(K69*$J81)+K70</f>
        <v>1092</v>
      </c>
      <c r="L81" s="241">
        <v>0.57880394401061308</v>
      </c>
      <c r="N81" s="227">
        <f>(N69*$J81)+N70</f>
        <v>1143.7842105263157</v>
      </c>
      <c r="O81" s="241">
        <v>0.60625165947774451</v>
      </c>
      <c r="Q81" s="227">
        <f>(Q69*$J81)+Q70</f>
        <v>1196.3578947368419</v>
      </c>
      <c r="R81" s="241">
        <v>0.63369937494487583</v>
      </c>
      <c r="T81" s="227">
        <f>(T69*$J81)+T70</f>
        <v>1247.3526315789472</v>
      </c>
      <c r="U81" s="241">
        <v>0.66114709041200714</v>
      </c>
      <c r="W81" s="227">
        <f>(W69*$J81)+W70</f>
        <v>1299.136842105263</v>
      </c>
      <c r="X81" s="241">
        <v>0.68859480587913868</v>
      </c>
      <c r="Z81" s="227">
        <f>(Z69*$J81)+Z70</f>
        <v>1350.9210526315787</v>
      </c>
      <c r="AA81" s="241">
        <v>0.71604252134626989</v>
      </c>
      <c r="AC81" s="227">
        <f>(AC69*$J81)+AC70</f>
        <v>1402.7052631578947</v>
      </c>
      <c r="AD81" s="241">
        <v>0.74349023681340143</v>
      </c>
      <c r="AE81" s="238">
        <f t="shared" si="5"/>
        <v>1.2845286292654714</v>
      </c>
    </row>
    <row r="82" spans="2:31" x14ac:dyDescent="0.2">
      <c r="I82" s="10"/>
      <c r="N82" s="250">
        <f>N80/K80</f>
        <v>1.0474747474747474</v>
      </c>
      <c r="O82" s="251"/>
      <c r="P82" s="251"/>
      <c r="Q82" s="250">
        <f>Q80/N80</f>
        <v>1.0453230472516875</v>
      </c>
      <c r="R82" s="251"/>
      <c r="S82" s="251"/>
      <c r="T82" s="250">
        <f>T80/Q80</f>
        <v>1.0433579335793357</v>
      </c>
      <c r="U82" s="251"/>
      <c r="V82" s="251"/>
      <c r="W82" s="250">
        <f>W80/T80</f>
        <v>1.0415561450044208</v>
      </c>
      <c r="X82" s="251"/>
      <c r="Y82" s="251"/>
      <c r="Z82" s="250">
        <f>Z80/W80</f>
        <v>1.0398981324278436</v>
      </c>
      <c r="AA82" s="251"/>
      <c r="AB82" s="251"/>
      <c r="AC82" s="250">
        <f>AC80/Z80</f>
        <v>1.0383673469387757</v>
      </c>
      <c r="AD82" s="72"/>
    </row>
    <row r="83" spans="2:31" x14ac:dyDescent="0.2">
      <c r="K83" s="252"/>
      <c r="L83" s="252"/>
      <c r="M83" s="252"/>
      <c r="N83" s="253"/>
      <c r="O83" s="252"/>
      <c r="P83" s="252"/>
      <c r="Q83" s="253"/>
      <c r="R83" s="252"/>
      <c r="S83" s="252"/>
      <c r="T83" s="253"/>
      <c r="U83" s="252"/>
      <c r="V83" s="252"/>
      <c r="W83" s="253"/>
      <c r="X83" s="252"/>
      <c r="Y83" s="252"/>
      <c r="Z83" s="253"/>
      <c r="AA83" s="252"/>
      <c r="AB83" s="252"/>
      <c r="AC83" s="253"/>
      <c r="AD83" s="252"/>
    </row>
    <row r="84" spans="2:31" x14ac:dyDescent="0.2">
      <c r="K84" s="252"/>
      <c r="L84" s="252"/>
      <c r="M84" s="252"/>
      <c r="N84" s="253"/>
      <c r="O84" s="252"/>
      <c r="P84" s="252"/>
      <c r="Q84" s="253"/>
      <c r="R84" s="252"/>
      <c r="S84" s="252"/>
      <c r="T84" s="253"/>
      <c r="U84" s="252"/>
      <c r="V84" s="252"/>
      <c r="W84" s="253"/>
      <c r="X84" s="252"/>
      <c r="Y84" s="252"/>
      <c r="Z84" s="253"/>
      <c r="AA84" s="252"/>
      <c r="AB84" s="252"/>
      <c r="AC84" s="253"/>
      <c r="AD84" s="252"/>
    </row>
    <row r="85" spans="2:31" x14ac:dyDescent="0.2">
      <c r="K85" s="252"/>
      <c r="L85" s="252"/>
      <c r="M85" s="252"/>
      <c r="N85" s="253"/>
      <c r="O85" s="252"/>
      <c r="P85" s="252"/>
      <c r="Q85" s="253"/>
      <c r="R85" s="252"/>
      <c r="S85" s="252"/>
      <c r="T85" s="255">
        <f>T55/T34</f>
        <v>1.0347183808935025</v>
      </c>
      <c r="U85" s="252">
        <f>0.64/0.62</f>
        <v>1.032258064516129</v>
      </c>
      <c r="V85" s="252"/>
      <c r="W85" s="253"/>
      <c r="X85" s="252"/>
      <c r="Y85" s="252"/>
      <c r="Z85" s="253"/>
      <c r="AA85" s="252"/>
      <c r="AB85" s="252"/>
      <c r="AC85" s="253"/>
      <c r="AD85" s="252"/>
    </row>
    <row r="86" spans="2:31" x14ac:dyDescent="0.2">
      <c r="K86" s="252"/>
      <c r="L86" s="252"/>
      <c r="M86" s="252"/>
      <c r="N86" s="253"/>
      <c r="O86" s="252"/>
      <c r="P86" s="252"/>
      <c r="Q86" s="253"/>
      <c r="R86" s="252"/>
      <c r="S86" s="252"/>
      <c r="T86" s="255">
        <f>T76/T55</f>
        <v>1.0355660377358487</v>
      </c>
      <c r="U86" s="252">
        <f>0.62/0.61</f>
        <v>1.0163934426229508</v>
      </c>
      <c r="V86" s="252"/>
      <c r="W86" s="253"/>
      <c r="X86" s="252"/>
      <c r="Y86" s="252"/>
      <c r="Z86" s="253"/>
      <c r="AA86" s="252"/>
      <c r="AB86" s="252"/>
      <c r="AC86" s="253"/>
      <c r="AD86" s="252"/>
    </row>
    <row r="87" spans="2:31" x14ac:dyDescent="0.2">
      <c r="K87" s="252"/>
      <c r="L87" s="252"/>
      <c r="M87" s="252"/>
      <c r="N87" s="253"/>
      <c r="O87" s="252"/>
      <c r="P87" s="252"/>
      <c r="Q87" s="253"/>
      <c r="R87" s="252"/>
      <c r="S87" s="252"/>
      <c r="T87" s="255">
        <f>T56/T35</f>
        <v>1.0486204461051241</v>
      </c>
      <c r="U87" s="252">
        <f>0.63/0.6</f>
        <v>1.05</v>
      </c>
      <c r="V87" s="252"/>
      <c r="W87" s="253"/>
      <c r="X87" s="252"/>
      <c r="Y87" s="252"/>
      <c r="Z87" s="253"/>
      <c r="AA87" s="252"/>
      <c r="AB87" s="252"/>
      <c r="AC87" s="253"/>
      <c r="AD87" s="252"/>
    </row>
    <row r="88" spans="2:31" x14ac:dyDescent="0.2">
      <c r="K88" s="252"/>
      <c r="L88" s="252"/>
      <c r="M88" s="252"/>
      <c r="N88" s="253"/>
      <c r="O88" s="252"/>
      <c r="P88" s="252"/>
      <c r="Q88" s="253"/>
      <c r="R88" s="252"/>
      <c r="S88" s="252"/>
      <c r="T88" s="255">
        <f>T77/T56</f>
        <v>1.0491472026072786</v>
      </c>
      <c r="U88" s="252">
        <f>0.6/0.58</f>
        <v>1.0344827586206897</v>
      </c>
      <c r="V88" s="252"/>
      <c r="W88" s="253"/>
      <c r="X88" s="252"/>
      <c r="Y88" s="252"/>
      <c r="Z88" s="253"/>
      <c r="AA88" s="252"/>
      <c r="AB88" s="252"/>
      <c r="AC88" s="253"/>
      <c r="AD88" s="252"/>
    </row>
    <row r="89" spans="2:31" x14ac:dyDescent="0.2">
      <c r="K89" s="252"/>
      <c r="L89" s="252"/>
      <c r="M89" s="252"/>
      <c r="N89" s="253"/>
      <c r="O89" s="252"/>
      <c r="P89" s="252"/>
      <c r="Q89" s="253"/>
      <c r="R89" s="252"/>
      <c r="S89" s="252"/>
      <c r="T89" s="255">
        <f>T59/T38</f>
        <v>1.0600011246696279</v>
      </c>
      <c r="U89" s="252">
        <f>0.66/0.63</f>
        <v>1.0476190476190477</v>
      </c>
      <c r="V89" s="252"/>
      <c r="W89" s="253"/>
      <c r="X89" s="252"/>
      <c r="Y89" s="252"/>
      <c r="Z89" s="253"/>
      <c r="AA89" s="252"/>
      <c r="AB89" s="252"/>
      <c r="AC89" s="253"/>
      <c r="AD89" s="252"/>
    </row>
    <row r="90" spans="2:31" x14ac:dyDescent="0.2">
      <c r="K90" s="252"/>
      <c r="L90" s="252"/>
      <c r="M90" s="252"/>
      <c r="N90" s="253"/>
      <c r="O90" s="252"/>
      <c r="P90" s="252"/>
      <c r="Q90" s="253"/>
      <c r="R90" s="252"/>
      <c r="S90" s="252"/>
      <c r="T90" s="255">
        <f>T80/T59</f>
        <v>1.0600000000000003</v>
      </c>
      <c r="U90" s="252">
        <f>0.63/0.6</f>
        <v>1.05</v>
      </c>
      <c r="V90" s="252"/>
      <c r="W90" s="253"/>
      <c r="X90" s="252"/>
      <c r="Y90" s="252"/>
      <c r="Z90" s="253"/>
      <c r="AA90" s="252"/>
      <c r="AB90" s="252"/>
      <c r="AC90" s="253"/>
      <c r="AD90" s="252"/>
    </row>
    <row r="91" spans="2:31" x14ac:dyDescent="0.2">
      <c r="K91" s="252"/>
      <c r="L91" s="252"/>
      <c r="M91" s="252"/>
      <c r="N91" s="252"/>
      <c r="O91" s="252"/>
      <c r="P91" s="252"/>
      <c r="Q91" s="252"/>
      <c r="R91" s="252"/>
      <c r="S91" s="252"/>
      <c r="T91" s="252"/>
      <c r="U91" s="252"/>
      <c r="V91" s="252"/>
      <c r="W91" s="252"/>
      <c r="X91" s="252"/>
      <c r="Y91" s="252"/>
      <c r="Z91" s="252"/>
      <c r="AA91" s="252"/>
      <c r="AB91" s="252"/>
      <c r="AC91" s="252"/>
      <c r="AD91" s="252"/>
    </row>
    <row r="92" spans="2:31" x14ac:dyDescent="0.2">
      <c r="B92" s="1" t="s">
        <v>149</v>
      </c>
      <c r="K92" s="252"/>
      <c r="L92" s="252"/>
      <c r="M92" s="252"/>
      <c r="N92" s="252"/>
      <c r="O92" s="252"/>
      <c r="P92" s="252"/>
      <c r="Q92" s="252"/>
      <c r="R92" s="252"/>
      <c r="S92" s="252"/>
      <c r="T92" s="252"/>
      <c r="U92" s="252"/>
      <c r="V92" s="252"/>
      <c r="W92" s="252"/>
      <c r="X92" s="252"/>
      <c r="Y92" s="252"/>
      <c r="Z92" s="252"/>
      <c r="AA92" s="252"/>
      <c r="AB92" s="252"/>
      <c r="AC92" s="252"/>
      <c r="AD92" s="252"/>
    </row>
    <row r="94" spans="2:31" x14ac:dyDescent="0.2">
      <c r="C94" t="s">
        <v>150</v>
      </c>
      <c r="H94" t="s">
        <v>157</v>
      </c>
    </row>
    <row r="95" spans="2:31" x14ac:dyDescent="0.2">
      <c r="D95" s="72"/>
      <c r="E95" s="72" t="s">
        <v>152</v>
      </c>
      <c r="F95" s="72"/>
      <c r="I95" s="72"/>
      <c r="J95" s="72" t="s">
        <v>155</v>
      </c>
      <c r="K95" s="72"/>
    </row>
    <row r="96" spans="2:31" x14ac:dyDescent="0.2">
      <c r="D96" s="21" t="s">
        <v>151</v>
      </c>
      <c r="E96" s="72"/>
      <c r="F96" s="72" t="s">
        <v>153</v>
      </c>
      <c r="I96" s="21" t="s">
        <v>154</v>
      </c>
      <c r="J96" s="72"/>
      <c r="K96" s="72" t="s">
        <v>156</v>
      </c>
    </row>
    <row r="97" spans="3:11" x14ac:dyDescent="0.2">
      <c r="C97" s="17">
        <v>1</v>
      </c>
      <c r="D97" s="185">
        <v>33.561842105263182</v>
      </c>
      <c r="E97" s="185">
        <v>32.157894736842223</v>
      </c>
      <c r="F97" s="185">
        <v>30.669736842105323</v>
      </c>
      <c r="H97" s="17">
        <v>1</v>
      </c>
      <c r="I97" s="185">
        <v>34.838084318002032</v>
      </c>
      <c r="J97" s="185">
        <v>32.009914247434573</v>
      </c>
      <c r="K97" s="185">
        <v>29.189275921395929</v>
      </c>
    </row>
    <row r="98" spans="3:11" x14ac:dyDescent="0.2">
      <c r="C98" s="31">
        <v>2</v>
      </c>
      <c r="D98" s="192">
        <v>55.500000000000021</v>
      </c>
      <c r="E98" s="192">
        <v>55.500000000000107</v>
      </c>
      <c r="F98" s="192">
        <v>55.500000000000057</v>
      </c>
      <c r="H98" s="31">
        <v>2</v>
      </c>
      <c r="I98" s="192">
        <v>62.325185975887308</v>
      </c>
      <c r="J98" s="192">
        <v>59.124194551143859</v>
      </c>
      <c r="K98" s="192">
        <v>55.923203126400409</v>
      </c>
    </row>
    <row r="99" spans="3:11" x14ac:dyDescent="0.2">
      <c r="C99" s="17">
        <v>3</v>
      </c>
      <c r="D99" s="185">
        <v>77.438157894736861</v>
      </c>
      <c r="E99" s="185">
        <v>78.84210526315799</v>
      </c>
      <c r="F99" s="185">
        <v>80.330263157894791</v>
      </c>
      <c r="H99" s="17">
        <v>3</v>
      </c>
      <c r="I99" s="185">
        <v>87.47744682984208</v>
      </c>
      <c r="J99" s="185">
        <v>84.675637865125452</v>
      </c>
      <c r="K99" s="185">
        <v>81.885126517202039</v>
      </c>
    </row>
    <row r="100" spans="3:11" x14ac:dyDescent="0.2">
      <c r="C100" s="17">
        <v>4</v>
      </c>
      <c r="D100" s="185">
        <v>99.376315789473708</v>
      </c>
      <c r="E100" s="185">
        <v>102.18421052631588</v>
      </c>
      <c r="F100" s="185">
        <v>105.16052631578953</v>
      </c>
      <c r="H100" s="17">
        <v>4</v>
      </c>
      <c r="I100" s="185">
        <v>112.22299347924121</v>
      </c>
      <c r="J100" s="185">
        <v>109.96347012059876</v>
      </c>
      <c r="K100" s="185">
        <v>107.70394676195632</v>
      </c>
    </row>
    <row r="101" spans="3:11" x14ac:dyDescent="0.2">
      <c r="C101" s="31">
        <v>5</v>
      </c>
      <c r="D101" s="192">
        <v>121.31447368421055</v>
      </c>
      <c r="E101" s="192">
        <v>125.52631578947377</v>
      </c>
      <c r="F101" s="192">
        <v>129.99078947368426</v>
      </c>
      <c r="H101" s="31">
        <v>5</v>
      </c>
      <c r="I101" s="192">
        <v>137.17189723091815</v>
      </c>
      <c r="J101" s="192">
        <v>135.38310790532623</v>
      </c>
      <c r="K101" s="192">
        <v>133.59431857973431</v>
      </c>
    </row>
    <row r="102" spans="3:11" x14ac:dyDescent="0.2">
      <c r="C102" s="17">
        <v>10</v>
      </c>
      <c r="D102" s="185">
        <v>231.00526315789477</v>
      </c>
      <c r="E102" s="185">
        <v>242.23684210526321</v>
      </c>
      <c r="F102" s="185">
        <v>254.14210526315793</v>
      </c>
      <c r="H102" s="17">
        <v>10</v>
      </c>
      <c r="I102" s="185">
        <v>263.61105850828471</v>
      </c>
      <c r="J102" s="185">
        <v>263.61105850828471</v>
      </c>
      <c r="K102" s="185">
        <v>263.61105850828471</v>
      </c>
    </row>
    <row r="103" spans="3:11" x14ac:dyDescent="0.2">
      <c r="C103" s="17">
        <v>20</v>
      </c>
      <c r="D103" s="185">
        <v>450.38684210526321</v>
      </c>
      <c r="E103" s="185">
        <v>475.65789473684208</v>
      </c>
      <c r="F103" s="185">
        <v>502.44473684210527</v>
      </c>
      <c r="H103" s="17">
        <v>20</v>
      </c>
      <c r="I103" s="185">
        <v>527.22211701656943</v>
      </c>
      <c r="J103" s="185">
        <v>527.22211701656943</v>
      </c>
      <c r="K103" s="185">
        <v>527.22211701656943</v>
      </c>
    </row>
    <row r="104" spans="3:11" x14ac:dyDescent="0.2">
      <c r="C104" s="17">
        <v>30</v>
      </c>
      <c r="D104" s="185">
        <v>669.76842105263165</v>
      </c>
      <c r="E104" s="185">
        <v>709.07894736842104</v>
      </c>
      <c r="F104" s="185">
        <v>750.74736842105267</v>
      </c>
      <c r="H104" s="17">
        <v>30</v>
      </c>
      <c r="I104" s="185">
        <v>790.83317552485403</v>
      </c>
      <c r="J104" s="185">
        <v>790.83317552485403</v>
      </c>
      <c r="K104" s="185">
        <v>790.83317552485403</v>
      </c>
    </row>
    <row r="105" spans="3:11" x14ac:dyDescent="0.2">
      <c r="C105" s="31">
        <v>40</v>
      </c>
      <c r="D105" s="192">
        <v>889.15000000000009</v>
      </c>
      <c r="E105" s="192">
        <v>942.49999999999977</v>
      </c>
      <c r="F105" s="192">
        <v>999.05</v>
      </c>
      <c r="H105" s="31">
        <v>40</v>
      </c>
      <c r="I105" s="192">
        <v>1054.4442340331389</v>
      </c>
      <c r="J105" s="192">
        <v>1054.4442340331389</v>
      </c>
      <c r="K105" s="192">
        <v>1054.4442340331389</v>
      </c>
    </row>
    <row r="106" spans="3:11" x14ac:dyDescent="0.2">
      <c r="C106" s="17">
        <v>50</v>
      </c>
      <c r="D106" s="185">
        <v>1108.5315789473684</v>
      </c>
      <c r="E106" s="185">
        <v>1175.9210526315787</v>
      </c>
      <c r="F106" s="185">
        <v>1247.3526315789472</v>
      </c>
      <c r="H106" s="17">
        <v>50</v>
      </c>
      <c r="I106" s="185">
        <v>1318.0552925414236</v>
      </c>
      <c r="J106" s="185">
        <v>1318.0552925414236</v>
      </c>
      <c r="K106" s="185">
        <v>1318.0552925414236</v>
      </c>
    </row>
    <row r="252" spans="10:10" x14ac:dyDescent="0.2">
      <c r="J252" s="17"/>
    </row>
    <row r="253" spans="10:10" x14ac:dyDescent="0.2">
      <c r="J253" s="17"/>
    </row>
    <row r="254" spans="10:10" x14ac:dyDescent="0.2">
      <c r="J254" s="17"/>
    </row>
    <row r="255" spans="10:10" x14ac:dyDescent="0.2">
      <c r="J255" s="17"/>
    </row>
    <row r="256" spans="10:10" x14ac:dyDescent="0.2">
      <c r="J256" s="17"/>
    </row>
    <row r="257" spans="10:10" x14ac:dyDescent="0.2">
      <c r="J257" s="17"/>
    </row>
    <row r="258" spans="10:10" x14ac:dyDescent="0.2">
      <c r="J258" s="17"/>
    </row>
    <row r="259" spans="10:10" x14ac:dyDescent="0.2">
      <c r="J259" s="17"/>
    </row>
    <row r="260" spans="10:10" x14ac:dyDescent="0.2">
      <c r="J260" s="17"/>
    </row>
    <row r="261" spans="10:10" x14ac:dyDescent="0.2">
      <c r="J261" s="17"/>
    </row>
    <row r="262" spans="10:10" x14ac:dyDescent="0.2">
      <c r="J262" s="17"/>
    </row>
    <row r="263" spans="10:10" x14ac:dyDescent="0.2">
      <c r="J263" s="17"/>
    </row>
    <row r="264" spans="10:10" x14ac:dyDescent="0.2">
      <c r="J264" s="17"/>
    </row>
    <row r="265" spans="10:10" x14ac:dyDescent="0.2">
      <c r="J265" s="17"/>
    </row>
    <row r="266" spans="10:10" x14ac:dyDescent="0.2">
      <c r="J266" s="17"/>
    </row>
    <row r="267" spans="10:10" x14ac:dyDescent="0.2">
      <c r="J267" s="17"/>
    </row>
    <row r="268" spans="10:10" x14ac:dyDescent="0.2">
      <c r="J268" s="17"/>
    </row>
    <row r="269" spans="10:10" x14ac:dyDescent="0.2">
      <c r="J269" s="17"/>
    </row>
  </sheetData>
  <pageMargins left="0.7" right="0.7" top="0.25" bottom="0.25" header="0.3" footer="0.3"/>
  <pageSetup scale="7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76F20-AEFF-484F-BB5F-827372A1F9BF}">
  <sheetPr transitionEvaluation="1" transitionEntry="1">
    <pageSetUpPr fitToPage="1"/>
  </sheetPr>
  <dimension ref="B2:T27"/>
  <sheetViews>
    <sheetView showGridLines="0" zoomScale="90" zoomScaleNormal="90" workbookViewId="0">
      <selection activeCell="L28" sqref="L28"/>
    </sheetView>
  </sheetViews>
  <sheetFormatPr defaultRowHeight="12.75" x14ac:dyDescent="0.2"/>
  <cols>
    <col min="1" max="9" width="9.140625" customWidth="1"/>
    <col min="10" max="10" width="16.85546875" customWidth="1"/>
    <col min="11" max="11" width="15.42578125" customWidth="1"/>
    <col min="12" max="37" width="9.140625" customWidth="1"/>
    <col min="38" max="38" width="8.28515625" customWidth="1"/>
  </cols>
  <sheetData>
    <row r="2" spans="2:20" x14ac:dyDescent="0.2">
      <c r="B2" s="248" t="s">
        <v>121</v>
      </c>
    </row>
    <row r="6" spans="2:20" x14ac:dyDescent="0.2">
      <c r="B6" t="s">
        <v>132</v>
      </c>
    </row>
    <row r="7" spans="2:20" x14ac:dyDescent="0.2">
      <c r="B7" t="s">
        <v>133</v>
      </c>
    </row>
    <row r="8" spans="2:20" ht="15" x14ac:dyDescent="0.25">
      <c r="B8" s="1" t="s">
        <v>134</v>
      </c>
    </row>
    <row r="9" spans="2:20" x14ac:dyDescent="0.2">
      <c r="P9" t="s">
        <v>135</v>
      </c>
    </row>
    <row r="10" spans="2:20" x14ac:dyDescent="0.2">
      <c r="C10" s="1" t="s">
        <v>136</v>
      </c>
    </row>
    <row r="11" spans="2:20" ht="15" x14ac:dyDescent="0.25">
      <c r="P11" s="153">
        <v>1.1200000000000001</v>
      </c>
      <c r="Q11" t="s">
        <v>137</v>
      </c>
    </row>
    <row r="12" spans="2:20" x14ac:dyDescent="0.2">
      <c r="C12" t="s">
        <v>133</v>
      </c>
      <c r="E12" s="1" t="s">
        <v>138</v>
      </c>
      <c r="M12" s="160" t="s">
        <v>139</v>
      </c>
      <c r="N12" s="160" t="s">
        <v>139</v>
      </c>
      <c r="P12" s="160"/>
      <c r="Q12" s="160"/>
    </row>
    <row r="13" spans="2:20" x14ac:dyDescent="0.2">
      <c r="D13" s="160" t="s">
        <v>123</v>
      </c>
      <c r="E13" s="160" t="s">
        <v>140</v>
      </c>
      <c r="F13" s="160" t="s">
        <v>141</v>
      </c>
      <c r="G13" s="160" t="s">
        <v>142</v>
      </c>
      <c r="I13" s="160" t="s">
        <v>143</v>
      </c>
      <c r="J13" s="160" t="s">
        <v>144</v>
      </c>
      <c r="K13" s="160" t="s">
        <v>142</v>
      </c>
      <c r="M13" s="160" t="s">
        <v>142</v>
      </c>
      <c r="N13" s="160" t="s">
        <v>47</v>
      </c>
      <c r="P13" s="217" t="s">
        <v>145</v>
      </c>
      <c r="Q13" s="160" t="s">
        <v>146</v>
      </c>
      <c r="S13" s="160" t="s">
        <v>143</v>
      </c>
      <c r="T13" s="160" t="s">
        <v>144</v>
      </c>
    </row>
    <row r="14" spans="2:20" ht="15" x14ac:dyDescent="0.25">
      <c r="D14" s="160">
        <v>2</v>
      </c>
      <c r="E14" s="99">
        <v>47</v>
      </c>
      <c r="F14" s="99">
        <v>65</v>
      </c>
      <c r="G14" s="246">
        <f>SUM(E14:F14)/2</f>
        <v>56</v>
      </c>
      <c r="I14" s="99">
        <v>0.62</v>
      </c>
      <c r="J14" s="99">
        <v>0.86</v>
      </c>
      <c r="K14" s="99">
        <f>SUM(I14:J14)/2</f>
        <v>0.74</v>
      </c>
      <c r="M14" s="247">
        <v>56</v>
      </c>
      <c r="N14" s="247">
        <v>0.74</v>
      </c>
      <c r="P14" s="185">
        <f>M14/P$11</f>
        <v>49.999999999999993</v>
      </c>
      <c r="Q14" s="185">
        <f>M14*P$11</f>
        <v>62.720000000000006</v>
      </c>
      <c r="S14">
        <v>0.66</v>
      </c>
      <c r="T14">
        <v>0.84</v>
      </c>
    </row>
    <row r="15" spans="2:20" ht="15" x14ac:dyDescent="0.25">
      <c r="D15" s="160">
        <v>5</v>
      </c>
      <c r="E15" s="99">
        <v>110</v>
      </c>
      <c r="F15" s="99">
        <v>147</v>
      </c>
      <c r="G15" s="246">
        <f>SUM(E15:F15)/2</f>
        <v>128.5</v>
      </c>
      <c r="I15" s="99">
        <v>0.57999999999999996</v>
      </c>
      <c r="J15" s="99">
        <v>0.78</v>
      </c>
      <c r="K15" s="99">
        <f>SUM(I15:J15)/2</f>
        <v>0.67999999999999994</v>
      </c>
      <c r="L15" t="s">
        <v>80</v>
      </c>
      <c r="M15" s="247">
        <v>129</v>
      </c>
      <c r="N15" s="247">
        <v>0.68</v>
      </c>
      <c r="P15" s="185">
        <f>M15/P$11</f>
        <v>115.17857142857142</v>
      </c>
      <c r="Q15" s="185">
        <f>M15*P$11</f>
        <v>144.48000000000002</v>
      </c>
      <c r="S15">
        <v>0.61</v>
      </c>
      <c r="T15">
        <v>0.76</v>
      </c>
    </row>
    <row r="16" spans="2:20" ht="15" x14ac:dyDescent="0.25">
      <c r="D16" s="160">
        <v>40</v>
      </c>
      <c r="E16" s="99">
        <v>830</v>
      </c>
      <c r="F16" s="99">
        <v>1050</v>
      </c>
      <c r="G16" s="246">
        <f>SUM(E16:F16)/2</f>
        <v>940</v>
      </c>
      <c r="I16" s="99">
        <v>0.55000000000000004</v>
      </c>
      <c r="J16" s="99">
        <v>0.7</v>
      </c>
      <c r="K16" s="99">
        <f>SUM(I16:J16)/2</f>
        <v>0.625</v>
      </c>
      <c r="M16" s="247">
        <v>940</v>
      </c>
      <c r="N16" s="247">
        <v>0.625</v>
      </c>
      <c r="P16" s="185">
        <f>M16/P$11</f>
        <v>839.28571428571422</v>
      </c>
      <c r="Q16" s="185">
        <f>M16*P$11</f>
        <v>1052.8000000000002</v>
      </c>
      <c r="S16">
        <v>0.56000000000000005</v>
      </c>
      <c r="T16">
        <v>0.7</v>
      </c>
    </row>
    <row r="17" spans="4:20" x14ac:dyDescent="0.2">
      <c r="D17" s="160"/>
      <c r="M17" s="160"/>
      <c r="N17" s="160"/>
      <c r="P17" s="160"/>
      <c r="Q17" s="160"/>
    </row>
    <row r="18" spans="4:20" x14ac:dyDescent="0.2">
      <c r="F18" s="221"/>
    </row>
    <row r="19" spans="4:20" ht="15" x14ac:dyDescent="0.25">
      <c r="F19" s="221"/>
      <c r="Q19" s="156">
        <f>P23</f>
        <v>3</v>
      </c>
      <c r="T19" s="156">
        <f>S23</f>
        <v>47</v>
      </c>
    </row>
    <row r="20" spans="4:20" ht="15" x14ac:dyDescent="0.25">
      <c r="F20" s="221"/>
      <c r="P20" s="153">
        <v>63</v>
      </c>
      <c r="Q20">
        <f>-P21</f>
        <v>48</v>
      </c>
      <c r="S20" s="153">
        <v>1060</v>
      </c>
      <c r="T20">
        <f>-S21</f>
        <v>825</v>
      </c>
    </row>
    <row r="21" spans="4:20" ht="15" x14ac:dyDescent="0.25">
      <c r="F21" s="221"/>
      <c r="I21" t="s">
        <v>163</v>
      </c>
      <c r="P21" s="153">
        <v>-48</v>
      </c>
      <c r="Q21">
        <f>Q20+Q$19</f>
        <v>51</v>
      </c>
      <c r="S21" s="153">
        <v>-825</v>
      </c>
      <c r="T21">
        <f>T20+T$19</f>
        <v>872</v>
      </c>
    </row>
    <row r="22" spans="4:20" x14ac:dyDescent="0.2">
      <c r="F22" s="221"/>
      <c r="I22" t="s">
        <v>164</v>
      </c>
      <c r="K22" t="s">
        <v>165</v>
      </c>
      <c r="P22">
        <f>SUM(P20:P21)</f>
        <v>15</v>
      </c>
      <c r="Q22">
        <f>Q21+Q$19</f>
        <v>54</v>
      </c>
      <c r="S22">
        <f>SUM(S20:S21)</f>
        <v>235</v>
      </c>
      <c r="T22">
        <f>T21+T$19</f>
        <v>919</v>
      </c>
    </row>
    <row r="23" spans="4:20" x14ac:dyDescent="0.2">
      <c r="F23" s="221"/>
      <c r="P23">
        <f>P22/5</f>
        <v>3</v>
      </c>
      <c r="Q23">
        <f>Q22+Q$19</f>
        <v>57</v>
      </c>
      <c r="S23">
        <f>S22/5</f>
        <v>47</v>
      </c>
      <c r="T23">
        <f>T22+T$19</f>
        <v>966</v>
      </c>
    </row>
    <row r="24" spans="4:20" x14ac:dyDescent="0.2">
      <c r="F24" s="221"/>
      <c r="I24" t="s">
        <v>123</v>
      </c>
      <c r="J24" t="s">
        <v>166</v>
      </c>
      <c r="K24" t="s">
        <v>170</v>
      </c>
      <c r="Q24">
        <f>Q23+Q$19</f>
        <v>60</v>
      </c>
      <c r="T24">
        <f>T23+T$19</f>
        <v>1013</v>
      </c>
    </row>
    <row r="25" spans="4:20" x14ac:dyDescent="0.2">
      <c r="F25" s="221"/>
      <c r="J25" t="s">
        <v>168</v>
      </c>
      <c r="K25" t="s">
        <v>171</v>
      </c>
      <c r="Q25">
        <f>Q24+Q$19</f>
        <v>63</v>
      </c>
      <c r="T25">
        <f>T24+T$19</f>
        <v>1060</v>
      </c>
    </row>
    <row r="26" spans="4:20" x14ac:dyDescent="0.2">
      <c r="F26" s="221"/>
      <c r="J26" t="s">
        <v>167</v>
      </c>
      <c r="K26" t="s">
        <v>172</v>
      </c>
    </row>
    <row r="27" spans="4:20" x14ac:dyDescent="0.2">
      <c r="J27" t="s">
        <v>169</v>
      </c>
      <c r="K27" t="s">
        <v>173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 codeName="Sheet4">
    <pageSetUpPr fitToPage="1"/>
  </sheetPr>
  <dimension ref="A1:AV124"/>
  <sheetViews>
    <sheetView showGridLines="0" topLeftCell="A43" zoomScale="80" zoomScaleNormal="80" workbookViewId="0">
      <selection activeCell="E66" sqref="E66"/>
    </sheetView>
  </sheetViews>
  <sheetFormatPr defaultRowHeight="15" x14ac:dyDescent="0.25"/>
  <cols>
    <col min="1" max="1" width="10.42578125" style="86" customWidth="1"/>
    <col min="2" max="2" width="12" style="86" customWidth="1"/>
    <col min="3" max="3" width="10.7109375" style="86" customWidth="1"/>
    <col min="4" max="5" width="13.7109375" style="86" customWidth="1"/>
    <col min="6" max="6" width="11.85546875" style="86" customWidth="1"/>
    <col min="7" max="7" width="11.7109375" style="86" customWidth="1"/>
    <col min="8" max="8" width="13.28515625" style="86" customWidth="1"/>
    <col min="9" max="10" width="13.7109375" style="86" customWidth="1"/>
    <col min="11" max="11" width="4.7109375" style="86" customWidth="1"/>
    <col min="12" max="12" width="9.7109375" style="86" customWidth="1"/>
    <col min="13" max="14" width="13.7109375" style="86" customWidth="1"/>
    <col min="15" max="15" width="11.140625" style="86" customWidth="1"/>
    <col min="16" max="16" width="10.28515625" style="86" customWidth="1"/>
    <col min="17" max="17" width="12" style="86" customWidth="1"/>
    <col min="18" max="18" width="13" style="86" customWidth="1"/>
    <col min="19" max="27" width="9.28515625" style="86" customWidth="1"/>
    <col min="28" max="16384" width="9.140625" style="86"/>
  </cols>
  <sheetData>
    <row r="1" spans="2:48" x14ac:dyDescent="0.25">
      <c r="P1" s="100" t="s">
        <v>43</v>
      </c>
      <c r="U1" s="87"/>
    </row>
    <row r="2" spans="2:48" x14ac:dyDescent="0.25">
      <c r="B2" s="86" t="s">
        <v>44</v>
      </c>
      <c r="L2"/>
      <c r="M2"/>
      <c r="N2"/>
      <c r="O2"/>
      <c r="P2"/>
      <c r="Q2"/>
      <c r="R2"/>
      <c r="S2"/>
      <c r="AV2" s="86" t="s">
        <v>22</v>
      </c>
    </row>
    <row r="3" spans="2:48" x14ac:dyDescent="0.25">
      <c r="B3" s="87" t="s">
        <v>45</v>
      </c>
      <c r="L3"/>
      <c r="M3"/>
      <c r="N3"/>
      <c r="O3"/>
      <c r="P3"/>
      <c r="Q3"/>
      <c r="R3"/>
      <c r="S3"/>
    </row>
    <row r="4" spans="2:48" x14ac:dyDescent="0.25">
      <c r="B4" s="87" t="s">
        <v>46</v>
      </c>
      <c r="L4"/>
      <c r="M4"/>
      <c r="N4"/>
      <c r="O4"/>
      <c r="P4"/>
      <c r="Q4"/>
      <c r="R4"/>
      <c r="S4"/>
    </row>
    <row r="5" spans="2:48" x14ac:dyDescent="0.25">
      <c r="B5" s="87" t="s">
        <v>68</v>
      </c>
      <c r="L5"/>
      <c r="M5"/>
      <c r="N5"/>
      <c r="O5"/>
      <c r="P5"/>
      <c r="Q5"/>
      <c r="R5"/>
      <c r="S5"/>
    </row>
    <row r="6" spans="2:48" x14ac:dyDescent="0.25">
      <c r="E6" s="88"/>
      <c r="L6"/>
      <c r="M6"/>
      <c r="N6"/>
      <c r="O6"/>
      <c r="P6"/>
      <c r="Q6"/>
      <c r="R6"/>
      <c r="S6"/>
    </row>
    <row r="7" spans="2:48" x14ac:dyDescent="0.25">
      <c r="C7" s="89">
        <v>2.5150999999999999</v>
      </c>
      <c r="D7" s="96" t="s">
        <v>37</v>
      </c>
      <c r="L7"/>
      <c r="M7"/>
      <c r="N7"/>
      <c r="O7"/>
      <c r="P7"/>
      <c r="Q7"/>
      <c r="R7"/>
      <c r="S7"/>
    </row>
    <row r="8" spans="2:48" x14ac:dyDescent="0.25">
      <c r="C8" s="89">
        <v>4.55</v>
      </c>
      <c r="D8" s="96" t="s">
        <v>1</v>
      </c>
      <c r="E8" s="125" t="s">
        <v>69</v>
      </c>
      <c r="L8"/>
      <c r="M8"/>
      <c r="N8"/>
      <c r="O8"/>
      <c r="P8"/>
      <c r="Q8"/>
      <c r="R8"/>
      <c r="S8"/>
      <c r="X8" s="87"/>
      <c r="Y8" s="87"/>
    </row>
    <row r="9" spans="2:48" x14ac:dyDescent="0.25">
      <c r="C9" s="89">
        <v>85</v>
      </c>
      <c r="D9" s="96" t="s">
        <v>8</v>
      </c>
      <c r="L9"/>
      <c r="M9"/>
      <c r="N9"/>
      <c r="O9"/>
      <c r="P9"/>
      <c r="Q9"/>
      <c r="R9"/>
      <c r="S9"/>
    </row>
    <row r="10" spans="2:48" x14ac:dyDescent="0.25">
      <c r="C10" s="91">
        <f>(C8*2.20462*25.4*12)</f>
        <v>3057.4552007999996</v>
      </c>
      <c r="D10" s="97" t="s">
        <v>49</v>
      </c>
      <c r="L10"/>
      <c r="M10"/>
      <c r="N10"/>
      <c r="O10"/>
      <c r="P10"/>
      <c r="Q10"/>
      <c r="R10"/>
      <c r="S10"/>
      <c r="T10" s="90"/>
      <c r="U10" s="90"/>
      <c r="V10" s="90"/>
    </row>
    <row r="11" spans="2:48" x14ac:dyDescent="0.25">
      <c r="L11"/>
      <c r="M11"/>
      <c r="N11"/>
      <c r="O11"/>
      <c r="P11"/>
      <c r="Q11"/>
      <c r="R11"/>
      <c r="S11"/>
    </row>
    <row r="12" spans="2:48" x14ac:dyDescent="0.25">
      <c r="C12" s="86" t="s">
        <v>48</v>
      </c>
      <c r="L12"/>
      <c r="M12"/>
      <c r="N12"/>
      <c r="O12"/>
      <c r="P12"/>
      <c r="Q12"/>
      <c r="R12"/>
      <c r="S12"/>
    </row>
    <row r="14" spans="2:48" x14ac:dyDescent="0.25">
      <c r="D14" s="151" t="s">
        <v>72</v>
      </c>
    </row>
    <row r="15" spans="2:48" x14ac:dyDescent="0.25">
      <c r="D15" s="149"/>
    </row>
    <row r="16" spans="2:48" x14ac:dyDescent="0.25">
      <c r="G16" s="86" t="s">
        <v>53</v>
      </c>
      <c r="L16" s="86" t="s">
        <v>58</v>
      </c>
    </row>
    <row r="17" spans="3:45" x14ac:dyDescent="0.25">
      <c r="C17" s="86" t="s">
        <v>52</v>
      </c>
      <c r="K17" s="149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</row>
    <row r="18" spans="3:45" x14ac:dyDescent="0.25">
      <c r="C18" s="101"/>
      <c r="D18" s="117" t="s">
        <v>61</v>
      </c>
      <c r="E18" s="101"/>
      <c r="F18" s="101" t="s">
        <v>50</v>
      </c>
      <c r="G18" s="102"/>
      <c r="H18" s="102" t="s">
        <v>51</v>
      </c>
      <c r="I18" s="102"/>
      <c r="J18" s="102"/>
      <c r="K18" s="150" t="s">
        <v>71</v>
      </c>
      <c r="L18" s="101"/>
      <c r="M18" s="118"/>
      <c r="N18" s="101"/>
      <c r="O18" s="101" t="s">
        <v>51</v>
      </c>
      <c r="P18" s="101"/>
      <c r="Q18" s="101" t="s">
        <v>60</v>
      </c>
      <c r="R18" s="115" t="s">
        <v>62</v>
      </c>
      <c r="S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3:45" x14ac:dyDescent="0.25">
      <c r="C19" s="103" t="s">
        <v>9</v>
      </c>
      <c r="D19" s="101" t="s">
        <v>47</v>
      </c>
      <c r="E19" s="104" t="s">
        <v>56</v>
      </c>
      <c r="F19" s="101" t="s">
        <v>51</v>
      </c>
      <c r="G19" s="102" t="s">
        <v>54</v>
      </c>
      <c r="H19" s="102" t="s">
        <v>55</v>
      </c>
      <c r="I19" s="105" t="s">
        <v>57</v>
      </c>
      <c r="J19" s="106" t="s">
        <v>57</v>
      </c>
      <c r="K19" s="114"/>
      <c r="L19" s="103" t="s">
        <v>9</v>
      </c>
      <c r="M19" s="101" t="s">
        <v>47</v>
      </c>
      <c r="N19" s="104" t="s">
        <v>56</v>
      </c>
      <c r="O19" s="104" t="s">
        <v>55</v>
      </c>
      <c r="P19" s="104" t="s">
        <v>59</v>
      </c>
      <c r="Q19" s="104" t="s">
        <v>51</v>
      </c>
      <c r="R19" s="126" t="s">
        <v>63</v>
      </c>
      <c r="S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3:45" x14ac:dyDescent="0.25">
      <c r="C20" s="92">
        <v>1</v>
      </c>
      <c r="D20" s="111">
        <v>1</v>
      </c>
      <c r="E20" s="98">
        <f>(D20*$C$7)*SQRT(4*$C$9*$C$10/32.2)/12</f>
        <v>37.658722644040672</v>
      </c>
      <c r="F20" s="98">
        <f>C20*E20</f>
        <v>37.658722644040672</v>
      </c>
      <c r="G20" s="124">
        <v>16</v>
      </c>
      <c r="H20" s="98">
        <f>F20-G20</f>
        <v>21.658722644040672</v>
      </c>
      <c r="I20" s="98">
        <f>H20/C20</f>
        <v>21.658722644040672</v>
      </c>
      <c r="J20" s="107">
        <f>SQRT(12*32.2*I20^2/(4*$C$9*($C$8*56)*$C$7^2))</f>
        <v>0.57511801435954746</v>
      </c>
      <c r="L20" s="92">
        <v>1</v>
      </c>
      <c r="M20" s="146">
        <v>0.57743333572096223</v>
      </c>
      <c r="N20" s="98">
        <f>(M20*$C$7)*SQRT(4*$C$9*$C$10/32.2)/12</f>
        <v>21.745401835338942</v>
      </c>
      <c r="O20" s="98">
        <f>L20*N20</f>
        <v>21.745401835338942</v>
      </c>
      <c r="P20" s="98">
        <f>$G$20</f>
        <v>16</v>
      </c>
      <c r="Q20" s="98">
        <f>O20+P20</f>
        <v>37.745401835338939</v>
      </c>
      <c r="R20" s="116">
        <f>Q20-F20</f>
        <v>8.6679191298266289E-2</v>
      </c>
      <c r="S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</row>
    <row r="21" spans="3:45" x14ac:dyDescent="0.25">
      <c r="C21" s="92">
        <v>2</v>
      </c>
      <c r="D21" s="112">
        <v>0.87</v>
      </c>
      <c r="E21" s="94">
        <f t="shared" ref="E21:E29" si="0">(D21*$C$7)*SQRT(4*$C$9*$C$10/32.2)/12</f>
        <v>32.763088700315386</v>
      </c>
      <c r="F21" s="94">
        <f t="shared" ref="F21:F29" si="1">C21*E21</f>
        <v>65.526177400630772</v>
      </c>
      <c r="G21" s="123">
        <v>16.326530612244898</v>
      </c>
      <c r="H21" s="94">
        <f>F21-G21</f>
        <v>49.199646788385877</v>
      </c>
      <c r="I21" s="94">
        <f t="shared" ref="I21:I29" si="2">H21/C21</f>
        <v>24.599823394192939</v>
      </c>
      <c r="J21" s="108">
        <f t="shared" ref="J21:J29" si="3">SQRT(12*32.2*I21^2/(4*$C$9*($C$8*56)*$C$7^2))</f>
        <v>0.65321495715983546</v>
      </c>
      <c r="K21" s="95"/>
      <c r="L21" s="92">
        <v>2</v>
      </c>
      <c r="M21" s="147">
        <v>0.6543962435687205</v>
      </c>
      <c r="N21" s="94">
        <f t="shared" ref="N21:N29" si="4">(M21*$C$7)*SQRT(4*$C$9*$C$10/32.2)/12</f>
        <v>24.643726635856535</v>
      </c>
      <c r="O21" s="94">
        <f t="shared" ref="O21:O29" si="5">L21*N21</f>
        <v>49.287453271713069</v>
      </c>
      <c r="P21" s="94">
        <f>$G$21</f>
        <v>16.326530612244898</v>
      </c>
      <c r="Q21" s="94">
        <f t="shared" ref="Q21:Q29" si="6">O21+P21</f>
        <v>65.613983883957971</v>
      </c>
      <c r="R21" s="116">
        <f t="shared" ref="R21:R29" si="7">Q21-F21</f>
        <v>8.7806483327199203E-2</v>
      </c>
      <c r="S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3:45" x14ac:dyDescent="0.25">
      <c r="C22" s="92">
        <v>3</v>
      </c>
      <c r="D22" s="113">
        <v>0.79900000000000004</v>
      </c>
      <c r="E22" s="93">
        <f t="shared" si="0"/>
        <v>30.089319392588497</v>
      </c>
      <c r="F22" s="93">
        <f t="shared" si="1"/>
        <v>90.267958177765493</v>
      </c>
      <c r="G22" s="122">
        <v>16.653061224489797</v>
      </c>
      <c r="H22" s="93">
        <f t="shared" ref="H22:H27" si="8">F22-G22</f>
        <v>73.614896953275689</v>
      </c>
      <c r="I22" s="93">
        <f t="shared" si="2"/>
        <v>24.538298984425229</v>
      </c>
      <c r="J22" s="109">
        <f t="shared" si="3"/>
        <v>0.6515812598748304</v>
      </c>
      <c r="K22" s="95"/>
      <c r="L22" s="92">
        <v>3</v>
      </c>
      <c r="M22" s="148">
        <v>0.65238453463287249</v>
      </c>
      <c r="N22" s="93">
        <f t="shared" si="4"/>
        <v>24.567968247000891</v>
      </c>
      <c r="O22" s="93">
        <f t="shared" si="5"/>
        <v>73.703904741002674</v>
      </c>
      <c r="P22" s="93">
        <f>$G$22</f>
        <v>16.653061224489797</v>
      </c>
      <c r="Q22" s="93">
        <f t="shared" si="6"/>
        <v>90.356965965492464</v>
      </c>
      <c r="R22" s="116">
        <f t="shared" si="7"/>
        <v>8.9007787726970378E-2</v>
      </c>
      <c r="S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</row>
    <row r="23" spans="3:45" x14ac:dyDescent="0.25">
      <c r="C23" s="92">
        <v>4</v>
      </c>
      <c r="D23" s="113">
        <v>0.76</v>
      </c>
      <c r="E23" s="93">
        <f t="shared" si="0"/>
        <v>28.620629209470909</v>
      </c>
      <c r="F23" s="93">
        <f t="shared" si="1"/>
        <v>114.48251683788364</v>
      </c>
      <c r="G23" s="122">
        <v>16.979591836734695</v>
      </c>
      <c r="H23" s="93">
        <f t="shared" si="8"/>
        <v>97.502925001148938</v>
      </c>
      <c r="I23" s="93">
        <f t="shared" si="2"/>
        <v>24.375731250287235</v>
      </c>
      <c r="J23" s="109">
        <f t="shared" si="3"/>
        <v>0.64726449410830911</v>
      </c>
      <c r="K23" s="95"/>
      <c r="L23" s="92">
        <v>4</v>
      </c>
      <c r="M23" s="148">
        <v>0.6478787630409294</v>
      </c>
      <c r="N23" s="93">
        <f t="shared" si="4"/>
        <v>24.398286644322507</v>
      </c>
      <c r="O23" s="93">
        <f t="shared" si="5"/>
        <v>97.593146577290028</v>
      </c>
      <c r="P23" s="93">
        <f>$G$23</f>
        <v>16.979591836734695</v>
      </c>
      <c r="Q23" s="93">
        <f t="shared" si="6"/>
        <v>114.57273841402473</v>
      </c>
      <c r="R23" s="116">
        <f t="shared" si="7"/>
        <v>9.0221576141090054E-2</v>
      </c>
      <c r="S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3:45" x14ac:dyDescent="0.25">
      <c r="C24" s="92">
        <v>5</v>
      </c>
      <c r="D24" s="112">
        <v>0.73799999999999999</v>
      </c>
      <c r="E24" s="94">
        <f t="shared" si="0"/>
        <v>27.792137311302017</v>
      </c>
      <c r="F24" s="94">
        <f t="shared" si="1"/>
        <v>138.9606865565101</v>
      </c>
      <c r="G24" s="123">
        <v>17.306122448979593</v>
      </c>
      <c r="H24" s="94">
        <f>F24-G24</f>
        <v>121.6545641075305</v>
      </c>
      <c r="I24" s="94">
        <f>H24/C24</f>
        <v>24.3309128215061</v>
      </c>
      <c r="J24" s="108">
        <f>SQRT(12*32.2*I24^2/(4*$C$9*($C$8*56)*$C$7^2))</f>
        <v>0.64607440149800399</v>
      </c>
      <c r="K24" s="95"/>
      <c r="L24" s="92">
        <v>5</v>
      </c>
      <c r="M24" s="147">
        <v>0.64657526693537126</v>
      </c>
      <c r="N24" s="94">
        <f>(M24*$C$7)*SQRT(4*$C$9*$C$10/32.2)/12</f>
        <v>24.349198646015708</v>
      </c>
      <c r="O24" s="94">
        <f>L24*N24</f>
        <v>121.74599323007854</v>
      </c>
      <c r="P24" s="94">
        <f>$G$24</f>
        <v>17.306122448979593</v>
      </c>
      <c r="Q24" s="94">
        <f>O24+P24</f>
        <v>139.05211567905815</v>
      </c>
      <c r="R24" s="116">
        <f t="shared" si="7"/>
        <v>9.1429122548049691E-2</v>
      </c>
      <c r="S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5" spans="3:45" x14ac:dyDescent="0.25">
      <c r="C25" s="92">
        <v>10</v>
      </c>
      <c r="D25" s="93">
        <v>0.7</v>
      </c>
      <c r="E25" s="93">
        <f>(D25*$C$7)*SQRT(4*$C$9*$C$10/32.2)/12</f>
        <v>26.361105850828469</v>
      </c>
      <c r="F25" s="93">
        <f>C25*E25</f>
        <v>263.61105850828471</v>
      </c>
      <c r="G25" s="122">
        <v>18.938775510204081</v>
      </c>
      <c r="H25" s="93">
        <f t="shared" si="8"/>
        <v>244.67228299808062</v>
      </c>
      <c r="I25" s="93">
        <f>H25/C25</f>
        <v>24.467228299808063</v>
      </c>
      <c r="J25" s="109">
        <f>SQRT(12*32.2*I25^2/(4*$C$9*($C$8*56)*$C$7^2))</f>
        <v>0.64969407420428271</v>
      </c>
      <c r="K25" s="95"/>
      <c r="L25" s="92">
        <v>10</v>
      </c>
      <c r="M25" s="148">
        <v>0.64996813265114395</v>
      </c>
      <c r="N25" s="93">
        <f t="shared" si="4"/>
        <v>24.476969634974466</v>
      </c>
      <c r="O25" s="93">
        <f t="shared" si="5"/>
        <v>244.76969634974466</v>
      </c>
      <c r="P25" s="93">
        <f>$G$25</f>
        <v>18.938775510204081</v>
      </c>
      <c r="Q25" s="93">
        <f t="shared" si="6"/>
        <v>263.70847185994876</v>
      </c>
      <c r="R25" s="116">
        <f t="shared" si="7"/>
        <v>9.7413351664044967E-2</v>
      </c>
      <c r="S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3:45" x14ac:dyDescent="0.25">
      <c r="C26" s="92">
        <v>20</v>
      </c>
      <c r="D26" s="93">
        <v>0.7</v>
      </c>
      <c r="E26" s="93">
        <f t="shared" si="0"/>
        <v>26.361105850828469</v>
      </c>
      <c r="F26" s="93">
        <f t="shared" si="1"/>
        <v>527.22211701656943</v>
      </c>
      <c r="G26" s="122">
        <v>22.204081632653061</v>
      </c>
      <c r="H26" s="93">
        <f t="shared" si="8"/>
        <v>505.01803538391636</v>
      </c>
      <c r="I26" s="93">
        <f t="shared" si="2"/>
        <v>25.250901769195817</v>
      </c>
      <c r="J26" s="109">
        <f t="shared" si="3"/>
        <v>0.67050346065923849</v>
      </c>
      <c r="K26" s="95"/>
      <c r="L26" s="92">
        <v>20</v>
      </c>
      <c r="M26" s="148">
        <v>0.67066411561084671</v>
      </c>
      <c r="N26" s="93">
        <f t="shared" si="4"/>
        <v>25.256353917099705</v>
      </c>
      <c r="O26" s="93">
        <f t="shared" si="5"/>
        <v>505.12707834199409</v>
      </c>
      <c r="P26" s="93">
        <f>$G$26</f>
        <v>22.204081632653061</v>
      </c>
      <c r="Q26" s="93">
        <f t="shared" si="6"/>
        <v>527.33115997464711</v>
      </c>
      <c r="R26" s="116">
        <f t="shared" si="7"/>
        <v>0.10904295807767994</v>
      </c>
      <c r="S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3:45" x14ac:dyDescent="0.25">
      <c r="C27" s="92">
        <v>30</v>
      </c>
      <c r="D27" s="93">
        <v>0.7</v>
      </c>
      <c r="E27" s="93">
        <f t="shared" si="0"/>
        <v>26.361105850828469</v>
      </c>
      <c r="F27" s="93">
        <f t="shared" si="1"/>
        <v>790.83317552485403</v>
      </c>
      <c r="G27" s="122">
        <v>25.469387755102041</v>
      </c>
      <c r="H27" s="93">
        <f t="shared" si="8"/>
        <v>765.36378776975198</v>
      </c>
      <c r="I27" s="93">
        <f t="shared" si="2"/>
        <v>25.512126258991731</v>
      </c>
      <c r="J27" s="109">
        <f t="shared" si="3"/>
        <v>0.67743992281089027</v>
      </c>
      <c r="K27" s="95"/>
      <c r="L27" s="92">
        <v>30</v>
      </c>
      <c r="M27" s="148">
        <v>0.67756277659741437</v>
      </c>
      <c r="N27" s="93">
        <f t="shared" si="4"/>
        <v>25.516148677808122</v>
      </c>
      <c r="O27" s="93">
        <f t="shared" si="5"/>
        <v>765.48446033424364</v>
      </c>
      <c r="P27" s="93">
        <f>$G$27</f>
        <v>25.469387755102041</v>
      </c>
      <c r="Q27" s="93">
        <f t="shared" si="6"/>
        <v>790.95384808934568</v>
      </c>
      <c r="R27" s="116">
        <f t="shared" si="7"/>
        <v>0.12067256449165598</v>
      </c>
      <c r="S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3:45" x14ac:dyDescent="0.25">
      <c r="C28" s="92">
        <v>40</v>
      </c>
      <c r="D28" s="94">
        <v>0.7</v>
      </c>
      <c r="E28" s="94">
        <f>(D28*$C$7)*SQRT(4*$C$9*$C$10/32.2)/12</f>
        <v>26.361105850828469</v>
      </c>
      <c r="F28" s="94">
        <f>C28*E28</f>
        <v>1054.4442340331389</v>
      </c>
      <c r="G28" s="123">
        <v>28.73469387755102</v>
      </c>
      <c r="H28" s="94">
        <f>F28-G28</f>
        <v>1025.7095401555878</v>
      </c>
      <c r="I28" s="94">
        <f>H28/C28</f>
        <v>25.642738503889696</v>
      </c>
      <c r="J28" s="108">
        <f t="shared" si="3"/>
        <v>0.68090815388671644</v>
      </c>
      <c r="K28" s="95"/>
      <c r="L28" s="92">
        <v>40</v>
      </c>
      <c r="M28" s="147">
        <v>0.68101210709069804</v>
      </c>
      <c r="N28" s="94">
        <f t="shared" si="4"/>
        <v>25.646046058162323</v>
      </c>
      <c r="O28" s="94">
        <f t="shared" si="5"/>
        <v>1025.841842326493</v>
      </c>
      <c r="P28" s="94">
        <f>$G$28</f>
        <v>28.73469387755102</v>
      </c>
      <c r="Q28" s="94">
        <f t="shared" si="6"/>
        <v>1054.576536204044</v>
      </c>
      <c r="R28" s="116">
        <f t="shared" si="7"/>
        <v>0.13230217090517726</v>
      </c>
      <c r="S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3:45" x14ac:dyDescent="0.25">
      <c r="C29" s="92">
        <v>50</v>
      </c>
      <c r="D29" s="93">
        <v>0.7</v>
      </c>
      <c r="E29" s="93">
        <f t="shared" si="0"/>
        <v>26.361105850828469</v>
      </c>
      <c r="F29" s="93">
        <f t="shared" si="1"/>
        <v>1318.0552925414236</v>
      </c>
      <c r="G29" s="122">
        <v>32</v>
      </c>
      <c r="H29" s="93">
        <f>F29-G29</f>
        <v>1286.0552925414236</v>
      </c>
      <c r="I29" s="93">
        <f t="shared" si="2"/>
        <v>25.721105850828472</v>
      </c>
      <c r="J29" s="109">
        <f t="shared" si="3"/>
        <v>0.68298909253221196</v>
      </c>
      <c r="K29" s="95"/>
      <c r="L29" s="92">
        <v>50</v>
      </c>
      <c r="M29" s="148">
        <v>0.68308170538666846</v>
      </c>
      <c r="N29" s="93">
        <f t="shared" si="4"/>
        <v>25.723984486374857</v>
      </c>
      <c r="O29" s="93">
        <f t="shared" si="5"/>
        <v>1286.1992243187428</v>
      </c>
      <c r="P29" s="93">
        <f>$G$29</f>
        <v>32</v>
      </c>
      <c r="Q29" s="93">
        <f t="shared" si="6"/>
        <v>1318.1992243187428</v>
      </c>
      <c r="R29" s="116">
        <f t="shared" si="7"/>
        <v>0.14393177731926698</v>
      </c>
      <c r="S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3:45" x14ac:dyDescent="0.25">
      <c r="S30"/>
    </row>
    <row r="31" spans="3:45" x14ac:dyDescent="0.25">
      <c r="S31"/>
    </row>
    <row r="32" spans="3:45" x14ac:dyDescent="0.25">
      <c r="S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45" x14ac:dyDescent="0.25">
      <c r="C33" s="101"/>
      <c r="D33" s="117" t="s">
        <v>64</v>
      </c>
      <c r="E33" s="101"/>
      <c r="F33" s="101" t="s">
        <v>50</v>
      </c>
      <c r="G33" s="102"/>
      <c r="H33" s="102" t="s">
        <v>51</v>
      </c>
      <c r="I33" s="102"/>
      <c r="J33" s="102"/>
      <c r="K33" s="150" t="s">
        <v>71</v>
      </c>
      <c r="L33" s="101"/>
      <c r="M33" s="118"/>
      <c r="N33" s="101"/>
      <c r="O33" s="101" t="s">
        <v>51</v>
      </c>
      <c r="P33" s="101"/>
      <c r="Q33" s="101" t="s">
        <v>60</v>
      </c>
      <c r="R33" s="115" t="s">
        <v>62</v>
      </c>
      <c r="S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</row>
    <row r="34" spans="1:45" x14ac:dyDescent="0.25">
      <c r="C34" s="103" t="s">
        <v>9</v>
      </c>
      <c r="D34" s="101" t="s">
        <v>47</v>
      </c>
      <c r="E34" s="104" t="s">
        <v>56</v>
      </c>
      <c r="F34" s="101" t="s">
        <v>51</v>
      </c>
      <c r="G34" s="102" t="s">
        <v>54</v>
      </c>
      <c r="H34" s="102" t="s">
        <v>55</v>
      </c>
      <c r="I34" s="105" t="s">
        <v>57</v>
      </c>
      <c r="J34" s="106" t="s">
        <v>57</v>
      </c>
      <c r="K34" s="114"/>
      <c r="L34" s="103" t="s">
        <v>9</v>
      </c>
      <c r="M34" s="101" t="s">
        <v>47</v>
      </c>
      <c r="N34" s="104" t="s">
        <v>56</v>
      </c>
      <c r="O34" s="104" t="s">
        <v>55</v>
      </c>
      <c r="P34" s="104" t="s">
        <v>59</v>
      </c>
      <c r="Q34" s="104" t="s">
        <v>51</v>
      </c>
      <c r="R34" s="126" t="s">
        <v>63</v>
      </c>
      <c r="S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45" x14ac:dyDescent="0.25">
      <c r="B35" s="111">
        <v>0.92510000000000003</v>
      </c>
      <c r="C35" s="92">
        <v>1</v>
      </c>
      <c r="D35" s="111">
        <v>0.92510000000000003</v>
      </c>
      <c r="E35" s="98">
        <f t="shared" ref="E35:E44" si="9">(D35*$C$7)*SQRT(4*$C$9*$C$10/32.2)/12</f>
        <v>34.838084318002032</v>
      </c>
      <c r="F35" s="98">
        <f>C35*E35</f>
        <v>34.838084318002032</v>
      </c>
      <c r="G35" s="98">
        <f>$G$20</f>
        <v>16</v>
      </c>
      <c r="H35" s="98">
        <f>F35-G35</f>
        <v>18.838084318002032</v>
      </c>
      <c r="I35" s="98">
        <f>H35/C35</f>
        <v>18.838084318002032</v>
      </c>
      <c r="J35" s="107">
        <f>SQRT(12*32.2*I35^2/(4*$C$9*($C$8*56)*$C$7^2))</f>
        <v>0.50021978790554544</v>
      </c>
      <c r="L35" s="92">
        <v>1</v>
      </c>
      <c r="M35" s="146">
        <v>0.50253510926696021</v>
      </c>
      <c r="N35" s="98">
        <f t="shared" ref="N35:N44" si="10">(M35*$C$7)*SQRT(4*$C$9*$C$10/32.2)/12</f>
        <v>18.924830298777128</v>
      </c>
      <c r="O35" s="98">
        <f>L35*N35</f>
        <v>18.924830298777128</v>
      </c>
      <c r="P35" s="98">
        <f>$G$20</f>
        <v>16</v>
      </c>
      <c r="Q35" s="98">
        <f>O35+P35</f>
        <v>34.924830298777124</v>
      </c>
      <c r="R35" s="116">
        <f>Q35-F35</f>
        <v>8.674598077509188E-2</v>
      </c>
      <c r="S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5" x14ac:dyDescent="0.25">
      <c r="B36" s="112">
        <v>0.81499999999999995</v>
      </c>
      <c r="C36" s="92">
        <v>2</v>
      </c>
      <c r="D36" s="112">
        <v>0.82750000000000001</v>
      </c>
      <c r="E36" s="94">
        <f t="shared" si="9"/>
        <v>31.162592987943654</v>
      </c>
      <c r="F36" s="94">
        <f t="shared" ref="F36:F44" si="11">C36*E36</f>
        <v>62.325185975887308</v>
      </c>
      <c r="G36" s="94">
        <f>$G$21</f>
        <v>16.326530612244898</v>
      </c>
      <c r="H36" s="94">
        <f t="shared" ref="H36:H44" si="12">F36-G36</f>
        <v>45.998655363642413</v>
      </c>
      <c r="I36" s="94">
        <f t="shared" ref="I36:I44" si="13">H36/C36</f>
        <v>22.999327681821207</v>
      </c>
      <c r="J36" s="108">
        <f t="shared" ref="J36:J44" si="14">SQRT(12*32.2*I36^2/(4*$C$9*($C$8*56)*$C$7^2))</f>
        <v>0.61071596351103574</v>
      </c>
      <c r="K36" s="95"/>
      <c r="L36" s="92">
        <v>2</v>
      </c>
      <c r="M36" s="147">
        <v>0.61189724991992078</v>
      </c>
      <c r="N36" s="94">
        <f t="shared" si="10"/>
        <v>23.043268821385539</v>
      </c>
      <c r="O36" s="94">
        <f t="shared" ref="O36:O44" si="15">L36*N36</f>
        <v>46.086537642771077</v>
      </c>
      <c r="P36" s="94">
        <f>$G$21</f>
        <v>16.326530612244898</v>
      </c>
      <c r="Q36" s="94">
        <f t="shared" ref="Q36:Q44" si="16">O36+P36</f>
        <v>62.413068255015972</v>
      </c>
      <c r="R36" s="116">
        <f t="shared" ref="R36:R44" si="17">Q36-F36</f>
        <v>8.7882279128663754E-2</v>
      </c>
      <c r="S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 x14ac:dyDescent="0.25">
      <c r="B37" s="113">
        <v>0.74</v>
      </c>
      <c r="C37" s="92">
        <v>3</v>
      </c>
      <c r="D37" s="113">
        <v>0.77429999999999999</v>
      </c>
      <c r="E37" s="93">
        <f t="shared" si="9"/>
        <v>29.159148943280695</v>
      </c>
      <c r="F37" s="93">
        <f t="shared" si="11"/>
        <v>87.47744682984208</v>
      </c>
      <c r="G37" s="93">
        <f>$G$22</f>
        <v>16.653061224489797</v>
      </c>
      <c r="H37" s="93">
        <f t="shared" si="12"/>
        <v>70.82438560535229</v>
      </c>
      <c r="I37" s="93">
        <f t="shared" si="13"/>
        <v>23.60812853511743</v>
      </c>
      <c r="J37" s="109">
        <f t="shared" si="14"/>
        <v>0.62688184474246933</v>
      </c>
      <c r="K37" s="95"/>
      <c r="L37" s="92">
        <v>3</v>
      </c>
      <c r="M37" s="148">
        <v>0.62768511950051098</v>
      </c>
      <c r="N37" s="93">
        <f t="shared" si="10"/>
        <v>23.637819823061267</v>
      </c>
      <c r="O37" s="93">
        <f t="shared" si="15"/>
        <v>70.913459469183806</v>
      </c>
      <c r="P37" s="93">
        <f>$G$22</f>
        <v>16.653061224489797</v>
      </c>
      <c r="Q37" s="93">
        <f t="shared" si="16"/>
        <v>87.566520693673596</v>
      </c>
      <c r="R37" s="116">
        <f t="shared" si="17"/>
        <v>8.9073863831515609E-2</v>
      </c>
      <c r="S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 x14ac:dyDescent="0.25">
      <c r="B38" s="113">
        <v>0.70499999999999996</v>
      </c>
      <c r="C38" s="92">
        <v>4</v>
      </c>
      <c r="D38" s="113">
        <v>0.745</v>
      </c>
      <c r="E38" s="93">
        <f t="shared" si="9"/>
        <v>28.055748369810303</v>
      </c>
      <c r="F38" s="93">
        <f t="shared" si="11"/>
        <v>112.22299347924121</v>
      </c>
      <c r="G38" s="93">
        <f>$G$23</f>
        <v>16.979591836734695</v>
      </c>
      <c r="H38" s="93">
        <f t="shared" si="12"/>
        <v>95.243401642506512</v>
      </c>
      <c r="I38" s="93">
        <f t="shared" si="13"/>
        <v>23.810850410626628</v>
      </c>
      <c r="J38" s="109">
        <f t="shared" si="14"/>
        <v>0.63226484929108584</v>
      </c>
      <c r="K38" s="95"/>
      <c r="L38" s="92">
        <v>4</v>
      </c>
      <c r="M38" s="148">
        <v>0.63287911822370602</v>
      </c>
      <c r="N38" s="93">
        <f t="shared" si="10"/>
        <v>23.833419180391573</v>
      </c>
      <c r="O38" s="93">
        <f t="shared" si="15"/>
        <v>95.333676721566292</v>
      </c>
      <c r="P38" s="93">
        <f>$G$23</f>
        <v>16.979591836734695</v>
      </c>
      <c r="Q38" s="93">
        <f t="shared" si="16"/>
        <v>112.31326855830099</v>
      </c>
      <c r="R38" s="116">
        <f t="shared" si="17"/>
        <v>9.0275079059779273E-2</v>
      </c>
      <c r="S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 x14ac:dyDescent="0.25">
      <c r="B39" s="112">
        <f>0.7285-0.05</f>
        <v>0.67849999999999999</v>
      </c>
      <c r="C39" s="92">
        <v>5</v>
      </c>
      <c r="D39" s="112">
        <v>0.72850000000000004</v>
      </c>
      <c r="E39" s="94">
        <f t="shared" si="9"/>
        <v>27.43437944618363</v>
      </c>
      <c r="F39" s="94">
        <f t="shared" si="11"/>
        <v>137.17189723091815</v>
      </c>
      <c r="G39" s="94">
        <f>$G$24</f>
        <v>17.306122448979593</v>
      </c>
      <c r="H39" s="94">
        <f t="shared" si="12"/>
        <v>119.86577478193855</v>
      </c>
      <c r="I39" s="94">
        <f t="shared" si="13"/>
        <v>23.97315495638771</v>
      </c>
      <c r="J39" s="108">
        <f t="shared" si="14"/>
        <v>0.63657462644709562</v>
      </c>
      <c r="K39" s="95"/>
      <c r="L39" s="92">
        <v>5</v>
      </c>
      <c r="M39" s="147">
        <v>0.63707549188446311</v>
      </c>
      <c r="N39" s="94">
        <f t="shared" si="10"/>
        <v>23.99144925219278</v>
      </c>
      <c r="O39" s="94">
        <f t="shared" si="15"/>
        <v>119.9572462609639</v>
      </c>
      <c r="P39" s="94">
        <f>$G$24</f>
        <v>17.306122448979593</v>
      </c>
      <c r="Q39" s="94">
        <f t="shared" si="16"/>
        <v>137.26336870994351</v>
      </c>
      <c r="R39" s="116">
        <f t="shared" si="17"/>
        <v>9.1471479025358349E-2</v>
      </c>
      <c r="S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45" x14ac:dyDescent="0.25">
      <c r="B40" s="154">
        <v>0.64</v>
      </c>
      <c r="C40" s="92">
        <v>10</v>
      </c>
      <c r="D40" s="93">
        <v>0.7</v>
      </c>
      <c r="E40" s="93">
        <f t="shared" si="9"/>
        <v>26.361105850828469</v>
      </c>
      <c r="F40" s="93">
        <f t="shared" si="11"/>
        <v>263.61105850828471</v>
      </c>
      <c r="G40" s="93">
        <f>$G$25</f>
        <v>18.938775510204081</v>
      </c>
      <c r="H40" s="93">
        <f t="shared" si="12"/>
        <v>244.67228299808062</v>
      </c>
      <c r="I40" s="93">
        <f t="shared" si="13"/>
        <v>24.467228299808063</v>
      </c>
      <c r="J40" s="109">
        <f t="shared" si="14"/>
        <v>0.64969407420428271</v>
      </c>
      <c r="K40" s="95"/>
      <c r="L40" s="92">
        <v>10</v>
      </c>
      <c r="M40" s="148">
        <v>0.64996813265114395</v>
      </c>
      <c r="N40" s="93">
        <f t="shared" si="10"/>
        <v>24.476969634974466</v>
      </c>
      <c r="O40" s="93">
        <f t="shared" si="15"/>
        <v>244.76969634974466</v>
      </c>
      <c r="P40" s="93">
        <f>$G$25</f>
        <v>18.938775510204081</v>
      </c>
      <c r="Q40" s="93">
        <f t="shared" si="16"/>
        <v>263.70847185994876</v>
      </c>
      <c r="R40" s="116">
        <f t="shared" si="17"/>
        <v>9.7413351664044967E-2</v>
      </c>
      <c r="S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</row>
    <row r="41" spans="1:45" x14ac:dyDescent="0.25">
      <c r="B41" s="154">
        <v>0.65</v>
      </c>
      <c r="C41" s="92">
        <v>20</v>
      </c>
      <c r="D41" s="93">
        <v>0.7</v>
      </c>
      <c r="E41" s="93">
        <f t="shared" si="9"/>
        <v>26.361105850828469</v>
      </c>
      <c r="F41" s="93">
        <f t="shared" si="11"/>
        <v>527.22211701656943</v>
      </c>
      <c r="G41" s="93">
        <f>$G$26</f>
        <v>22.204081632653061</v>
      </c>
      <c r="H41" s="93">
        <f t="shared" si="12"/>
        <v>505.01803538391636</v>
      </c>
      <c r="I41" s="93">
        <f t="shared" si="13"/>
        <v>25.250901769195817</v>
      </c>
      <c r="J41" s="109">
        <f t="shared" si="14"/>
        <v>0.67050346065923849</v>
      </c>
      <c r="K41" s="95"/>
      <c r="L41" s="92">
        <v>20</v>
      </c>
      <c r="M41" s="148">
        <v>0.67066411561084671</v>
      </c>
      <c r="N41" s="93">
        <f t="shared" si="10"/>
        <v>25.256353917099705</v>
      </c>
      <c r="O41" s="93">
        <f t="shared" si="15"/>
        <v>505.12707834199409</v>
      </c>
      <c r="P41" s="93">
        <f>$G$26</f>
        <v>22.204081632653061</v>
      </c>
      <c r="Q41" s="93">
        <f t="shared" si="16"/>
        <v>527.33115997464711</v>
      </c>
      <c r="R41" s="116">
        <f t="shared" si="17"/>
        <v>0.10904295807767994</v>
      </c>
      <c r="S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</row>
    <row r="42" spans="1:45" x14ac:dyDescent="0.25">
      <c r="B42" s="154">
        <v>0.66500000000000004</v>
      </c>
      <c r="C42" s="92">
        <v>30</v>
      </c>
      <c r="D42" s="93">
        <v>0.7</v>
      </c>
      <c r="E42" s="93">
        <f t="shared" si="9"/>
        <v>26.361105850828469</v>
      </c>
      <c r="F42" s="93">
        <f t="shared" si="11"/>
        <v>790.83317552485403</v>
      </c>
      <c r="G42" s="93">
        <f>$G$27</f>
        <v>25.469387755102041</v>
      </c>
      <c r="H42" s="93">
        <f t="shared" si="12"/>
        <v>765.36378776975198</v>
      </c>
      <c r="I42" s="93">
        <f t="shared" si="13"/>
        <v>25.512126258991731</v>
      </c>
      <c r="J42" s="109">
        <f t="shared" si="14"/>
        <v>0.67743992281089027</v>
      </c>
      <c r="K42" s="95"/>
      <c r="L42" s="92">
        <v>30</v>
      </c>
      <c r="M42" s="148">
        <v>0.67756277659741437</v>
      </c>
      <c r="N42" s="93">
        <f t="shared" si="10"/>
        <v>25.516148677808122</v>
      </c>
      <c r="O42" s="93">
        <f t="shared" si="15"/>
        <v>765.48446033424364</v>
      </c>
      <c r="P42" s="93">
        <f>$G$27</f>
        <v>25.469387755102041</v>
      </c>
      <c r="Q42" s="93">
        <f t="shared" si="16"/>
        <v>790.95384808934568</v>
      </c>
      <c r="R42" s="116">
        <f t="shared" si="17"/>
        <v>0.12067256449165598</v>
      </c>
      <c r="S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</row>
    <row r="43" spans="1:45" x14ac:dyDescent="0.25">
      <c r="B43" s="155">
        <v>0.68</v>
      </c>
      <c r="C43" s="92">
        <v>40</v>
      </c>
      <c r="D43" s="94">
        <v>0.7</v>
      </c>
      <c r="E43" s="94">
        <f t="shared" si="9"/>
        <v>26.361105850828469</v>
      </c>
      <c r="F43" s="94">
        <f t="shared" si="11"/>
        <v>1054.4442340331389</v>
      </c>
      <c r="G43" s="94">
        <f>$G$28</f>
        <v>28.73469387755102</v>
      </c>
      <c r="H43" s="94">
        <f t="shared" si="12"/>
        <v>1025.7095401555878</v>
      </c>
      <c r="I43" s="94">
        <f t="shared" si="13"/>
        <v>25.642738503889696</v>
      </c>
      <c r="J43" s="108">
        <f t="shared" si="14"/>
        <v>0.68090815388671644</v>
      </c>
      <c r="K43" s="95"/>
      <c r="L43" s="92">
        <v>40</v>
      </c>
      <c r="M43" s="147">
        <v>0.68101210709069804</v>
      </c>
      <c r="N43" s="94">
        <f t="shared" si="10"/>
        <v>25.646046058162323</v>
      </c>
      <c r="O43" s="94">
        <f t="shared" si="15"/>
        <v>1025.841842326493</v>
      </c>
      <c r="P43" s="94">
        <f>$G$28</f>
        <v>28.73469387755102</v>
      </c>
      <c r="Q43" s="94">
        <f t="shared" si="16"/>
        <v>1054.576536204044</v>
      </c>
      <c r="R43" s="116">
        <f t="shared" si="17"/>
        <v>0.13230217090517726</v>
      </c>
      <c r="S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</row>
    <row r="44" spans="1:45" x14ac:dyDescent="0.25">
      <c r="B44" s="154">
        <v>0.7</v>
      </c>
      <c r="C44" s="92">
        <v>50</v>
      </c>
      <c r="D44" s="93">
        <v>0.7</v>
      </c>
      <c r="E44" s="93">
        <f t="shared" si="9"/>
        <v>26.361105850828469</v>
      </c>
      <c r="F44" s="93">
        <f t="shared" si="11"/>
        <v>1318.0552925414236</v>
      </c>
      <c r="G44" s="93">
        <f>$G$29</f>
        <v>32</v>
      </c>
      <c r="H44" s="93">
        <f t="shared" si="12"/>
        <v>1286.0552925414236</v>
      </c>
      <c r="I44" s="93">
        <f t="shared" si="13"/>
        <v>25.721105850828472</v>
      </c>
      <c r="J44" s="109">
        <f t="shared" si="14"/>
        <v>0.68298909253221196</v>
      </c>
      <c r="K44" s="95"/>
      <c r="L44" s="92">
        <v>50</v>
      </c>
      <c r="M44" s="148">
        <v>0.68308170538666846</v>
      </c>
      <c r="N44" s="93">
        <f t="shared" si="10"/>
        <v>25.723984486374857</v>
      </c>
      <c r="O44" s="93">
        <f t="shared" si="15"/>
        <v>1286.1992243187428</v>
      </c>
      <c r="P44" s="93">
        <f>$G$29</f>
        <v>32</v>
      </c>
      <c r="Q44" s="93">
        <f t="shared" si="16"/>
        <v>1318.1992243187428</v>
      </c>
      <c r="R44" s="116">
        <f t="shared" si="17"/>
        <v>0.14393177731926698</v>
      </c>
      <c r="S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</row>
    <row r="45" spans="1:45" x14ac:dyDescent="0.25">
      <c r="K45" s="110"/>
      <c r="S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</row>
    <row r="46" spans="1:45" x14ac:dyDescent="0.25">
      <c r="K46" s="110"/>
      <c r="S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</row>
    <row r="47" spans="1:45" x14ac:dyDescent="0.25">
      <c r="A47" s="156" t="s">
        <v>74</v>
      </c>
      <c r="B47" s="156" t="s">
        <v>75</v>
      </c>
      <c r="K47" s="110"/>
      <c r="S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</row>
    <row r="48" spans="1:45" x14ac:dyDescent="0.25">
      <c r="A48" s="156"/>
      <c r="B48" s="156" t="s">
        <v>76</v>
      </c>
      <c r="K48" s="110"/>
      <c r="S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</row>
    <row r="49" spans="1:45" x14ac:dyDescent="0.25">
      <c r="A49" s="156"/>
      <c r="B49" s="156" t="s">
        <v>77</v>
      </c>
      <c r="K49" s="110"/>
      <c r="S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</row>
    <row r="50" spans="1:45" x14ac:dyDescent="0.25">
      <c r="K50" s="110"/>
      <c r="S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</row>
    <row r="51" spans="1:45" x14ac:dyDescent="0.25">
      <c r="B51" s="153">
        <v>0.77</v>
      </c>
      <c r="C51" s="101"/>
      <c r="D51" s="117" t="s">
        <v>73</v>
      </c>
      <c r="E51" s="101"/>
      <c r="F51" s="101" t="s">
        <v>50</v>
      </c>
      <c r="G51" s="102"/>
      <c r="H51" s="102" t="s">
        <v>51</v>
      </c>
      <c r="I51" s="102"/>
      <c r="J51" s="102"/>
      <c r="K51" s="150" t="s">
        <v>71</v>
      </c>
      <c r="L51" s="101"/>
      <c r="M51" s="118"/>
      <c r="N51" s="101"/>
      <c r="O51" s="101" t="s">
        <v>51</v>
      </c>
      <c r="P51" s="101"/>
      <c r="Q51" s="101" t="s">
        <v>60</v>
      </c>
      <c r="R51" s="115" t="s">
        <v>62</v>
      </c>
      <c r="S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</row>
    <row r="52" spans="1:45" x14ac:dyDescent="0.25">
      <c r="C52" s="103" t="s">
        <v>9</v>
      </c>
      <c r="D52" s="101" t="s">
        <v>47</v>
      </c>
      <c r="E52" s="104" t="s">
        <v>56</v>
      </c>
      <c r="F52" s="101" t="s">
        <v>51</v>
      </c>
      <c r="G52" s="102" t="s">
        <v>54</v>
      </c>
      <c r="H52" s="102" t="s">
        <v>55</v>
      </c>
      <c r="I52" s="105" t="s">
        <v>57</v>
      </c>
      <c r="J52" s="106" t="s">
        <v>57</v>
      </c>
      <c r="K52" s="114"/>
      <c r="L52" s="103" t="s">
        <v>9</v>
      </c>
      <c r="M52" s="101" t="s">
        <v>47</v>
      </c>
      <c r="N52" s="104" t="s">
        <v>56</v>
      </c>
      <c r="O52" s="104" t="s">
        <v>55</v>
      </c>
      <c r="P52" s="104" t="s">
        <v>59</v>
      </c>
      <c r="Q52" s="104" t="s">
        <v>51</v>
      </c>
      <c r="R52" s="126" t="s">
        <v>63</v>
      </c>
      <c r="S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</row>
    <row r="53" spans="1:45" x14ac:dyDescent="0.25">
      <c r="A53" s="86">
        <v>32</v>
      </c>
      <c r="B53" s="152">
        <f>A53/$B$51</f>
        <v>41.558441558441558</v>
      </c>
      <c r="C53" s="92">
        <v>1</v>
      </c>
      <c r="D53" s="111">
        <v>0.92510000000000003</v>
      </c>
      <c r="E53" s="98">
        <f t="shared" ref="E53:E62" si="18">(D53*$C$7)*SQRT(4*$C$9*$C$10/32.2)/12</f>
        <v>34.838084318002032</v>
      </c>
      <c r="F53" s="157">
        <f>C53*E53</f>
        <v>34.838084318002032</v>
      </c>
      <c r="G53" s="98">
        <f>$G$20</f>
        <v>16</v>
      </c>
      <c r="H53" s="98">
        <f>F53-G53</f>
        <v>18.838084318002032</v>
      </c>
      <c r="I53" s="98">
        <f>H53/C53</f>
        <v>18.838084318002032</v>
      </c>
      <c r="J53" s="107">
        <f>SQRT(12*32.2*I53^2/(4*$C$9*($C$8*56)*$C$7^2))</f>
        <v>0.50021978790554544</v>
      </c>
      <c r="L53" s="92">
        <v>1</v>
      </c>
      <c r="M53" s="146">
        <v>0.50253510926696021</v>
      </c>
      <c r="N53" s="98">
        <f t="shared" ref="N53:N62" si="19">(M53*$C$7)*SQRT(4*$C$9*$C$10/32.2)/12</f>
        <v>18.924830298777128</v>
      </c>
      <c r="O53" s="98">
        <f>L53*N53</f>
        <v>18.924830298777128</v>
      </c>
      <c r="P53" s="98">
        <f>$G$20</f>
        <v>16</v>
      </c>
      <c r="Q53" s="98">
        <f>O53+P53</f>
        <v>34.924830298777124</v>
      </c>
      <c r="R53" s="116">
        <f>Q53-F53</f>
        <v>8.674598077509188E-2</v>
      </c>
      <c r="S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</row>
    <row r="54" spans="1:45" x14ac:dyDescent="0.25">
      <c r="A54" s="86">
        <v>52</v>
      </c>
      <c r="B54" s="152">
        <f t="shared" ref="B54:B62" si="20">A54/$B$51</f>
        <v>67.532467532467535</v>
      </c>
      <c r="C54" s="92">
        <v>2</v>
      </c>
      <c r="D54" s="112">
        <v>0.81499999999999995</v>
      </c>
      <c r="E54" s="94">
        <f t="shared" si="18"/>
        <v>30.691858954893149</v>
      </c>
      <c r="F54" s="158">
        <f t="shared" ref="F54:F62" si="21">C54*E54</f>
        <v>61.383717909786299</v>
      </c>
      <c r="G54" s="94">
        <f>$G$21</f>
        <v>16.326530612244898</v>
      </c>
      <c r="H54" s="94">
        <f t="shared" ref="H54:H62" si="22">F54-G54</f>
        <v>45.057187297541404</v>
      </c>
      <c r="I54" s="94">
        <f t="shared" ref="I54:I62" si="23">H54/C54</f>
        <v>22.528593648770702</v>
      </c>
      <c r="J54" s="108">
        <f t="shared" ref="J54:J62" si="24">SQRT(12*32.2*I54^2/(4*$C$9*($C$8*56)*$C$7^2))</f>
        <v>0.598216259496683</v>
      </c>
      <c r="K54" s="95"/>
      <c r="L54" s="92">
        <v>2</v>
      </c>
      <c r="M54" s="147">
        <v>0.59939754590556793</v>
      </c>
      <c r="N54" s="94">
        <f t="shared" si="19"/>
        <v>22.572545934776418</v>
      </c>
      <c r="O54" s="94">
        <f t="shared" ref="O54:O62" si="25">L54*N54</f>
        <v>45.145091869552836</v>
      </c>
      <c r="P54" s="94">
        <f>$G$21</f>
        <v>16.326530612244898</v>
      </c>
      <c r="Q54" s="94">
        <f t="shared" ref="Q54:Q62" si="26">O54+P54</f>
        <v>61.471622481797738</v>
      </c>
      <c r="R54" s="116">
        <f t="shared" ref="R54:R62" si="27">Q54-F54</f>
        <v>8.7904572011439086E-2</v>
      </c>
      <c r="S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</row>
    <row r="55" spans="1:45" x14ac:dyDescent="0.25">
      <c r="A55" s="86">
        <v>70</v>
      </c>
      <c r="B55" s="152">
        <f>A55/$B$51</f>
        <v>90.909090909090907</v>
      </c>
      <c r="C55" s="92">
        <v>3</v>
      </c>
      <c r="D55" s="113">
        <v>0.74</v>
      </c>
      <c r="E55" s="93">
        <f t="shared" si="18"/>
        <v>27.867454756590096</v>
      </c>
      <c r="F55" s="91">
        <f t="shared" si="21"/>
        <v>83.602364269770291</v>
      </c>
      <c r="G55" s="93">
        <f>$G$22</f>
        <v>16.653061224489797</v>
      </c>
      <c r="H55" s="93">
        <f t="shared" si="22"/>
        <v>66.949303045280487</v>
      </c>
      <c r="I55" s="93">
        <f t="shared" si="23"/>
        <v>22.316434348426828</v>
      </c>
      <c r="J55" s="109">
        <f t="shared" si="24"/>
        <v>0.59258265692708489</v>
      </c>
      <c r="K55" s="95"/>
      <c r="L55" s="92">
        <v>3</v>
      </c>
      <c r="M55" s="148">
        <v>0.59338593168512677</v>
      </c>
      <c r="N55" s="93">
        <f t="shared" si="19"/>
        <v>22.346156222205853</v>
      </c>
      <c r="O55" s="93">
        <f t="shared" si="25"/>
        <v>67.038468666617561</v>
      </c>
      <c r="P55" s="93">
        <f>$G$22</f>
        <v>16.653061224489797</v>
      </c>
      <c r="Q55" s="93">
        <f t="shared" si="26"/>
        <v>83.691529891107365</v>
      </c>
      <c r="R55" s="116">
        <f t="shared" si="27"/>
        <v>8.9165621337073731E-2</v>
      </c>
      <c r="S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</row>
    <row r="56" spans="1:45" x14ac:dyDescent="0.25">
      <c r="A56" s="86">
        <v>87</v>
      </c>
      <c r="B56" s="152">
        <f t="shared" si="20"/>
        <v>112.98701298701299</v>
      </c>
      <c r="C56" s="92">
        <v>4</v>
      </c>
      <c r="D56" s="113">
        <v>0.70499999999999996</v>
      </c>
      <c r="E56" s="93">
        <f t="shared" si="18"/>
        <v>26.549399464048673</v>
      </c>
      <c r="F56" s="91">
        <f t="shared" si="21"/>
        <v>106.19759785619469</v>
      </c>
      <c r="G56" s="93">
        <f>$G$23</f>
        <v>16.979591836734695</v>
      </c>
      <c r="H56" s="93">
        <f t="shared" si="22"/>
        <v>89.218006019459992</v>
      </c>
      <c r="I56" s="93">
        <f t="shared" si="23"/>
        <v>22.304501504864998</v>
      </c>
      <c r="J56" s="109">
        <f t="shared" si="24"/>
        <v>0.59226579644515653</v>
      </c>
      <c r="K56" s="95"/>
      <c r="L56" s="92">
        <v>4</v>
      </c>
      <c r="M56" s="148">
        <v>0.59288006537777682</v>
      </c>
      <c r="N56" s="93">
        <f t="shared" si="19"/>
        <v>22.327105943242401</v>
      </c>
      <c r="O56" s="93">
        <f t="shared" si="25"/>
        <v>89.308423772969604</v>
      </c>
      <c r="P56" s="93">
        <f>$G$23</f>
        <v>16.979591836734695</v>
      </c>
      <c r="Q56" s="93">
        <f t="shared" si="26"/>
        <v>106.2880156097043</v>
      </c>
      <c r="R56" s="116">
        <f t="shared" si="27"/>
        <v>9.0417753509612453E-2</v>
      </c>
      <c r="S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</row>
    <row r="57" spans="1:45" x14ac:dyDescent="0.25">
      <c r="A57" s="86">
        <v>102</v>
      </c>
      <c r="B57" s="152">
        <f>A57/$B$51</f>
        <v>132.46753246753246</v>
      </c>
      <c r="C57" s="92">
        <v>5</v>
      </c>
      <c r="D57" s="112">
        <v>0.67849999999999999</v>
      </c>
      <c r="E57" s="94">
        <f t="shared" si="18"/>
        <v>25.551443313981597</v>
      </c>
      <c r="F57" s="158">
        <f t="shared" si="21"/>
        <v>127.75721656990798</v>
      </c>
      <c r="G57" s="94">
        <f>$G$24</f>
        <v>17.306122448979593</v>
      </c>
      <c r="H57" s="94">
        <f t="shared" si="22"/>
        <v>110.45109412092839</v>
      </c>
      <c r="I57" s="94">
        <f t="shared" si="23"/>
        <v>22.090218824185676</v>
      </c>
      <c r="J57" s="108">
        <f t="shared" si="24"/>
        <v>0.58657581038968432</v>
      </c>
      <c r="K57" s="95"/>
      <c r="L57" s="92">
        <v>5</v>
      </c>
      <c r="M57" s="147">
        <v>0.5870766758270517</v>
      </c>
      <c r="N57" s="94">
        <f t="shared" si="19"/>
        <v>22.108557705756315</v>
      </c>
      <c r="O57" s="94">
        <f t="shared" si="25"/>
        <v>110.54278852878157</v>
      </c>
      <c r="P57" s="94">
        <f>$G$24</f>
        <v>17.306122448979593</v>
      </c>
      <c r="Q57" s="94">
        <f t="shared" si="26"/>
        <v>127.84891097776116</v>
      </c>
      <c r="R57" s="116">
        <f t="shared" si="27"/>
        <v>9.1694407853182724E-2</v>
      </c>
      <c r="S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</row>
    <row r="58" spans="1:45" x14ac:dyDescent="0.25">
      <c r="A58" s="86">
        <v>197</v>
      </c>
      <c r="B58" s="152">
        <f t="shared" si="20"/>
        <v>255.84415584415584</v>
      </c>
      <c r="C58" s="92">
        <v>10</v>
      </c>
      <c r="D58" s="154">
        <v>0.64</v>
      </c>
      <c r="E58" s="93">
        <f t="shared" si="18"/>
        <v>24.101582492186029</v>
      </c>
      <c r="F58" s="91">
        <f t="shared" si="21"/>
        <v>241.01582492186029</v>
      </c>
      <c r="G58" s="93">
        <f>$G$25</f>
        <v>18.938775510204081</v>
      </c>
      <c r="H58" s="93">
        <f t="shared" si="22"/>
        <v>222.07704941165622</v>
      </c>
      <c r="I58" s="93">
        <f t="shared" si="23"/>
        <v>22.207704941165623</v>
      </c>
      <c r="J58" s="109">
        <f t="shared" si="24"/>
        <v>0.5896954949353892</v>
      </c>
      <c r="K58" s="95"/>
      <c r="L58" s="92">
        <v>10</v>
      </c>
      <c r="M58" s="148">
        <v>0.58996955338225066</v>
      </c>
      <c r="N58" s="93">
        <f t="shared" si="19"/>
        <v>22.217499779250726</v>
      </c>
      <c r="O58" s="93">
        <f t="shared" si="25"/>
        <v>222.17499779250727</v>
      </c>
      <c r="P58" s="93">
        <f>$G$25</f>
        <v>18.938775510204081</v>
      </c>
      <c r="Q58" s="93">
        <f t="shared" si="26"/>
        <v>241.11377330271137</v>
      </c>
      <c r="R58" s="116">
        <f t="shared" si="27"/>
        <v>9.7948380851079264E-2</v>
      </c>
      <c r="S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</row>
    <row r="59" spans="1:45" x14ac:dyDescent="0.25">
      <c r="A59" s="86">
        <v>416</v>
      </c>
      <c r="B59" s="152">
        <f t="shared" si="20"/>
        <v>540.25974025974028</v>
      </c>
      <c r="C59" s="92">
        <v>20</v>
      </c>
      <c r="D59" s="154">
        <v>0.65</v>
      </c>
      <c r="E59" s="93">
        <f t="shared" si="18"/>
        <v>24.478169718626436</v>
      </c>
      <c r="F59" s="91">
        <f t="shared" si="21"/>
        <v>489.56339437252871</v>
      </c>
      <c r="G59" s="93">
        <f>$G$26</f>
        <v>22.204081632653061</v>
      </c>
      <c r="H59" s="93">
        <f t="shared" si="22"/>
        <v>467.35931273987563</v>
      </c>
      <c r="I59" s="93">
        <f t="shared" si="23"/>
        <v>23.36796563699378</v>
      </c>
      <c r="J59" s="109">
        <f t="shared" si="24"/>
        <v>0.62050464460182708</v>
      </c>
      <c r="K59" s="95"/>
      <c r="L59" s="92">
        <v>20</v>
      </c>
      <c r="M59" s="148">
        <v>0.62066529955343541</v>
      </c>
      <c r="N59" s="93">
        <f t="shared" si="19"/>
        <v>23.373462370663248</v>
      </c>
      <c r="O59" s="93">
        <f t="shared" si="25"/>
        <v>467.46924741326495</v>
      </c>
      <c r="P59" s="93">
        <f>$G$26</f>
        <v>22.204081632653061</v>
      </c>
      <c r="Q59" s="93">
        <f t="shared" si="26"/>
        <v>489.67332904591802</v>
      </c>
      <c r="R59" s="116">
        <f t="shared" si="27"/>
        <v>0.1099346733893185</v>
      </c>
      <c r="S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</row>
    <row r="60" spans="1:45" x14ac:dyDescent="0.25">
      <c r="A60" s="86">
        <v>638</v>
      </c>
      <c r="B60" s="152">
        <f t="shared" si="20"/>
        <v>828.57142857142856</v>
      </c>
      <c r="C60" s="92">
        <v>30</v>
      </c>
      <c r="D60" s="154">
        <v>0.66500000000000004</v>
      </c>
      <c r="E60" s="93">
        <f t="shared" si="18"/>
        <v>25.04305055828705</v>
      </c>
      <c r="F60" s="91">
        <f t="shared" si="21"/>
        <v>751.29151674861146</v>
      </c>
      <c r="G60" s="93">
        <f>$G$27</f>
        <v>25.469387755102041</v>
      </c>
      <c r="H60" s="93">
        <f t="shared" si="22"/>
        <v>725.82212899350941</v>
      </c>
      <c r="I60" s="93">
        <f t="shared" si="23"/>
        <v>24.194070966450315</v>
      </c>
      <c r="J60" s="109">
        <f t="shared" si="24"/>
        <v>0.64244075157070246</v>
      </c>
      <c r="K60" s="95"/>
      <c r="L60" s="92">
        <v>30</v>
      </c>
      <c r="M60" s="148">
        <v>0.64256360535722679</v>
      </c>
      <c r="N60" s="93">
        <f t="shared" si="19"/>
        <v>24.198124595302613</v>
      </c>
      <c r="O60" s="93">
        <f t="shared" si="25"/>
        <v>725.9437378590784</v>
      </c>
      <c r="P60" s="93">
        <f>$G$27</f>
        <v>25.469387755102041</v>
      </c>
      <c r="Q60" s="93">
        <f t="shared" si="26"/>
        <v>751.41312561418044</v>
      </c>
      <c r="R60" s="116">
        <f t="shared" si="27"/>
        <v>0.12160886556898731</v>
      </c>
      <c r="S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</row>
    <row r="61" spans="1:45" x14ac:dyDescent="0.25">
      <c r="A61" s="86">
        <v>868</v>
      </c>
      <c r="B61" s="152">
        <f t="shared" si="20"/>
        <v>1127.2727272727273</v>
      </c>
      <c r="C61" s="92">
        <v>40</v>
      </c>
      <c r="D61" s="155">
        <v>0.68</v>
      </c>
      <c r="E61" s="94">
        <f t="shared" si="18"/>
        <v>25.607931397947663</v>
      </c>
      <c r="F61" s="158">
        <f t="shared" si="21"/>
        <v>1024.3172559179066</v>
      </c>
      <c r="G61" s="94">
        <f>$G$28</f>
        <v>28.73469387755102</v>
      </c>
      <c r="H61" s="94">
        <f t="shared" si="22"/>
        <v>995.58256204035558</v>
      </c>
      <c r="I61" s="94">
        <f t="shared" si="23"/>
        <v>24.88956405100889</v>
      </c>
      <c r="J61" s="108">
        <f t="shared" si="24"/>
        <v>0.66090862746375212</v>
      </c>
      <c r="K61" s="95"/>
      <c r="L61" s="92">
        <v>40</v>
      </c>
      <c r="M61" s="147">
        <v>0.66101258066773383</v>
      </c>
      <c r="N61" s="94">
        <f t="shared" si="19"/>
        <v>24.892889439587748</v>
      </c>
      <c r="O61" s="94">
        <f t="shared" si="25"/>
        <v>995.71557758350991</v>
      </c>
      <c r="P61" s="94">
        <f>$G$28</f>
        <v>28.73469387755102</v>
      </c>
      <c r="Q61" s="94">
        <f t="shared" si="26"/>
        <v>1024.450271461061</v>
      </c>
      <c r="R61" s="116">
        <f t="shared" si="27"/>
        <v>0.13301554315444264</v>
      </c>
      <c r="S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</row>
    <row r="62" spans="1:45" x14ac:dyDescent="0.25">
      <c r="A62" s="86">
        <v>1121</v>
      </c>
      <c r="B62" s="152">
        <f t="shared" si="20"/>
        <v>1455.8441558441559</v>
      </c>
      <c r="C62" s="92">
        <v>50</v>
      </c>
      <c r="D62" s="154">
        <v>0.7</v>
      </c>
      <c r="E62" s="93">
        <f t="shared" si="18"/>
        <v>26.361105850828469</v>
      </c>
      <c r="F62" s="91">
        <f t="shared" si="21"/>
        <v>1318.0552925414236</v>
      </c>
      <c r="G62" s="93">
        <f>$G$29</f>
        <v>32</v>
      </c>
      <c r="H62" s="93">
        <f t="shared" si="22"/>
        <v>1286.0552925414236</v>
      </c>
      <c r="I62" s="93">
        <f t="shared" si="23"/>
        <v>25.721105850828472</v>
      </c>
      <c r="J62" s="109">
        <f t="shared" si="24"/>
        <v>0.68298909253221196</v>
      </c>
      <c r="K62" s="95"/>
      <c r="L62" s="92">
        <v>50</v>
      </c>
      <c r="M62" s="148">
        <v>0.68308170538666846</v>
      </c>
      <c r="N62" s="93">
        <f t="shared" si="19"/>
        <v>25.723984486374857</v>
      </c>
      <c r="O62" s="93">
        <f t="shared" si="25"/>
        <v>1286.1992243187428</v>
      </c>
      <c r="P62" s="93">
        <f>$G$29</f>
        <v>32</v>
      </c>
      <c r="Q62" s="93">
        <f t="shared" si="26"/>
        <v>1318.1992243187428</v>
      </c>
      <c r="R62" s="116">
        <f t="shared" si="27"/>
        <v>0.14393177731926698</v>
      </c>
      <c r="S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</row>
    <row r="63" spans="1:45" ht="14.25" customHeight="1" x14ac:dyDescent="0.25">
      <c r="K63" s="110"/>
      <c r="S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</row>
    <row r="64" spans="1:45" x14ac:dyDescent="0.25">
      <c r="K64" s="110"/>
      <c r="S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</row>
    <row r="65" spans="3:45" x14ac:dyDescent="0.25">
      <c r="S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</row>
    <row r="66" spans="3:45" x14ac:dyDescent="0.25">
      <c r="C66" s="101"/>
      <c r="D66" s="117" t="s">
        <v>65</v>
      </c>
      <c r="E66" s="101"/>
      <c r="F66" s="101" t="s">
        <v>50</v>
      </c>
      <c r="G66" s="102"/>
      <c r="H66" s="102" t="s">
        <v>51</v>
      </c>
      <c r="I66" s="102"/>
      <c r="J66" s="102"/>
      <c r="K66" s="150" t="s">
        <v>71</v>
      </c>
      <c r="L66" s="101"/>
      <c r="M66" s="118"/>
      <c r="N66" s="101"/>
      <c r="O66" s="101" t="s">
        <v>51</v>
      </c>
      <c r="P66" s="101"/>
      <c r="Q66" s="101" t="s">
        <v>60</v>
      </c>
      <c r="R66" s="115" t="s">
        <v>62</v>
      </c>
      <c r="S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</row>
    <row r="67" spans="3:45" x14ac:dyDescent="0.25">
      <c r="C67" s="103" t="s">
        <v>9</v>
      </c>
      <c r="D67" s="101" t="s">
        <v>47</v>
      </c>
      <c r="E67" s="104" t="s">
        <v>56</v>
      </c>
      <c r="F67" s="101" t="s">
        <v>51</v>
      </c>
      <c r="G67" s="102" t="s">
        <v>54</v>
      </c>
      <c r="H67" s="102" t="s">
        <v>55</v>
      </c>
      <c r="I67" s="105" t="s">
        <v>57</v>
      </c>
      <c r="J67" s="106" t="s">
        <v>57</v>
      </c>
      <c r="K67" s="114"/>
      <c r="L67" s="103" t="s">
        <v>9</v>
      </c>
      <c r="M67" s="101" t="s">
        <v>47</v>
      </c>
      <c r="N67" s="104" t="s">
        <v>56</v>
      </c>
      <c r="O67" s="104" t="s">
        <v>55</v>
      </c>
      <c r="P67" s="104" t="s">
        <v>59</v>
      </c>
      <c r="Q67" s="104" t="s">
        <v>51</v>
      </c>
      <c r="R67" s="126" t="s">
        <v>63</v>
      </c>
      <c r="S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</row>
    <row r="68" spans="3:45" x14ac:dyDescent="0.25">
      <c r="C68" s="92">
        <v>1</v>
      </c>
      <c r="D68" s="111">
        <v>0.85</v>
      </c>
      <c r="E68" s="98">
        <f t="shared" ref="E68:E77" si="28">(D68*$C$7)*SQRT(4*$C$9*$C$10/32.2)/12</f>
        <v>32.009914247434573</v>
      </c>
      <c r="F68" s="98">
        <f>C68*E68</f>
        <v>32.009914247434573</v>
      </c>
      <c r="G68" s="98">
        <f>$G$20</f>
        <v>16</v>
      </c>
      <c r="H68" s="98">
        <f>F68-G68</f>
        <v>16.009914247434573</v>
      </c>
      <c r="I68" s="98">
        <f>H68/C68</f>
        <v>16.009914247434573</v>
      </c>
      <c r="J68" s="107">
        <f>SQRT(12*32.2*I68^2/(4*$C$9*($C$8*56)*$C$7^2))</f>
        <v>0.42512156618731339</v>
      </c>
      <c r="L68" s="92">
        <v>1</v>
      </c>
      <c r="M68" s="146">
        <v>0.42743688754872811</v>
      </c>
      <c r="N68" s="98">
        <f t="shared" ref="N68:N77" si="29">(M68*$C$7)*SQRT(4*$C$9*$C$10/32.2)/12</f>
        <v>16.096727196029555</v>
      </c>
      <c r="O68" s="98">
        <f>L68*N68</f>
        <v>16.096727196029555</v>
      </c>
      <c r="P68" s="98">
        <f>$G$20</f>
        <v>16</v>
      </c>
      <c r="Q68" s="98">
        <f>O68+P68</f>
        <v>32.096727196029555</v>
      </c>
      <c r="R68" s="116">
        <f>Q68-F68</f>
        <v>8.6812948594982231E-2</v>
      </c>
      <c r="S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</row>
    <row r="69" spans="3:45" x14ac:dyDescent="0.25">
      <c r="C69" s="92">
        <v>2</v>
      </c>
      <c r="D69" s="112">
        <v>0.78500000000000003</v>
      </c>
      <c r="E69" s="94">
        <f t="shared" si="28"/>
        <v>29.562097275571929</v>
      </c>
      <c r="F69" s="94">
        <f t="shared" ref="F69:F77" si="30">C69*E69</f>
        <v>59.124194551143859</v>
      </c>
      <c r="G69" s="94">
        <f>$G$21</f>
        <v>16.326530612244898</v>
      </c>
      <c r="H69" s="94">
        <f t="shared" ref="H69:H77" si="31">F69-G69</f>
        <v>42.797663938898964</v>
      </c>
      <c r="I69" s="94">
        <f t="shared" ref="I69:I77" si="32">H69/C69</f>
        <v>21.398831969449482</v>
      </c>
      <c r="J69" s="108">
        <f t="shared" ref="J69:J77" si="33">SQRT(12*32.2*I69^2/(4*$C$9*($C$8*56)*$C$7^2))</f>
        <v>0.56821696986223613</v>
      </c>
      <c r="K69" s="95"/>
      <c r="L69" s="92">
        <v>2</v>
      </c>
      <c r="M69" s="147">
        <v>0.56939825627112128</v>
      </c>
      <c r="N69" s="94">
        <f t="shared" si="29"/>
        <v>21.44281100691455</v>
      </c>
      <c r="O69" s="94">
        <f t="shared" ref="O69:O77" si="34">L69*N69</f>
        <v>42.885622013829099</v>
      </c>
      <c r="P69" s="94">
        <f>$G$21</f>
        <v>16.326530612244898</v>
      </c>
      <c r="Q69" s="94">
        <f t="shared" ref="Q69:Q77" si="35">O69+P69</f>
        <v>59.212152626074001</v>
      </c>
      <c r="R69" s="116">
        <f t="shared" ref="R69:R77" si="36">Q69-F69</f>
        <v>8.7958074930142516E-2</v>
      </c>
      <c r="S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</row>
    <row r="70" spans="3:45" x14ac:dyDescent="0.25">
      <c r="C70" s="92">
        <v>3</v>
      </c>
      <c r="D70" s="113">
        <v>0.74950000000000006</v>
      </c>
      <c r="E70" s="93">
        <f t="shared" si="28"/>
        <v>28.225212621708483</v>
      </c>
      <c r="F70" s="93">
        <f t="shared" si="30"/>
        <v>84.675637865125452</v>
      </c>
      <c r="G70" s="93">
        <f>$G$22</f>
        <v>16.653061224489797</v>
      </c>
      <c r="H70" s="93">
        <f t="shared" si="31"/>
        <v>68.022576640635663</v>
      </c>
      <c r="I70" s="93">
        <f t="shared" si="32"/>
        <v>22.674192213545222</v>
      </c>
      <c r="J70" s="109">
        <f t="shared" si="33"/>
        <v>0.60208243197799327</v>
      </c>
      <c r="K70" s="95"/>
      <c r="L70" s="92">
        <v>3</v>
      </c>
      <c r="M70" s="148">
        <v>0.60288570673603514</v>
      </c>
      <c r="N70" s="93">
        <f t="shared" si="29"/>
        <v>22.703905616028791</v>
      </c>
      <c r="O70" s="93">
        <f t="shared" si="34"/>
        <v>68.111716848086374</v>
      </c>
      <c r="P70" s="93">
        <f>$G$22</f>
        <v>16.653061224489797</v>
      </c>
      <c r="Q70" s="93">
        <f t="shared" si="35"/>
        <v>84.764778072576178</v>
      </c>
      <c r="R70" s="116">
        <f t="shared" si="36"/>
        <v>8.9140207450725484E-2</v>
      </c>
      <c r="S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</row>
    <row r="71" spans="3:45" x14ac:dyDescent="0.25">
      <c r="C71" s="92">
        <v>4</v>
      </c>
      <c r="D71" s="113">
        <v>0.73</v>
      </c>
      <c r="E71" s="93">
        <f t="shared" si="28"/>
        <v>27.490867530149689</v>
      </c>
      <c r="F71" s="93">
        <f t="shared" si="30"/>
        <v>109.96347012059876</v>
      </c>
      <c r="G71" s="93">
        <f>$G$23</f>
        <v>16.979591836734695</v>
      </c>
      <c r="H71" s="93">
        <f t="shared" si="31"/>
        <v>92.983878283864058</v>
      </c>
      <c r="I71" s="93">
        <f t="shared" si="32"/>
        <v>23.245969570966015</v>
      </c>
      <c r="J71" s="109">
        <f t="shared" si="33"/>
        <v>0.61726520447386224</v>
      </c>
      <c r="K71" s="95"/>
      <c r="L71" s="92">
        <v>4</v>
      </c>
      <c r="M71" s="148">
        <v>0.61787947340648264</v>
      </c>
      <c r="N71" s="93">
        <f t="shared" si="29"/>
        <v>23.268551716460635</v>
      </c>
      <c r="O71" s="93">
        <f t="shared" si="34"/>
        <v>93.074206865842541</v>
      </c>
      <c r="P71" s="93">
        <f>$G$23</f>
        <v>16.979591836734695</v>
      </c>
      <c r="Q71" s="93">
        <f t="shared" si="35"/>
        <v>110.05379870257724</v>
      </c>
      <c r="R71" s="116">
        <f t="shared" si="36"/>
        <v>9.0328581978482703E-2</v>
      </c>
      <c r="S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</row>
    <row r="72" spans="3:45" x14ac:dyDescent="0.25">
      <c r="C72" s="92">
        <v>5</v>
      </c>
      <c r="D72" s="112">
        <v>0.71899999999999997</v>
      </c>
      <c r="E72" s="94">
        <f t="shared" si="28"/>
        <v>27.076621581065243</v>
      </c>
      <c r="F72" s="94">
        <f t="shared" si="30"/>
        <v>135.38310790532623</v>
      </c>
      <c r="G72" s="94">
        <f>$G$24</f>
        <v>17.306122448979593</v>
      </c>
      <c r="H72" s="94">
        <f t="shared" si="31"/>
        <v>118.07698545634663</v>
      </c>
      <c r="I72" s="94">
        <f t="shared" si="32"/>
        <v>23.615397091269326</v>
      </c>
      <c r="J72" s="108">
        <f t="shared" si="33"/>
        <v>0.62707485139618757</v>
      </c>
      <c r="K72" s="95"/>
      <c r="L72" s="92">
        <v>5</v>
      </c>
      <c r="M72" s="147">
        <v>0.62757571683355473</v>
      </c>
      <c r="N72" s="94">
        <f t="shared" si="29"/>
        <v>23.633699858369848</v>
      </c>
      <c r="O72" s="94">
        <f t="shared" si="34"/>
        <v>118.16849929184924</v>
      </c>
      <c r="P72" s="94">
        <f>$G$24</f>
        <v>17.306122448979593</v>
      </c>
      <c r="Q72" s="94">
        <f t="shared" si="35"/>
        <v>135.47462174082884</v>
      </c>
      <c r="R72" s="116">
        <f t="shared" si="36"/>
        <v>9.1513835502610164E-2</v>
      </c>
      <c r="S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</row>
    <row r="73" spans="3:45" x14ac:dyDescent="0.25">
      <c r="C73" s="92">
        <v>10</v>
      </c>
      <c r="D73" s="93">
        <v>0.7</v>
      </c>
      <c r="E73" s="93">
        <f t="shared" si="28"/>
        <v>26.361105850828469</v>
      </c>
      <c r="F73" s="93">
        <f t="shared" si="30"/>
        <v>263.61105850828471</v>
      </c>
      <c r="G73" s="93">
        <f>$G$25</f>
        <v>18.938775510204081</v>
      </c>
      <c r="H73" s="93">
        <f t="shared" si="31"/>
        <v>244.67228299808062</v>
      </c>
      <c r="I73" s="93">
        <f t="shared" si="32"/>
        <v>24.467228299808063</v>
      </c>
      <c r="J73" s="109">
        <f t="shared" si="33"/>
        <v>0.64969407420428271</v>
      </c>
      <c r="K73" s="95"/>
      <c r="L73" s="92">
        <v>10</v>
      </c>
      <c r="M73" s="148">
        <v>0.64996813265114395</v>
      </c>
      <c r="N73" s="93">
        <f t="shared" si="29"/>
        <v>24.476969634974466</v>
      </c>
      <c r="O73" s="93">
        <f t="shared" si="34"/>
        <v>244.76969634974466</v>
      </c>
      <c r="P73" s="93">
        <f>$G$25</f>
        <v>18.938775510204081</v>
      </c>
      <c r="Q73" s="93">
        <f t="shared" si="35"/>
        <v>263.70847185994876</v>
      </c>
      <c r="R73" s="116">
        <f t="shared" si="36"/>
        <v>9.7413351664044967E-2</v>
      </c>
      <c r="S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</row>
    <row r="74" spans="3:45" x14ac:dyDescent="0.25">
      <c r="C74" s="92">
        <v>20</v>
      </c>
      <c r="D74" s="93">
        <v>0.7</v>
      </c>
      <c r="E74" s="93">
        <f t="shared" si="28"/>
        <v>26.361105850828469</v>
      </c>
      <c r="F74" s="93">
        <f t="shared" si="30"/>
        <v>527.22211701656943</v>
      </c>
      <c r="G74" s="93">
        <f>$G$26</f>
        <v>22.204081632653061</v>
      </c>
      <c r="H74" s="93">
        <f t="shared" si="31"/>
        <v>505.01803538391636</v>
      </c>
      <c r="I74" s="93">
        <f t="shared" si="32"/>
        <v>25.250901769195817</v>
      </c>
      <c r="J74" s="109">
        <f t="shared" si="33"/>
        <v>0.67050346065923849</v>
      </c>
      <c r="K74" s="95"/>
      <c r="L74" s="92">
        <v>20</v>
      </c>
      <c r="M74" s="148">
        <v>0.67066411561084671</v>
      </c>
      <c r="N74" s="93">
        <f t="shared" si="29"/>
        <v>25.256353917099705</v>
      </c>
      <c r="O74" s="93">
        <f t="shared" si="34"/>
        <v>505.12707834199409</v>
      </c>
      <c r="P74" s="93">
        <f>$G$26</f>
        <v>22.204081632653061</v>
      </c>
      <c r="Q74" s="93">
        <f t="shared" si="35"/>
        <v>527.33115997464711</v>
      </c>
      <c r="R74" s="116">
        <f t="shared" si="36"/>
        <v>0.10904295807767994</v>
      </c>
      <c r="S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</row>
    <row r="75" spans="3:45" x14ac:dyDescent="0.25">
      <c r="C75" s="92">
        <v>30</v>
      </c>
      <c r="D75" s="93">
        <v>0.7</v>
      </c>
      <c r="E75" s="93">
        <f t="shared" si="28"/>
        <v>26.361105850828469</v>
      </c>
      <c r="F75" s="93">
        <f t="shared" si="30"/>
        <v>790.83317552485403</v>
      </c>
      <c r="G75" s="93">
        <f>$G$27</f>
        <v>25.469387755102041</v>
      </c>
      <c r="H75" s="93">
        <f t="shared" si="31"/>
        <v>765.36378776975198</v>
      </c>
      <c r="I75" s="93">
        <f t="shared" si="32"/>
        <v>25.512126258991731</v>
      </c>
      <c r="J75" s="109">
        <f t="shared" si="33"/>
        <v>0.67743992281089027</v>
      </c>
      <c r="K75" s="95"/>
      <c r="L75" s="92">
        <v>30</v>
      </c>
      <c r="M75" s="148">
        <v>0.67756277659741437</v>
      </c>
      <c r="N75" s="93">
        <f t="shared" si="29"/>
        <v>25.516148677808122</v>
      </c>
      <c r="O75" s="93">
        <f t="shared" si="34"/>
        <v>765.48446033424364</v>
      </c>
      <c r="P75" s="93">
        <f>$G$27</f>
        <v>25.469387755102041</v>
      </c>
      <c r="Q75" s="93">
        <f t="shared" si="35"/>
        <v>790.95384808934568</v>
      </c>
      <c r="R75" s="116">
        <f t="shared" si="36"/>
        <v>0.12067256449165598</v>
      </c>
      <c r="S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</row>
    <row r="76" spans="3:45" x14ac:dyDescent="0.25">
      <c r="C76" s="92">
        <v>40</v>
      </c>
      <c r="D76" s="94">
        <v>0.7</v>
      </c>
      <c r="E76" s="94">
        <f t="shared" si="28"/>
        <v>26.361105850828469</v>
      </c>
      <c r="F76" s="94">
        <f t="shared" si="30"/>
        <v>1054.4442340331389</v>
      </c>
      <c r="G76" s="94">
        <f>$G$28</f>
        <v>28.73469387755102</v>
      </c>
      <c r="H76" s="94">
        <f t="shared" si="31"/>
        <v>1025.7095401555878</v>
      </c>
      <c r="I76" s="94">
        <f t="shared" si="32"/>
        <v>25.642738503889696</v>
      </c>
      <c r="J76" s="108">
        <f t="shared" si="33"/>
        <v>0.68090815388671644</v>
      </c>
      <c r="K76" s="95"/>
      <c r="L76" s="92">
        <v>40</v>
      </c>
      <c r="M76" s="147">
        <v>0.68101210709069804</v>
      </c>
      <c r="N76" s="94">
        <f t="shared" si="29"/>
        <v>25.646046058162323</v>
      </c>
      <c r="O76" s="94">
        <f t="shared" si="34"/>
        <v>1025.841842326493</v>
      </c>
      <c r="P76" s="94">
        <f>$G$28</f>
        <v>28.73469387755102</v>
      </c>
      <c r="Q76" s="94">
        <f t="shared" si="35"/>
        <v>1054.576536204044</v>
      </c>
      <c r="R76" s="116">
        <f t="shared" si="36"/>
        <v>0.13230217090517726</v>
      </c>
      <c r="S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</row>
    <row r="77" spans="3:45" x14ac:dyDescent="0.25">
      <c r="C77" s="92">
        <v>50</v>
      </c>
      <c r="D77" s="93">
        <v>0.7</v>
      </c>
      <c r="E77" s="93">
        <f t="shared" si="28"/>
        <v>26.361105850828469</v>
      </c>
      <c r="F77" s="93">
        <f t="shared" si="30"/>
        <v>1318.0552925414236</v>
      </c>
      <c r="G77" s="93">
        <f>$G$29</f>
        <v>32</v>
      </c>
      <c r="H77" s="93">
        <f t="shared" si="31"/>
        <v>1286.0552925414236</v>
      </c>
      <c r="I77" s="93">
        <f t="shared" si="32"/>
        <v>25.721105850828472</v>
      </c>
      <c r="J77" s="109">
        <f t="shared" si="33"/>
        <v>0.68298909253221196</v>
      </c>
      <c r="K77" s="95"/>
      <c r="L77" s="92">
        <v>50</v>
      </c>
      <c r="M77" s="148">
        <v>0.68308170538666846</v>
      </c>
      <c r="N77" s="93">
        <f t="shared" si="29"/>
        <v>25.723984486374857</v>
      </c>
      <c r="O77" s="93">
        <f t="shared" si="34"/>
        <v>1286.1992243187428</v>
      </c>
      <c r="P77" s="93">
        <f>$G$29</f>
        <v>32</v>
      </c>
      <c r="Q77" s="93">
        <f t="shared" si="35"/>
        <v>1318.1992243187428</v>
      </c>
      <c r="R77" s="116">
        <f t="shared" si="36"/>
        <v>0.14393177731926698</v>
      </c>
      <c r="S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</row>
    <row r="78" spans="3:45" x14ac:dyDescent="0.25">
      <c r="S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</row>
    <row r="79" spans="3:45" x14ac:dyDescent="0.25">
      <c r="S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</row>
    <row r="80" spans="3:45" x14ac:dyDescent="0.25">
      <c r="C80" s="101"/>
      <c r="D80" s="117" t="s">
        <v>66</v>
      </c>
      <c r="E80" s="101"/>
      <c r="F80" s="101" t="s">
        <v>50</v>
      </c>
      <c r="G80" s="102"/>
      <c r="H80" s="102" t="s">
        <v>51</v>
      </c>
      <c r="I80" s="102"/>
      <c r="J80" s="102"/>
      <c r="K80" s="150" t="s">
        <v>71</v>
      </c>
      <c r="L80" s="101"/>
      <c r="M80" s="118"/>
      <c r="N80" s="101"/>
      <c r="O80" s="101" t="s">
        <v>51</v>
      </c>
      <c r="P80" s="101"/>
      <c r="Q80" s="101" t="s">
        <v>60</v>
      </c>
      <c r="R80" s="115" t="s">
        <v>62</v>
      </c>
      <c r="S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</row>
    <row r="81" spans="3:45" x14ac:dyDescent="0.25">
      <c r="C81" s="103" t="s">
        <v>9</v>
      </c>
      <c r="D81" s="101" t="s">
        <v>47</v>
      </c>
      <c r="E81" s="104" t="s">
        <v>56</v>
      </c>
      <c r="F81" s="101" t="s">
        <v>51</v>
      </c>
      <c r="G81" s="102" t="s">
        <v>54</v>
      </c>
      <c r="H81" s="102" t="s">
        <v>55</v>
      </c>
      <c r="I81" s="105" t="s">
        <v>57</v>
      </c>
      <c r="J81" s="106" t="s">
        <v>57</v>
      </c>
      <c r="K81" s="114"/>
      <c r="L81" s="103" t="s">
        <v>9</v>
      </c>
      <c r="M81" s="101" t="s">
        <v>47</v>
      </c>
      <c r="N81" s="104" t="s">
        <v>56</v>
      </c>
      <c r="O81" s="104" t="s">
        <v>55</v>
      </c>
      <c r="P81" s="104" t="s">
        <v>59</v>
      </c>
      <c r="Q81" s="104" t="s">
        <v>51</v>
      </c>
      <c r="R81" s="115" t="s">
        <v>63</v>
      </c>
      <c r="S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</row>
    <row r="82" spans="3:45" x14ac:dyDescent="0.25">
      <c r="C82" s="92">
        <v>1</v>
      </c>
      <c r="D82" s="111">
        <v>0.77510000000000001</v>
      </c>
      <c r="E82" s="98">
        <f t="shared" ref="E82:E91" si="37">(D82*$C$7)*SQRT(4*$C$9*$C$10/32.2)/12</f>
        <v>29.189275921395929</v>
      </c>
      <c r="F82" s="98">
        <f>C82*E82</f>
        <v>29.189275921395929</v>
      </c>
      <c r="G82" s="98">
        <f>$G$20</f>
        <v>16</v>
      </c>
      <c r="H82" s="98">
        <f>F82-G82</f>
        <v>13.189275921395929</v>
      </c>
      <c r="I82" s="98">
        <f>H82/C82</f>
        <v>13.189275921395929</v>
      </c>
      <c r="J82" s="107">
        <f>SQRT(12*32.2*I82^2/(4*$C$9*($C$8*56)*$C$7^2))</f>
        <v>0.35022333973331127</v>
      </c>
      <c r="L82" s="92">
        <v>1</v>
      </c>
      <c r="M82" s="146">
        <v>0.35253866109472592</v>
      </c>
      <c r="N82" s="98">
        <f t="shared" ref="N82:N91" si="38">(M82*$C$7)*SQRT(4*$C$9*$C$10/32.2)/12</f>
        <v>13.276155659467735</v>
      </c>
      <c r="O82" s="98">
        <f>L82*N82</f>
        <v>13.276155659467735</v>
      </c>
      <c r="P82" s="98">
        <f>$G$20</f>
        <v>16</v>
      </c>
      <c r="Q82" s="98">
        <f>O82+P82</f>
        <v>29.276155659467733</v>
      </c>
      <c r="R82" s="116">
        <f>Q82-F82</f>
        <v>8.6879738071804269E-2</v>
      </c>
      <c r="S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</row>
    <row r="83" spans="3:45" x14ac:dyDescent="0.25">
      <c r="C83" s="92">
        <v>2</v>
      </c>
      <c r="D83" s="112">
        <v>0.74250000000000005</v>
      </c>
      <c r="E83" s="94">
        <f t="shared" si="37"/>
        <v>27.961601563200205</v>
      </c>
      <c r="F83" s="94">
        <f t="shared" ref="F83:F91" si="39">C83*E83</f>
        <v>55.923203126400409</v>
      </c>
      <c r="G83" s="94">
        <f>$G$21</f>
        <v>16.326530612244898</v>
      </c>
      <c r="H83" s="94">
        <f t="shared" ref="H83:H91" si="40">F83-G83</f>
        <v>39.596672514155514</v>
      </c>
      <c r="I83" s="94">
        <f t="shared" ref="I83:I91" si="41">H83/C83</f>
        <v>19.798336257077757</v>
      </c>
      <c r="J83" s="108">
        <f t="shared" ref="J83:J91" si="42">SQRT(12*32.2*I83^2/(4*$C$9*($C$8*56)*$C$7^2))</f>
        <v>0.52571797621343663</v>
      </c>
      <c r="K83" s="95"/>
      <c r="L83" s="92">
        <v>2</v>
      </c>
      <c r="M83" s="147">
        <v>0.52689926262232178</v>
      </c>
      <c r="N83" s="94">
        <f t="shared" si="38"/>
        <v>19.842353192443561</v>
      </c>
      <c r="O83" s="94">
        <f t="shared" ref="O83:O91" si="43">L83*N83</f>
        <v>39.684706384887122</v>
      </c>
      <c r="P83" s="94">
        <f>$G$21</f>
        <v>16.326530612244898</v>
      </c>
      <c r="Q83" s="94">
        <f t="shared" ref="Q83:Q91" si="44">O83+P83</f>
        <v>56.011236997132016</v>
      </c>
      <c r="R83" s="116">
        <f t="shared" ref="R83:R91" si="45">Q83-F83</f>
        <v>8.8033870731607067E-2</v>
      </c>
      <c r="S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</row>
    <row r="84" spans="3:45" x14ac:dyDescent="0.25">
      <c r="C84" s="92">
        <v>3</v>
      </c>
      <c r="D84" s="113">
        <v>0.7248</v>
      </c>
      <c r="E84" s="93">
        <f t="shared" si="37"/>
        <v>27.295042172400681</v>
      </c>
      <c r="F84" s="93">
        <f t="shared" si="39"/>
        <v>81.885126517202039</v>
      </c>
      <c r="G84" s="93">
        <f>$G$22</f>
        <v>16.653061224489797</v>
      </c>
      <c r="H84" s="93">
        <f t="shared" si="40"/>
        <v>65.232065292712235</v>
      </c>
      <c r="I84" s="93">
        <f t="shared" si="41"/>
        <v>21.744021764237413</v>
      </c>
      <c r="J84" s="109">
        <f t="shared" si="42"/>
        <v>0.57738301684563198</v>
      </c>
      <c r="K84" s="95"/>
      <c r="L84" s="92">
        <v>3</v>
      </c>
      <c r="M84" s="148">
        <v>0.57818629160367396</v>
      </c>
      <c r="N84" s="93">
        <f t="shared" si="38"/>
        <v>21.773757192089178</v>
      </c>
      <c r="O84" s="93">
        <f t="shared" si="43"/>
        <v>65.321271576267534</v>
      </c>
      <c r="P84" s="93">
        <f>$G$22</f>
        <v>16.653061224489797</v>
      </c>
      <c r="Q84" s="93">
        <f t="shared" si="44"/>
        <v>81.974332800757338</v>
      </c>
      <c r="R84" s="116">
        <f t="shared" si="45"/>
        <v>8.9206283555299137E-2</v>
      </c>
      <c r="S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</row>
    <row r="85" spans="3:45" x14ac:dyDescent="0.25">
      <c r="C85" s="92">
        <v>4</v>
      </c>
      <c r="D85" s="113">
        <v>0.71499999999999997</v>
      </c>
      <c r="E85" s="93">
        <f t="shared" si="37"/>
        <v>26.925986690489079</v>
      </c>
      <c r="F85" s="93">
        <f t="shared" si="39"/>
        <v>107.70394676195632</v>
      </c>
      <c r="G85" s="93">
        <f>$G$23</f>
        <v>16.979591836734695</v>
      </c>
      <c r="H85" s="93">
        <f t="shared" si="40"/>
        <v>90.724354925221618</v>
      </c>
      <c r="I85" s="93">
        <f t="shared" si="41"/>
        <v>22.681088731305405</v>
      </c>
      <c r="J85" s="109">
        <f t="shared" si="42"/>
        <v>0.60226555965663886</v>
      </c>
      <c r="K85" s="95"/>
      <c r="L85" s="92">
        <v>4</v>
      </c>
      <c r="M85" s="148">
        <v>0.60287982858925904</v>
      </c>
      <c r="N85" s="93">
        <f t="shared" si="38"/>
        <v>22.703684252529687</v>
      </c>
      <c r="O85" s="93">
        <f t="shared" si="43"/>
        <v>90.814737010118748</v>
      </c>
      <c r="P85" s="93">
        <f>$G$23</f>
        <v>16.979591836734695</v>
      </c>
      <c r="Q85" s="93">
        <f t="shared" si="44"/>
        <v>107.79432884685345</v>
      </c>
      <c r="R85" s="116">
        <f t="shared" si="45"/>
        <v>9.0382084897129289E-2</v>
      </c>
      <c r="S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</row>
    <row r="86" spans="3:45" x14ac:dyDescent="0.25">
      <c r="C86" s="92">
        <v>5</v>
      </c>
      <c r="D86" s="112">
        <v>0.70950000000000002</v>
      </c>
      <c r="E86" s="94">
        <f t="shared" si="37"/>
        <v>26.718863715946863</v>
      </c>
      <c r="F86" s="94">
        <f t="shared" si="39"/>
        <v>133.59431857973431</v>
      </c>
      <c r="G86" s="94">
        <f>$G$24</f>
        <v>17.306122448979593</v>
      </c>
      <c r="H86" s="94">
        <f t="shared" si="40"/>
        <v>116.28819613075471</v>
      </c>
      <c r="I86" s="94">
        <f t="shared" si="41"/>
        <v>23.257639226150943</v>
      </c>
      <c r="J86" s="108">
        <f t="shared" si="42"/>
        <v>0.61757507634527953</v>
      </c>
      <c r="K86" s="95"/>
      <c r="L86" s="92">
        <v>5</v>
      </c>
      <c r="M86" s="147">
        <v>0.61807594178264669</v>
      </c>
      <c r="N86" s="94">
        <f t="shared" si="38"/>
        <v>23.275950464546924</v>
      </c>
      <c r="O86" s="94">
        <f t="shared" si="43"/>
        <v>116.37975232273462</v>
      </c>
      <c r="P86" s="94">
        <f>$G$24</f>
        <v>17.306122448979593</v>
      </c>
      <c r="Q86" s="94">
        <f t="shared" si="44"/>
        <v>133.68587477171423</v>
      </c>
      <c r="R86" s="116">
        <f t="shared" si="45"/>
        <v>9.1556191979918822E-2</v>
      </c>
      <c r="S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</row>
    <row r="87" spans="3:45" x14ac:dyDescent="0.25">
      <c r="C87" s="92">
        <v>10</v>
      </c>
      <c r="D87" s="93">
        <v>0.7</v>
      </c>
      <c r="E87" s="93">
        <f t="shared" si="37"/>
        <v>26.361105850828469</v>
      </c>
      <c r="F87" s="93">
        <f t="shared" si="39"/>
        <v>263.61105850828471</v>
      </c>
      <c r="G87" s="93">
        <f>$G$25</f>
        <v>18.938775510204081</v>
      </c>
      <c r="H87" s="93">
        <f t="shared" si="40"/>
        <v>244.67228299808062</v>
      </c>
      <c r="I87" s="93">
        <f t="shared" si="41"/>
        <v>24.467228299808063</v>
      </c>
      <c r="J87" s="109">
        <f t="shared" si="42"/>
        <v>0.64969407420428271</v>
      </c>
      <c r="K87" s="95"/>
      <c r="L87" s="92">
        <v>10</v>
      </c>
      <c r="M87" s="148">
        <v>0.64996813265114395</v>
      </c>
      <c r="N87" s="93">
        <f t="shared" si="38"/>
        <v>24.476969634974466</v>
      </c>
      <c r="O87" s="93">
        <f t="shared" si="43"/>
        <v>244.76969634974466</v>
      </c>
      <c r="P87" s="93">
        <f>$G$25</f>
        <v>18.938775510204081</v>
      </c>
      <c r="Q87" s="93">
        <f t="shared" si="44"/>
        <v>263.70847185994876</v>
      </c>
      <c r="R87" s="116">
        <f t="shared" si="45"/>
        <v>9.7413351664044967E-2</v>
      </c>
      <c r="S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</row>
    <row r="88" spans="3:45" x14ac:dyDescent="0.25">
      <c r="C88" s="92">
        <v>20</v>
      </c>
      <c r="D88" s="93">
        <v>0.7</v>
      </c>
      <c r="E88" s="93">
        <f t="shared" si="37"/>
        <v>26.361105850828469</v>
      </c>
      <c r="F88" s="93">
        <f t="shared" si="39"/>
        <v>527.22211701656943</v>
      </c>
      <c r="G88" s="93">
        <f>$G$26</f>
        <v>22.204081632653061</v>
      </c>
      <c r="H88" s="93">
        <f t="shared" si="40"/>
        <v>505.01803538391636</v>
      </c>
      <c r="I88" s="93">
        <f t="shared" si="41"/>
        <v>25.250901769195817</v>
      </c>
      <c r="J88" s="109">
        <f t="shared" si="42"/>
        <v>0.67050346065923849</v>
      </c>
      <c r="K88" s="95"/>
      <c r="L88" s="92">
        <v>20</v>
      </c>
      <c r="M88" s="148">
        <v>0.67066411561084671</v>
      </c>
      <c r="N88" s="93">
        <f t="shared" si="38"/>
        <v>25.256353917099705</v>
      </c>
      <c r="O88" s="93">
        <f t="shared" si="43"/>
        <v>505.12707834199409</v>
      </c>
      <c r="P88" s="93">
        <f>$G$26</f>
        <v>22.204081632653061</v>
      </c>
      <c r="Q88" s="93">
        <f t="shared" si="44"/>
        <v>527.33115997464711</v>
      </c>
      <c r="R88" s="116">
        <f t="shared" si="45"/>
        <v>0.10904295807767994</v>
      </c>
      <c r="S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</row>
    <row r="89" spans="3:45" x14ac:dyDescent="0.25">
      <c r="C89" s="92">
        <v>30</v>
      </c>
      <c r="D89" s="93">
        <v>0.7</v>
      </c>
      <c r="E89" s="93">
        <f t="shared" si="37"/>
        <v>26.361105850828469</v>
      </c>
      <c r="F89" s="93">
        <f t="shared" si="39"/>
        <v>790.83317552485403</v>
      </c>
      <c r="G89" s="93">
        <f>$G$27</f>
        <v>25.469387755102041</v>
      </c>
      <c r="H89" s="93">
        <f t="shared" si="40"/>
        <v>765.36378776975198</v>
      </c>
      <c r="I89" s="93">
        <f t="shared" si="41"/>
        <v>25.512126258991731</v>
      </c>
      <c r="J89" s="109">
        <f t="shared" si="42"/>
        <v>0.67743992281089027</v>
      </c>
      <c r="K89" s="95"/>
      <c r="L89" s="92">
        <v>30</v>
      </c>
      <c r="M89" s="148">
        <v>0.67756277659741437</v>
      </c>
      <c r="N89" s="93">
        <f t="shared" si="38"/>
        <v>25.516148677808122</v>
      </c>
      <c r="O89" s="93">
        <f t="shared" si="43"/>
        <v>765.48446033424364</v>
      </c>
      <c r="P89" s="93">
        <f>$G$27</f>
        <v>25.469387755102041</v>
      </c>
      <c r="Q89" s="93">
        <f t="shared" si="44"/>
        <v>790.95384808934568</v>
      </c>
      <c r="R89" s="116">
        <f t="shared" si="45"/>
        <v>0.12067256449165598</v>
      </c>
      <c r="S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</row>
    <row r="90" spans="3:45" x14ac:dyDescent="0.25">
      <c r="C90" s="92">
        <v>40</v>
      </c>
      <c r="D90" s="94">
        <v>0.7</v>
      </c>
      <c r="E90" s="94">
        <f t="shared" si="37"/>
        <v>26.361105850828469</v>
      </c>
      <c r="F90" s="94">
        <f t="shared" si="39"/>
        <v>1054.4442340331389</v>
      </c>
      <c r="G90" s="94">
        <f>$G$28</f>
        <v>28.73469387755102</v>
      </c>
      <c r="H90" s="94">
        <f t="shared" si="40"/>
        <v>1025.7095401555878</v>
      </c>
      <c r="I90" s="94">
        <f t="shared" si="41"/>
        <v>25.642738503889696</v>
      </c>
      <c r="J90" s="108">
        <f t="shared" si="42"/>
        <v>0.68090815388671644</v>
      </c>
      <c r="K90" s="95"/>
      <c r="L90" s="92">
        <v>40</v>
      </c>
      <c r="M90" s="147">
        <v>0.68101210709069804</v>
      </c>
      <c r="N90" s="94">
        <f t="shared" si="38"/>
        <v>25.646046058162323</v>
      </c>
      <c r="O90" s="94">
        <f t="shared" si="43"/>
        <v>1025.841842326493</v>
      </c>
      <c r="P90" s="94">
        <f>$G$28</f>
        <v>28.73469387755102</v>
      </c>
      <c r="Q90" s="94">
        <f t="shared" si="44"/>
        <v>1054.576536204044</v>
      </c>
      <c r="R90" s="116">
        <f t="shared" si="45"/>
        <v>0.13230217090517726</v>
      </c>
      <c r="S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</row>
    <row r="91" spans="3:45" x14ac:dyDescent="0.25">
      <c r="C91" s="92">
        <v>50</v>
      </c>
      <c r="D91" s="93">
        <v>0.7</v>
      </c>
      <c r="E91" s="93">
        <f t="shared" si="37"/>
        <v>26.361105850828469</v>
      </c>
      <c r="F91" s="93">
        <f t="shared" si="39"/>
        <v>1318.0552925414236</v>
      </c>
      <c r="G91" s="93">
        <f>$G$29</f>
        <v>32</v>
      </c>
      <c r="H91" s="93">
        <f t="shared" si="40"/>
        <v>1286.0552925414236</v>
      </c>
      <c r="I91" s="93">
        <f t="shared" si="41"/>
        <v>25.721105850828472</v>
      </c>
      <c r="J91" s="109">
        <f t="shared" si="42"/>
        <v>0.68298909253221196</v>
      </c>
      <c r="K91" s="95"/>
      <c r="L91" s="92">
        <v>50</v>
      </c>
      <c r="M91" s="148">
        <v>0.68308170538666846</v>
      </c>
      <c r="N91" s="93">
        <f t="shared" si="38"/>
        <v>25.723984486374857</v>
      </c>
      <c r="O91" s="93">
        <f t="shared" si="43"/>
        <v>1286.1992243187428</v>
      </c>
      <c r="P91" s="93">
        <f>$G$29</f>
        <v>32</v>
      </c>
      <c r="Q91" s="93">
        <f t="shared" si="44"/>
        <v>1318.1992243187428</v>
      </c>
      <c r="R91" s="116">
        <f t="shared" si="45"/>
        <v>0.14393177731926698</v>
      </c>
      <c r="S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</row>
    <row r="92" spans="3:45" x14ac:dyDescent="0.25">
      <c r="S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</row>
    <row r="93" spans="3:45" x14ac:dyDescent="0.25">
      <c r="S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</row>
    <row r="94" spans="3:45" x14ac:dyDescent="0.25">
      <c r="C94" s="101"/>
      <c r="D94" s="117" t="s">
        <v>67</v>
      </c>
      <c r="E94" s="101"/>
      <c r="F94" s="101" t="s">
        <v>50</v>
      </c>
      <c r="G94" s="102"/>
      <c r="H94" s="102" t="s">
        <v>51</v>
      </c>
      <c r="I94" s="102"/>
      <c r="J94" s="102"/>
      <c r="K94" s="150" t="s">
        <v>71</v>
      </c>
      <c r="L94" s="101"/>
      <c r="M94" s="118"/>
      <c r="N94" s="101"/>
      <c r="O94" s="101" t="s">
        <v>51</v>
      </c>
      <c r="P94" s="101"/>
      <c r="Q94" s="101" t="s">
        <v>60</v>
      </c>
      <c r="R94" s="115" t="s">
        <v>62</v>
      </c>
      <c r="S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3:45" x14ac:dyDescent="0.25">
      <c r="C95" s="103" t="s">
        <v>9</v>
      </c>
      <c r="D95" s="101" t="s">
        <v>47</v>
      </c>
      <c r="E95" s="104" t="s">
        <v>56</v>
      </c>
      <c r="F95" s="101" t="s">
        <v>51</v>
      </c>
      <c r="G95" s="102" t="s">
        <v>54</v>
      </c>
      <c r="H95" s="102" t="s">
        <v>55</v>
      </c>
      <c r="I95" s="105" t="s">
        <v>57</v>
      </c>
      <c r="J95" s="106" t="s">
        <v>57</v>
      </c>
      <c r="K95" s="114"/>
      <c r="L95" s="103" t="s">
        <v>9</v>
      </c>
      <c r="M95" s="101" t="s">
        <v>47</v>
      </c>
      <c r="N95" s="104" t="s">
        <v>56</v>
      </c>
      <c r="O95" s="104" t="s">
        <v>55</v>
      </c>
      <c r="P95" s="104" t="s">
        <v>59</v>
      </c>
      <c r="Q95" s="104" t="s">
        <v>51</v>
      </c>
      <c r="R95" s="126" t="s">
        <v>63</v>
      </c>
      <c r="S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</row>
    <row r="96" spans="3:45" x14ac:dyDescent="0.25">
      <c r="C96" s="92">
        <v>1</v>
      </c>
      <c r="D96" s="124">
        <v>0.7</v>
      </c>
      <c r="E96" s="98">
        <f t="shared" ref="E96:E105" si="46">(D96*$C$7)*SQRT(4*$C$9*$C$10/32.2)/12</f>
        <v>26.361105850828469</v>
      </c>
      <c r="F96" s="98">
        <f>C96*E96</f>
        <v>26.361105850828469</v>
      </c>
      <c r="G96" s="98">
        <f>$G$20</f>
        <v>16</v>
      </c>
      <c r="H96" s="98">
        <f>F96-G96</f>
        <v>10.361105850828469</v>
      </c>
      <c r="I96" s="98">
        <f>H96/C96</f>
        <v>10.361105850828469</v>
      </c>
      <c r="J96" s="107">
        <f>SQRT(12*32.2*I96^2/(4*$C$9*($C$8*56)*$C$7^2))</f>
        <v>0.27512511801507927</v>
      </c>
      <c r="L96" s="92">
        <v>1</v>
      </c>
      <c r="M96" s="146">
        <v>0.27744043937649393</v>
      </c>
      <c r="N96" s="98">
        <f t="shared" ref="N96:N105" si="47">(M96*$C$7)*SQRT(4*$C$9*$C$10/32.2)/12</f>
        <v>10.448052556720166</v>
      </c>
      <c r="O96" s="98">
        <f>L96*N96</f>
        <v>10.448052556720166</v>
      </c>
      <c r="P96" s="98">
        <f>$G$20</f>
        <v>16</v>
      </c>
      <c r="Q96" s="98">
        <f>O96+P96</f>
        <v>26.448052556720164</v>
      </c>
      <c r="R96" s="116">
        <f>Q96-F96</f>
        <v>8.694670589169462E-2</v>
      </c>
      <c r="S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</row>
    <row r="97" spans="3:45" x14ac:dyDescent="0.25">
      <c r="C97" s="92">
        <v>2</v>
      </c>
      <c r="D97" s="123">
        <v>0.7</v>
      </c>
      <c r="E97" s="94">
        <f t="shared" si="46"/>
        <v>26.361105850828469</v>
      </c>
      <c r="F97" s="94">
        <f t="shared" ref="F97:F105" si="48">C97*E97</f>
        <v>52.722211701656938</v>
      </c>
      <c r="G97" s="94">
        <f>$G$21</f>
        <v>16.326530612244898</v>
      </c>
      <c r="H97" s="94">
        <f t="shared" ref="H97:H105" si="49">F97-G97</f>
        <v>36.395681089412037</v>
      </c>
      <c r="I97" s="94">
        <f t="shared" ref="I97:I105" si="50">H97/C97</f>
        <v>18.197840544706018</v>
      </c>
      <c r="J97" s="108">
        <f t="shared" ref="J97:J105" si="51">SQRT(12*32.2*I97^2/(4*$C$9*($C$8*56)*$C$7^2))</f>
        <v>0.48321898256463663</v>
      </c>
      <c r="K97" s="95"/>
      <c r="L97" s="92">
        <v>2</v>
      </c>
      <c r="M97" s="147">
        <v>0.48440026897352179</v>
      </c>
      <c r="N97" s="94">
        <f t="shared" si="47"/>
        <v>18.241895377972558</v>
      </c>
      <c r="O97" s="94">
        <f t="shared" ref="O97:O105" si="52">L97*N97</f>
        <v>36.483790755945115</v>
      </c>
      <c r="P97" s="94">
        <f>$G$21</f>
        <v>16.326530612244898</v>
      </c>
      <c r="Q97" s="94">
        <f t="shared" ref="Q97:Q105" si="53">O97+P97</f>
        <v>52.810321368190017</v>
      </c>
      <c r="R97" s="116">
        <f t="shared" ref="R97:R105" si="54">Q97-F97</f>
        <v>8.8109666533078723E-2</v>
      </c>
      <c r="S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</row>
    <row r="98" spans="3:45" x14ac:dyDescent="0.25">
      <c r="C98" s="92">
        <v>3</v>
      </c>
      <c r="D98" s="122">
        <v>0.7</v>
      </c>
      <c r="E98" s="93">
        <f t="shared" si="46"/>
        <v>26.361105850828469</v>
      </c>
      <c r="F98" s="93">
        <f t="shared" si="48"/>
        <v>79.083317552485411</v>
      </c>
      <c r="G98" s="93">
        <f>$G$22</f>
        <v>16.653061224489797</v>
      </c>
      <c r="H98" s="93">
        <f t="shared" si="49"/>
        <v>62.430256327995615</v>
      </c>
      <c r="I98" s="93">
        <f t="shared" si="50"/>
        <v>20.810085442665205</v>
      </c>
      <c r="J98" s="109">
        <f t="shared" si="51"/>
        <v>0.55258360408115592</v>
      </c>
      <c r="K98" s="95"/>
      <c r="L98" s="92">
        <v>3</v>
      </c>
      <c r="M98" s="148">
        <v>0.55338687883919779</v>
      </c>
      <c r="N98" s="93">
        <f t="shared" si="47"/>
        <v>20.839842985056688</v>
      </c>
      <c r="O98" s="93">
        <f t="shared" si="52"/>
        <v>62.51952895517006</v>
      </c>
      <c r="P98" s="93">
        <f>$G$22</f>
        <v>16.653061224489797</v>
      </c>
      <c r="Q98" s="93">
        <f t="shared" si="53"/>
        <v>79.172590179659863</v>
      </c>
      <c r="R98" s="116">
        <f t="shared" si="54"/>
        <v>8.9272627174452168E-2</v>
      </c>
      <c r="S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</row>
    <row r="99" spans="3:45" x14ac:dyDescent="0.25">
      <c r="C99" s="92">
        <v>4</v>
      </c>
      <c r="D99" s="122">
        <v>0.7</v>
      </c>
      <c r="E99" s="93">
        <f t="shared" si="46"/>
        <v>26.361105850828469</v>
      </c>
      <c r="F99" s="93">
        <f t="shared" si="48"/>
        <v>105.44442340331388</v>
      </c>
      <c r="G99" s="93">
        <f>$G$23</f>
        <v>16.979591836734695</v>
      </c>
      <c r="H99" s="93">
        <f t="shared" si="49"/>
        <v>88.464831566579178</v>
      </c>
      <c r="I99" s="93">
        <f t="shared" si="50"/>
        <v>22.116207891644795</v>
      </c>
      <c r="J99" s="109">
        <f t="shared" si="51"/>
        <v>0.58726591483941548</v>
      </c>
      <c r="K99" s="95"/>
      <c r="L99" s="92">
        <v>4</v>
      </c>
      <c r="M99" s="148">
        <v>0.58788018377203566</v>
      </c>
      <c r="N99" s="93">
        <f t="shared" si="47"/>
        <v>22.138816788598749</v>
      </c>
      <c r="O99" s="93">
        <f t="shared" si="52"/>
        <v>88.555267154394997</v>
      </c>
      <c r="P99" s="93">
        <f>$G$23</f>
        <v>16.979591836734695</v>
      </c>
      <c r="Q99" s="93">
        <f t="shared" si="53"/>
        <v>105.5348589911297</v>
      </c>
      <c r="R99" s="116">
        <f t="shared" si="54"/>
        <v>9.0435587815818508E-2</v>
      </c>
      <c r="S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</row>
    <row r="100" spans="3:45" x14ac:dyDescent="0.25">
      <c r="C100" s="92">
        <v>5</v>
      </c>
      <c r="D100" s="123">
        <v>0.7</v>
      </c>
      <c r="E100" s="94">
        <f t="shared" si="46"/>
        <v>26.361105850828469</v>
      </c>
      <c r="F100" s="94">
        <f>C100*E100</f>
        <v>131.80552925414236</v>
      </c>
      <c r="G100" s="94">
        <f>$G$24</f>
        <v>17.306122448979593</v>
      </c>
      <c r="H100" s="94">
        <f t="shared" si="49"/>
        <v>114.49940680516276</v>
      </c>
      <c r="I100" s="94">
        <f t="shared" si="50"/>
        <v>22.899881361032552</v>
      </c>
      <c r="J100" s="108">
        <f t="shared" si="51"/>
        <v>0.60807530129437126</v>
      </c>
      <c r="K100" s="95"/>
      <c r="L100" s="92">
        <v>5</v>
      </c>
      <c r="M100" s="147">
        <v>0.60857616673173842</v>
      </c>
      <c r="N100" s="94">
        <f t="shared" si="47"/>
        <v>22.918201070723992</v>
      </c>
      <c r="O100" s="94">
        <f t="shared" si="52"/>
        <v>114.59100535361996</v>
      </c>
      <c r="P100" s="94">
        <f>$G$24</f>
        <v>17.306122448979593</v>
      </c>
      <c r="Q100" s="94">
        <f t="shared" si="53"/>
        <v>131.89712780259956</v>
      </c>
      <c r="R100" s="116">
        <f t="shared" si="54"/>
        <v>9.1598548457199058E-2</v>
      </c>
      <c r="S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</row>
    <row r="101" spans="3:45" x14ac:dyDescent="0.25">
      <c r="C101" s="92">
        <v>10</v>
      </c>
      <c r="D101" s="93">
        <v>0.7</v>
      </c>
      <c r="E101" s="93">
        <f t="shared" si="46"/>
        <v>26.361105850828469</v>
      </c>
      <c r="F101" s="93">
        <f t="shared" si="48"/>
        <v>263.61105850828471</v>
      </c>
      <c r="G101" s="93">
        <f>$G$25</f>
        <v>18.938775510204081</v>
      </c>
      <c r="H101" s="93">
        <f t="shared" si="49"/>
        <v>244.67228299808062</v>
      </c>
      <c r="I101" s="93">
        <f t="shared" si="50"/>
        <v>24.467228299808063</v>
      </c>
      <c r="J101" s="109">
        <f t="shared" si="51"/>
        <v>0.64969407420428271</v>
      </c>
      <c r="K101" s="95"/>
      <c r="L101" s="92">
        <v>10</v>
      </c>
      <c r="M101" s="148">
        <v>0.64996813265114395</v>
      </c>
      <c r="N101" s="93">
        <f t="shared" si="47"/>
        <v>24.476969634974466</v>
      </c>
      <c r="O101" s="93">
        <f t="shared" si="52"/>
        <v>244.76969634974466</v>
      </c>
      <c r="P101" s="93">
        <f>$G$25</f>
        <v>18.938775510204081</v>
      </c>
      <c r="Q101" s="93">
        <f t="shared" si="53"/>
        <v>263.70847185994876</v>
      </c>
      <c r="R101" s="116">
        <f t="shared" si="54"/>
        <v>9.7413351664044967E-2</v>
      </c>
      <c r="S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</row>
    <row r="102" spans="3:45" x14ac:dyDescent="0.25">
      <c r="C102" s="92">
        <v>20</v>
      </c>
      <c r="D102" s="93">
        <v>0.7</v>
      </c>
      <c r="E102" s="93">
        <f t="shared" si="46"/>
        <v>26.361105850828469</v>
      </c>
      <c r="F102" s="93">
        <f t="shared" si="48"/>
        <v>527.22211701656943</v>
      </c>
      <c r="G102" s="93">
        <f>$G$26</f>
        <v>22.204081632653061</v>
      </c>
      <c r="H102" s="93">
        <f t="shared" si="49"/>
        <v>505.01803538391636</v>
      </c>
      <c r="I102" s="93">
        <f t="shared" si="50"/>
        <v>25.250901769195817</v>
      </c>
      <c r="J102" s="109">
        <f t="shared" si="51"/>
        <v>0.67050346065923849</v>
      </c>
      <c r="K102" s="95"/>
      <c r="L102" s="92">
        <v>20</v>
      </c>
      <c r="M102" s="148">
        <v>0.67066411561084671</v>
      </c>
      <c r="N102" s="93">
        <f t="shared" si="47"/>
        <v>25.256353917099705</v>
      </c>
      <c r="O102" s="93">
        <f t="shared" si="52"/>
        <v>505.12707834199409</v>
      </c>
      <c r="P102" s="93">
        <f>$G$26</f>
        <v>22.204081632653061</v>
      </c>
      <c r="Q102" s="93">
        <f t="shared" si="53"/>
        <v>527.33115997464711</v>
      </c>
      <c r="R102" s="116">
        <f t="shared" si="54"/>
        <v>0.10904295807767994</v>
      </c>
      <c r="S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</row>
    <row r="103" spans="3:45" x14ac:dyDescent="0.25">
      <c r="C103" s="92">
        <v>30</v>
      </c>
      <c r="D103" s="93">
        <v>0.7</v>
      </c>
      <c r="E103" s="93">
        <f t="shared" si="46"/>
        <v>26.361105850828469</v>
      </c>
      <c r="F103" s="93">
        <f t="shared" si="48"/>
        <v>790.83317552485403</v>
      </c>
      <c r="G103" s="93">
        <f>$G$27</f>
        <v>25.469387755102041</v>
      </c>
      <c r="H103" s="93">
        <f t="shared" si="49"/>
        <v>765.36378776975198</v>
      </c>
      <c r="I103" s="93">
        <f t="shared" si="50"/>
        <v>25.512126258991731</v>
      </c>
      <c r="J103" s="109">
        <f t="shared" si="51"/>
        <v>0.67743992281089027</v>
      </c>
      <c r="K103" s="95"/>
      <c r="L103" s="92">
        <v>30</v>
      </c>
      <c r="M103" s="148">
        <v>0.67756277659741437</v>
      </c>
      <c r="N103" s="93">
        <f t="shared" si="47"/>
        <v>25.516148677808122</v>
      </c>
      <c r="O103" s="93">
        <f t="shared" si="52"/>
        <v>765.48446033424364</v>
      </c>
      <c r="P103" s="93">
        <f>$G$27</f>
        <v>25.469387755102041</v>
      </c>
      <c r="Q103" s="93">
        <f t="shared" si="53"/>
        <v>790.95384808934568</v>
      </c>
      <c r="R103" s="116">
        <f t="shared" si="54"/>
        <v>0.12067256449165598</v>
      </c>
      <c r="S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</row>
    <row r="104" spans="3:45" x14ac:dyDescent="0.25">
      <c r="C104" s="92">
        <v>40</v>
      </c>
      <c r="D104" s="94">
        <v>0.7</v>
      </c>
      <c r="E104" s="94">
        <f t="shared" si="46"/>
        <v>26.361105850828469</v>
      </c>
      <c r="F104" s="94">
        <f t="shared" si="48"/>
        <v>1054.4442340331389</v>
      </c>
      <c r="G104" s="94">
        <f>$G$28</f>
        <v>28.73469387755102</v>
      </c>
      <c r="H104" s="94">
        <f t="shared" si="49"/>
        <v>1025.7095401555878</v>
      </c>
      <c r="I104" s="94">
        <f t="shared" si="50"/>
        <v>25.642738503889696</v>
      </c>
      <c r="J104" s="108">
        <f t="shared" si="51"/>
        <v>0.68090815388671644</v>
      </c>
      <c r="K104" s="95"/>
      <c r="L104" s="92">
        <v>40</v>
      </c>
      <c r="M104" s="147">
        <v>0.68101210709069804</v>
      </c>
      <c r="N104" s="94">
        <f t="shared" si="47"/>
        <v>25.646046058162323</v>
      </c>
      <c r="O104" s="94">
        <f t="shared" si="52"/>
        <v>1025.841842326493</v>
      </c>
      <c r="P104" s="94">
        <f>$G$28</f>
        <v>28.73469387755102</v>
      </c>
      <c r="Q104" s="94">
        <f t="shared" si="53"/>
        <v>1054.576536204044</v>
      </c>
      <c r="R104" s="116">
        <f t="shared" si="54"/>
        <v>0.13230217090517726</v>
      </c>
      <c r="S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</row>
    <row r="105" spans="3:45" x14ac:dyDescent="0.25">
      <c r="C105" s="92">
        <v>50</v>
      </c>
      <c r="D105" s="93">
        <v>0.7</v>
      </c>
      <c r="E105" s="93">
        <f t="shared" si="46"/>
        <v>26.361105850828469</v>
      </c>
      <c r="F105" s="93">
        <f t="shared" si="48"/>
        <v>1318.0552925414236</v>
      </c>
      <c r="G105" s="93">
        <f>$G$29</f>
        <v>32</v>
      </c>
      <c r="H105" s="93">
        <f t="shared" si="49"/>
        <v>1286.0552925414236</v>
      </c>
      <c r="I105" s="93">
        <f t="shared" si="50"/>
        <v>25.721105850828472</v>
      </c>
      <c r="J105" s="109">
        <f t="shared" si="51"/>
        <v>0.68298909253221196</v>
      </c>
      <c r="K105" s="95"/>
      <c r="L105" s="92">
        <v>50</v>
      </c>
      <c r="M105" s="148">
        <v>0.68308170538666846</v>
      </c>
      <c r="N105" s="93">
        <f t="shared" si="47"/>
        <v>25.723984486374857</v>
      </c>
      <c r="O105" s="93">
        <f t="shared" si="52"/>
        <v>1286.1992243187428</v>
      </c>
      <c r="P105" s="93">
        <f>$G$29</f>
        <v>32</v>
      </c>
      <c r="Q105" s="93">
        <f t="shared" si="53"/>
        <v>1318.1992243187428</v>
      </c>
      <c r="R105" s="116">
        <f t="shared" si="54"/>
        <v>0.14393177731926698</v>
      </c>
      <c r="S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</row>
    <row r="106" spans="3:45" x14ac:dyDescent="0.25">
      <c r="S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</row>
    <row r="107" spans="3:45" x14ac:dyDescent="0.25">
      <c r="S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</row>
    <row r="108" spans="3:45" x14ac:dyDescent="0.25">
      <c r="S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</row>
    <row r="109" spans="3:45" x14ac:dyDescent="0.25">
      <c r="C109" s="127"/>
      <c r="D109" s="128"/>
      <c r="E109" s="128"/>
      <c r="F109" s="128"/>
      <c r="G109" s="128"/>
      <c r="H109" s="129"/>
      <c r="N109" s="264" t="s">
        <v>73</v>
      </c>
      <c r="S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</row>
    <row r="110" spans="3:45" x14ac:dyDescent="0.25">
      <c r="C110" s="130"/>
      <c r="D110" s="131" t="s">
        <v>70</v>
      </c>
      <c r="E110" s="90"/>
      <c r="F110" s="132" t="s">
        <v>43</v>
      </c>
      <c r="G110" s="90"/>
      <c r="H110" s="133"/>
      <c r="O110" s="265" t="s">
        <v>67</v>
      </c>
      <c r="S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</row>
    <row r="111" spans="3:45" x14ac:dyDescent="0.25">
      <c r="C111" s="134"/>
      <c r="D111" s="135" t="str">
        <f>D18</f>
        <v xml:space="preserve"> 100_74_70</v>
      </c>
      <c r="E111" s="135" t="str">
        <f>D33</f>
        <v xml:space="preserve"> 93_73_70</v>
      </c>
      <c r="F111" s="136" t="str">
        <f>D66</f>
        <v xml:space="preserve"> 86_72_70</v>
      </c>
      <c r="G111" s="135" t="str">
        <f>D80</f>
        <v xml:space="preserve"> 78_71_70</v>
      </c>
      <c r="H111" s="137" t="str">
        <f>D94</f>
        <v xml:space="preserve"> 70_70_70</v>
      </c>
      <c r="J111"/>
      <c r="L111" s="134"/>
      <c r="S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</row>
    <row r="112" spans="3:45" x14ac:dyDescent="0.25">
      <c r="C112" s="134" t="s">
        <v>9</v>
      </c>
      <c r="D112" s="103" t="s">
        <v>47</v>
      </c>
      <c r="E112" s="103" t="s">
        <v>47</v>
      </c>
      <c r="F112" s="103" t="s">
        <v>47</v>
      </c>
      <c r="G112" s="103" t="s">
        <v>47</v>
      </c>
      <c r="H112" s="138" t="s">
        <v>47</v>
      </c>
      <c r="J112"/>
      <c r="L112" s="134" t="s">
        <v>9</v>
      </c>
      <c r="O112" s="101" t="s">
        <v>51</v>
      </c>
      <c r="S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</row>
    <row r="113" spans="3:45" x14ac:dyDescent="0.25">
      <c r="C113" s="139">
        <v>1</v>
      </c>
      <c r="D113" s="119">
        <f t="shared" ref="D113:D122" si="55">M20</f>
        <v>0.57743333572096223</v>
      </c>
      <c r="E113" s="119">
        <f t="shared" ref="E113:E122" si="56">M35</f>
        <v>0.50253510926696021</v>
      </c>
      <c r="F113" s="119">
        <f t="shared" ref="F113:F122" si="57">M68</f>
        <v>0.42743688754872811</v>
      </c>
      <c r="G113" s="119">
        <f t="shared" ref="G113:G122" si="58">M82</f>
        <v>0.35253866109472592</v>
      </c>
      <c r="H113" s="140">
        <f t="shared" ref="H113:H122" si="59">M96</f>
        <v>0.27744043937649393</v>
      </c>
      <c r="J113"/>
      <c r="L113" s="139">
        <v>1</v>
      </c>
      <c r="M113" s="261">
        <v>0.95209999999999995</v>
      </c>
      <c r="N113" s="262">
        <v>38.299999999999997</v>
      </c>
      <c r="O113" s="98">
        <v>26.361105850828469</v>
      </c>
      <c r="P113" s="266">
        <v>29.1</v>
      </c>
      <c r="S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</row>
    <row r="114" spans="3:45" x14ac:dyDescent="0.25">
      <c r="C114" s="139">
        <v>2</v>
      </c>
      <c r="D114" s="120">
        <f t="shared" si="55"/>
        <v>0.6543962435687205</v>
      </c>
      <c r="E114" s="120">
        <f t="shared" si="56"/>
        <v>0.61189724991992078</v>
      </c>
      <c r="F114" s="120">
        <f t="shared" si="57"/>
        <v>0.56939825627112128</v>
      </c>
      <c r="G114" s="120">
        <f t="shared" si="58"/>
        <v>0.52689926262232178</v>
      </c>
      <c r="H114" s="141">
        <f t="shared" si="59"/>
        <v>0.48440026897352179</v>
      </c>
      <c r="J114"/>
      <c r="L114" s="139">
        <v>2</v>
      </c>
      <c r="M114" s="261">
        <v>0.81499999999999995</v>
      </c>
      <c r="N114" s="263">
        <v>67.5</v>
      </c>
      <c r="O114" s="94">
        <v>52.722211701656938</v>
      </c>
      <c r="P114" s="267">
        <v>52.5</v>
      </c>
      <c r="S114"/>
    </row>
    <row r="115" spans="3:45" x14ac:dyDescent="0.25">
      <c r="C115" s="139">
        <v>3</v>
      </c>
      <c r="D115" s="121">
        <f t="shared" si="55"/>
        <v>0.65238453463287249</v>
      </c>
      <c r="E115" s="121">
        <f t="shared" si="56"/>
        <v>0.62768511950051098</v>
      </c>
      <c r="F115" s="121">
        <f t="shared" si="57"/>
        <v>0.60288570673603514</v>
      </c>
      <c r="G115" s="121">
        <f t="shared" si="58"/>
        <v>0.57818629160367396</v>
      </c>
      <c r="H115" s="142">
        <f t="shared" si="59"/>
        <v>0.55338687883919779</v>
      </c>
      <c r="J115"/>
      <c r="L115" s="139">
        <v>3</v>
      </c>
      <c r="M115" s="261">
        <v>0.74</v>
      </c>
      <c r="N115" s="262">
        <v>91.9</v>
      </c>
      <c r="O115" s="93">
        <v>79.083317552485411</v>
      </c>
      <c r="P115" s="266">
        <v>75.3</v>
      </c>
      <c r="S115"/>
    </row>
    <row r="116" spans="3:45" x14ac:dyDescent="0.25">
      <c r="C116" s="139">
        <v>4</v>
      </c>
      <c r="D116" s="121">
        <f t="shared" si="55"/>
        <v>0.6478787630409294</v>
      </c>
      <c r="E116" s="121">
        <f t="shared" si="56"/>
        <v>0.63287911822370602</v>
      </c>
      <c r="F116" s="121">
        <f t="shared" si="57"/>
        <v>0.61787947340648264</v>
      </c>
      <c r="G116" s="121">
        <f t="shared" si="58"/>
        <v>0.60287982858925904</v>
      </c>
      <c r="H116" s="142">
        <f t="shared" si="59"/>
        <v>0.58788018377203566</v>
      </c>
      <c r="J116"/>
      <c r="L116" s="139">
        <v>4</v>
      </c>
      <c r="M116" s="261">
        <v>0.70499999999999996</v>
      </c>
      <c r="N116" s="262">
        <v>116.8</v>
      </c>
      <c r="O116" s="93">
        <v>105.44442340331388</v>
      </c>
      <c r="P116" s="266">
        <v>94.2</v>
      </c>
      <c r="S116"/>
    </row>
    <row r="117" spans="3:45" x14ac:dyDescent="0.25">
      <c r="C117" s="139">
        <v>5</v>
      </c>
      <c r="D117" s="120">
        <f t="shared" si="55"/>
        <v>0.64657526693537126</v>
      </c>
      <c r="E117" s="120">
        <f t="shared" si="56"/>
        <v>0.63707549188446311</v>
      </c>
      <c r="F117" s="120">
        <f t="shared" si="57"/>
        <v>0.62757571683355473</v>
      </c>
      <c r="G117" s="120">
        <f t="shared" si="58"/>
        <v>0.61807594178264669</v>
      </c>
      <c r="H117" s="141">
        <f t="shared" si="59"/>
        <v>0.60857616673173842</v>
      </c>
      <c r="J117"/>
      <c r="L117" s="139">
        <v>5</v>
      </c>
      <c r="M117" s="261">
        <v>0.67852000000000001</v>
      </c>
      <c r="N117" s="263">
        <v>140.5</v>
      </c>
      <c r="O117" s="94">
        <v>131.80552925414236</v>
      </c>
      <c r="P117" s="267">
        <v>114.3</v>
      </c>
      <c r="S117"/>
    </row>
    <row r="118" spans="3:45" x14ac:dyDescent="0.25">
      <c r="C118" s="139">
        <v>10</v>
      </c>
      <c r="D118" s="121">
        <f t="shared" si="55"/>
        <v>0.64996813265114395</v>
      </c>
      <c r="E118" s="121">
        <f t="shared" si="56"/>
        <v>0.64996813265114395</v>
      </c>
      <c r="F118" s="121">
        <f t="shared" si="57"/>
        <v>0.64996813265114395</v>
      </c>
      <c r="G118" s="121">
        <f t="shared" si="58"/>
        <v>0.64996813265114395</v>
      </c>
      <c r="H118" s="142">
        <f t="shared" si="59"/>
        <v>0.64996813265114395</v>
      </c>
      <c r="J118"/>
      <c r="L118" s="139">
        <v>10</v>
      </c>
      <c r="M118" s="261">
        <v>0.64</v>
      </c>
      <c r="N118" s="262">
        <v>265</v>
      </c>
      <c r="O118" s="93">
        <v>263.61105850828471</v>
      </c>
      <c r="P118" s="266">
        <v>233.6</v>
      </c>
      <c r="S118"/>
    </row>
    <row r="119" spans="3:45" x14ac:dyDescent="0.25">
      <c r="C119" s="139">
        <v>20</v>
      </c>
      <c r="D119" s="121">
        <f t="shared" si="55"/>
        <v>0.67066411561084671</v>
      </c>
      <c r="E119" s="121">
        <f t="shared" si="56"/>
        <v>0.67066411561084671</v>
      </c>
      <c r="F119" s="121">
        <f t="shared" si="57"/>
        <v>0.67066411561084671</v>
      </c>
      <c r="G119" s="121">
        <f t="shared" si="58"/>
        <v>0.67066411561084671</v>
      </c>
      <c r="H119" s="142">
        <f t="shared" si="59"/>
        <v>0.67066411561084671</v>
      </c>
      <c r="J119"/>
      <c r="L119" s="139">
        <v>20</v>
      </c>
      <c r="M119" s="261">
        <v>0.65</v>
      </c>
      <c r="N119" s="262">
        <v>538.29999999999995</v>
      </c>
      <c r="O119" s="93">
        <v>527.22211701656943</v>
      </c>
      <c r="P119" s="266">
        <v>480</v>
      </c>
    </row>
    <row r="120" spans="3:45" x14ac:dyDescent="0.25">
      <c r="C120" s="139">
        <v>30</v>
      </c>
      <c r="D120" s="121">
        <f t="shared" si="55"/>
        <v>0.67756277659741437</v>
      </c>
      <c r="E120" s="121">
        <f t="shared" si="56"/>
        <v>0.67756277659741437</v>
      </c>
      <c r="F120" s="121">
        <f t="shared" si="57"/>
        <v>0.67756277659741437</v>
      </c>
      <c r="G120" s="121">
        <f t="shared" si="58"/>
        <v>0.67756277659741437</v>
      </c>
      <c r="H120" s="142">
        <f t="shared" si="59"/>
        <v>0.67756277659741437</v>
      </c>
      <c r="J120"/>
      <c r="L120" s="139">
        <v>30</v>
      </c>
      <c r="M120" s="261">
        <v>0.66500000000000004</v>
      </c>
      <c r="N120" s="262">
        <v>826</v>
      </c>
      <c r="O120" s="93">
        <v>790.83317552485403</v>
      </c>
      <c r="P120" s="266">
        <v>746.6</v>
      </c>
    </row>
    <row r="121" spans="3:45" x14ac:dyDescent="0.25">
      <c r="C121" s="139">
        <v>40</v>
      </c>
      <c r="D121" s="120">
        <f t="shared" si="55"/>
        <v>0.68101210709069804</v>
      </c>
      <c r="E121" s="120">
        <f t="shared" si="56"/>
        <v>0.68101210709069804</v>
      </c>
      <c r="F121" s="120">
        <f t="shared" si="57"/>
        <v>0.68101210709069804</v>
      </c>
      <c r="G121" s="120">
        <f t="shared" si="58"/>
        <v>0.68101210709069804</v>
      </c>
      <c r="H121" s="141">
        <f t="shared" si="59"/>
        <v>0.68101210709069804</v>
      </c>
      <c r="J121"/>
      <c r="L121" s="139">
        <v>40</v>
      </c>
      <c r="M121" s="261">
        <v>0.68</v>
      </c>
      <c r="N121" s="263">
        <v>1126.2</v>
      </c>
      <c r="O121" s="94">
        <v>1054.4442340331389</v>
      </c>
      <c r="P121" s="267">
        <v>1055</v>
      </c>
    </row>
    <row r="122" spans="3:45" x14ac:dyDescent="0.25">
      <c r="C122" s="139">
        <v>50</v>
      </c>
      <c r="D122" s="121">
        <f t="shared" si="55"/>
        <v>0.68308170538666846</v>
      </c>
      <c r="E122" s="121">
        <f t="shared" si="56"/>
        <v>0.68308170538666846</v>
      </c>
      <c r="F122" s="121">
        <f t="shared" si="57"/>
        <v>0.68308170538666846</v>
      </c>
      <c r="G122" s="121">
        <f t="shared" si="58"/>
        <v>0.68308170538666846</v>
      </c>
      <c r="H122" s="142">
        <f t="shared" si="59"/>
        <v>0.68308170538666846</v>
      </c>
      <c r="J122"/>
      <c r="L122" s="139">
        <v>50</v>
      </c>
      <c r="M122" s="261">
        <v>0.7</v>
      </c>
      <c r="N122" s="262">
        <v>1449.1</v>
      </c>
      <c r="O122" s="93">
        <v>1318.0552925414236</v>
      </c>
      <c r="P122" s="266">
        <v>1348.2</v>
      </c>
    </row>
    <row r="123" spans="3:45" x14ac:dyDescent="0.25">
      <c r="C123" s="143"/>
      <c r="D123" s="144"/>
      <c r="E123" s="144"/>
      <c r="F123" s="144"/>
      <c r="G123" s="144"/>
      <c r="H123" s="145"/>
      <c r="J123"/>
    </row>
    <row r="124" spans="3:45" x14ac:dyDescent="0.25">
      <c r="J124"/>
    </row>
  </sheetData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D4024-0653-4F48-A50C-286A4207529E}">
  <sheetPr transitionEvaluation="1" transitionEntry="1" codeName="Sheet1">
    <pageSetUpPr fitToPage="1"/>
  </sheetPr>
  <dimension ref="A1:AU141"/>
  <sheetViews>
    <sheetView showGridLines="0" topLeftCell="A16" zoomScale="80" zoomScaleNormal="80" workbookViewId="0">
      <selection activeCell="M29" sqref="M29"/>
    </sheetView>
  </sheetViews>
  <sheetFormatPr defaultRowHeight="15" x14ac:dyDescent="0.25"/>
  <cols>
    <col min="1" max="11" width="10.7109375" style="86" customWidth="1"/>
    <col min="12" max="12" width="14.7109375" style="86" customWidth="1"/>
    <col min="13" max="27" width="10.7109375" style="86" customWidth="1"/>
    <col min="28" max="29" width="9.28515625" style="86" customWidth="1"/>
    <col min="30" max="16384" width="9.140625" style="86"/>
  </cols>
  <sheetData>
    <row r="1" spans="1:25" x14ac:dyDescent="0.25">
      <c r="B1"/>
      <c r="C1"/>
      <c r="D1"/>
      <c r="E1"/>
      <c r="F1"/>
      <c r="G1"/>
      <c r="H1"/>
      <c r="I1"/>
      <c r="J1"/>
      <c r="K1"/>
      <c r="L1"/>
      <c r="R1" s="169" t="s">
        <v>85</v>
      </c>
      <c r="W1" s="87"/>
    </row>
    <row r="2" spans="1:25" x14ac:dyDescent="0.25">
      <c r="A2" t="s">
        <v>78</v>
      </c>
      <c r="C2"/>
      <c r="D2"/>
      <c r="E2"/>
      <c r="F2"/>
      <c r="G2"/>
      <c r="H2"/>
      <c r="I2"/>
      <c r="J2"/>
      <c r="K2">
        <v>62.3</v>
      </c>
      <c r="L2" s="189" t="s">
        <v>119</v>
      </c>
      <c r="M2"/>
      <c r="N2" s="180">
        <v>0.78</v>
      </c>
      <c r="R2" s="169" t="s">
        <v>43</v>
      </c>
      <c r="W2" s="87"/>
    </row>
    <row r="3" spans="1:25" x14ac:dyDescent="0.25">
      <c r="A3" s="1" t="s">
        <v>79</v>
      </c>
      <c r="C3"/>
      <c r="D3"/>
      <c r="E3"/>
      <c r="F3"/>
      <c r="G3"/>
      <c r="H3"/>
      <c r="I3"/>
      <c r="J3"/>
      <c r="K3">
        <v>61.5</v>
      </c>
      <c r="L3" s="189" t="s">
        <v>119</v>
      </c>
      <c r="M3"/>
      <c r="N3" s="180">
        <v>0.76</v>
      </c>
      <c r="R3" s="100"/>
      <c r="W3" s="87"/>
    </row>
    <row r="4" spans="1:25" x14ac:dyDescent="0.25">
      <c r="A4" s="1" t="s">
        <v>84</v>
      </c>
      <c r="C4"/>
      <c r="D4"/>
      <c r="E4"/>
      <c r="F4"/>
      <c r="G4"/>
      <c r="H4"/>
      <c r="I4"/>
      <c r="J4"/>
      <c r="K4">
        <v>60.6</v>
      </c>
      <c r="L4" s="189" t="s">
        <v>119</v>
      </c>
      <c r="M4"/>
      <c r="N4" s="180">
        <v>0.75</v>
      </c>
      <c r="R4" s="100"/>
      <c r="W4" s="87"/>
    </row>
    <row r="5" spans="1:25" x14ac:dyDescent="0.25">
      <c r="B5" s="21"/>
      <c r="C5"/>
      <c r="D5"/>
      <c r="E5"/>
      <c r="F5"/>
      <c r="G5"/>
      <c r="H5"/>
      <c r="I5"/>
      <c r="J5"/>
      <c r="K5">
        <v>59.8</v>
      </c>
      <c r="L5" s="189" t="s">
        <v>119</v>
      </c>
      <c r="M5"/>
      <c r="N5" s="180">
        <v>0.74</v>
      </c>
      <c r="R5" s="100"/>
      <c r="W5" s="87"/>
    </row>
    <row r="6" spans="1:25" ht="18.75" x14ac:dyDescent="0.3">
      <c r="A6" s="245" t="s">
        <v>131</v>
      </c>
      <c r="B6"/>
      <c r="C6"/>
      <c r="D6"/>
      <c r="E6"/>
      <c r="F6"/>
      <c r="G6"/>
      <c r="H6"/>
      <c r="I6"/>
      <c r="J6"/>
      <c r="K6">
        <v>59</v>
      </c>
      <c r="L6" s="189" t="s">
        <v>119</v>
      </c>
      <c r="M6"/>
      <c r="N6" s="180">
        <v>0.73</v>
      </c>
      <c r="O6" s="200" t="s">
        <v>115</v>
      </c>
      <c r="R6" s="100"/>
      <c r="W6" s="87"/>
    </row>
    <row r="7" spans="1:25" x14ac:dyDescent="0.25">
      <c r="B7"/>
      <c r="C7" s="34"/>
      <c r="D7" s="10"/>
      <c r="E7"/>
      <c r="F7" s="10"/>
      <c r="H7"/>
      <c r="I7"/>
      <c r="J7"/>
      <c r="K7">
        <v>58.2</v>
      </c>
      <c r="L7" s="189" t="s">
        <v>119</v>
      </c>
      <c r="M7"/>
      <c r="N7" s="180">
        <v>0.71</v>
      </c>
      <c r="O7" s="201" t="s">
        <v>116</v>
      </c>
    </row>
    <row r="8" spans="1:25" x14ac:dyDescent="0.25">
      <c r="B8"/>
      <c r="G8" s="170" t="s">
        <v>90</v>
      </c>
      <c r="H8"/>
      <c r="I8"/>
      <c r="J8"/>
      <c r="K8">
        <v>57.4</v>
      </c>
      <c r="L8" s="189" t="s">
        <v>119</v>
      </c>
      <c r="M8"/>
      <c r="N8" s="180">
        <v>0.7</v>
      </c>
      <c r="O8" s="201" t="s">
        <v>118</v>
      </c>
    </row>
    <row r="9" spans="1:25" x14ac:dyDescent="0.25">
      <c r="B9"/>
      <c r="C9" s="18">
        <v>2.5150999999999999</v>
      </c>
      <c r="D9" s="15" t="s">
        <v>37</v>
      </c>
      <c r="E9"/>
      <c r="F9"/>
      <c r="G9" s="171" t="s">
        <v>91</v>
      </c>
      <c r="H9"/>
      <c r="I9"/>
      <c r="J9"/>
      <c r="O9" s="1" t="s">
        <v>117</v>
      </c>
    </row>
    <row r="10" spans="1:25" x14ac:dyDescent="0.25">
      <c r="B10"/>
      <c r="C10" s="18">
        <v>4.55</v>
      </c>
      <c r="D10" s="10" t="s">
        <v>1</v>
      </c>
      <c r="E10"/>
      <c r="F10"/>
      <c r="G10" s="170" t="s">
        <v>86</v>
      </c>
      <c r="H10" s="10"/>
      <c r="I10" s="10"/>
      <c r="J10" s="10"/>
    </row>
    <row r="11" spans="1:25" x14ac:dyDescent="0.25">
      <c r="B11" s="159" t="s">
        <v>87</v>
      </c>
      <c r="C11" s="18">
        <v>85</v>
      </c>
      <c r="D11" s="15" t="s">
        <v>8</v>
      </c>
      <c r="E11"/>
      <c r="G11" s="10"/>
      <c r="H11" s="10"/>
      <c r="I11" s="10"/>
      <c r="J11" s="10"/>
      <c r="O11" s="222" t="s">
        <v>121</v>
      </c>
      <c r="P11" s="222" t="s">
        <v>122</v>
      </c>
    </row>
    <row r="12" spans="1:25" x14ac:dyDescent="0.25">
      <c r="B12" s="159" t="s">
        <v>88</v>
      </c>
      <c r="C12"/>
      <c r="D12" s="71"/>
      <c r="E12" s="70">
        <v>1</v>
      </c>
      <c r="F12" s="10"/>
      <c r="G12" s="10"/>
      <c r="H12" s="10"/>
      <c r="I12" s="10"/>
      <c r="J12" s="10"/>
    </row>
    <row r="13" spans="1:25" x14ac:dyDescent="0.25">
      <c r="B13" s="159" t="s">
        <v>89</v>
      </c>
      <c r="C13" s="2" t="s">
        <v>10</v>
      </c>
      <c r="D13" s="19" t="s">
        <v>9</v>
      </c>
      <c r="E13" s="19" t="s">
        <v>10</v>
      </c>
      <c r="F13" s="25" t="s">
        <v>12</v>
      </c>
      <c r="G13" s="19" t="s">
        <v>11</v>
      </c>
      <c r="H13" s="10"/>
      <c r="I13"/>
      <c r="J13"/>
      <c r="K13"/>
      <c r="L13"/>
      <c r="M13"/>
      <c r="N13"/>
      <c r="O13" s="209" t="s">
        <v>94</v>
      </c>
      <c r="P13" s="210" t="s">
        <v>94</v>
      </c>
      <c r="Q13" s="211" t="s">
        <v>94</v>
      </c>
      <c r="R13" s="210" t="s">
        <v>94</v>
      </c>
      <c r="S13" s="209" t="s">
        <v>94</v>
      </c>
      <c r="T13" s="210" t="s">
        <v>94</v>
      </c>
      <c r="U13" s="209" t="s">
        <v>94</v>
      </c>
      <c r="V13" s="210" t="s">
        <v>94</v>
      </c>
      <c r="W13" s="209" t="s">
        <v>94</v>
      </c>
      <c r="X13" s="210" t="s">
        <v>94</v>
      </c>
      <c r="Y13" s="209" t="s">
        <v>94</v>
      </c>
    </row>
    <row r="14" spans="1:25" x14ac:dyDescent="0.25">
      <c r="B14"/>
      <c r="C14" s="218">
        <v>31.793468446418061</v>
      </c>
      <c r="D14" s="17">
        <v>1</v>
      </c>
      <c r="E14" s="30">
        <f>C14*$E$12</f>
        <v>31.793468446418061</v>
      </c>
      <c r="F14" s="32">
        <f>E14/D14</f>
        <v>31.793468446418061</v>
      </c>
      <c r="G14" s="78">
        <f t="shared" ref="G14:G23" si="0">SQRT(12*32.2*F14^2/(4*$C$11*($C$10*56)*$C$9^2))</f>
        <v>0.84423244819278109</v>
      </c>
      <c r="H14" s="5">
        <f>(G14)</f>
        <v>0.84423244819278109</v>
      </c>
      <c r="J14" s="182" t="s">
        <v>95</v>
      </c>
      <c r="K14" t="s">
        <v>96</v>
      </c>
      <c r="L14"/>
      <c r="M14"/>
      <c r="N14"/>
      <c r="O14" s="183">
        <v>36.422270304838264</v>
      </c>
      <c r="P14" s="205">
        <v>35.930569655722948</v>
      </c>
      <c r="Q14" s="183">
        <v>35.44550696537069</v>
      </c>
      <c r="R14" s="205">
        <v>34.966992621338186</v>
      </c>
      <c r="S14" s="183">
        <v>34.494938220950125</v>
      </c>
      <c r="T14" s="205">
        <v>34.029256554967297</v>
      </c>
      <c r="U14" s="183">
        <v>33.569861591475238</v>
      </c>
      <c r="V14" s="205">
        <v>33.116668459990322</v>
      </c>
      <c r="W14" s="183">
        <v>32.669593435780456</v>
      </c>
      <c r="X14" s="205">
        <v>32.228553924397424</v>
      </c>
      <c r="Y14" s="183">
        <v>31.793468446418061</v>
      </c>
    </row>
    <row r="15" spans="1:25" x14ac:dyDescent="0.25">
      <c r="B15"/>
      <c r="C15" s="219">
        <v>54.376789517871494</v>
      </c>
      <c r="D15" s="31">
        <v>2</v>
      </c>
      <c r="E15" s="65">
        <f t="shared" ref="E15:E23" si="1">C15*$E$12</f>
        <v>54.376789517871494</v>
      </c>
      <c r="F15" s="33">
        <f t="shared" ref="F15:F23" si="2">E15/D15</f>
        <v>27.188394758935747</v>
      </c>
      <c r="G15" s="79">
        <f t="shared" si="0"/>
        <v>0.72195096009897874</v>
      </c>
      <c r="H15" s="10"/>
      <c r="J15" s="216">
        <v>0.69</v>
      </c>
      <c r="K15" s="178">
        <v>62.3</v>
      </c>
      <c r="L15" s="189" t="s">
        <v>119</v>
      </c>
      <c r="M15"/>
      <c r="N15" s="180">
        <v>0.78</v>
      </c>
      <c r="O15" s="178">
        <v>62.29349054718638</v>
      </c>
      <c r="P15" s="206">
        <v>61.452528424799368</v>
      </c>
      <c r="Q15" s="178">
        <v>60.622919291064576</v>
      </c>
      <c r="R15" s="206">
        <v>59.804509880635209</v>
      </c>
      <c r="S15" s="178">
        <v>58.997148997246633</v>
      </c>
      <c r="T15" s="206">
        <v>58.200687485783803</v>
      </c>
      <c r="U15" s="178">
        <v>57.41497820472572</v>
      </c>
      <c r="V15" s="206">
        <v>56.639875998961926</v>
      </c>
      <c r="W15" s="178">
        <v>55.875237672975942</v>
      </c>
      <c r="X15" s="206">
        <v>55.120921964390767</v>
      </c>
      <c r="Y15" s="178">
        <v>54.376789517871494</v>
      </c>
    </row>
    <row r="16" spans="1:25" x14ac:dyDescent="0.25">
      <c r="B16"/>
      <c r="C16" s="218">
        <v>76.885565532764915</v>
      </c>
      <c r="D16" s="17">
        <v>3</v>
      </c>
      <c r="E16" s="30">
        <f t="shared" si="1"/>
        <v>76.885565532764915</v>
      </c>
      <c r="F16" s="32">
        <f t="shared" si="2"/>
        <v>25.628521844254973</v>
      </c>
      <c r="G16" s="78">
        <f t="shared" si="0"/>
        <v>0.68053064976542887</v>
      </c>
      <c r="H16" s="172"/>
      <c r="J16" s="216">
        <v>0.66</v>
      </c>
      <c r="K16" s="178">
        <v>60.6</v>
      </c>
      <c r="L16" s="189" t="s">
        <v>119</v>
      </c>
      <c r="M16"/>
      <c r="N16" s="180">
        <v>0.75</v>
      </c>
      <c r="O16" s="177">
        <v>88.079312739790566</v>
      </c>
      <c r="P16" s="207">
        <v>86.890242017803402</v>
      </c>
      <c r="Q16" s="177">
        <v>85.717223750563065</v>
      </c>
      <c r="R16" s="207">
        <v>84.560041229930462</v>
      </c>
      <c r="S16" s="177">
        <v>83.4184806733264</v>
      </c>
      <c r="T16" s="207">
        <v>82.292331184236502</v>
      </c>
      <c r="U16" s="177">
        <v>81.181384713249315</v>
      </c>
      <c r="V16" s="207">
        <v>80.08543601962046</v>
      </c>
      <c r="W16" s="177">
        <v>79.004282633355587</v>
      </c>
      <c r="X16" s="207">
        <v>77.937724817805289</v>
      </c>
      <c r="Y16" s="177">
        <v>76.885565532764915</v>
      </c>
    </row>
    <row r="17" spans="2:27" x14ac:dyDescent="0.25">
      <c r="B17"/>
      <c r="C17" s="218">
        <v>99.319796491098344</v>
      </c>
      <c r="D17" s="17">
        <v>4</v>
      </c>
      <c r="E17" s="30">
        <f t="shared" si="1"/>
        <v>99.319796491098344</v>
      </c>
      <c r="F17" s="32">
        <f t="shared" si="2"/>
        <v>24.829949122774586</v>
      </c>
      <c r="G17" s="78">
        <f t="shared" si="0"/>
        <v>0.65932563387194232</v>
      </c>
      <c r="H17" s="172"/>
      <c r="J17" s="216">
        <v>0.63</v>
      </c>
      <c r="K17" s="178">
        <v>59</v>
      </c>
      <c r="L17" s="189" t="s">
        <v>119</v>
      </c>
      <c r="M17"/>
      <c r="N17" s="180">
        <v>0.73</v>
      </c>
      <c r="O17" s="177">
        <v>113.77973688265091</v>
      </c>
      <c r="P17" s="207">
        <v>112.24371043473512</v>
      </c>
      <c r="Q17" s="177">
        <v>110.7284203438662</v>
      </c>
      <c r="R17" s="207">
        <v>109.23358666922401</v>
      </c>
      <c r="S17" s="177">
        <v>107.7589332491895</v>
      </c>
      <c r="T17" s="207">
        <v>106.30418765032545</v>
      </c>
      <c r="U17" s="177">
        <v>104.86908111704605</v>
      </c>
      <c r="V17" s="207">
        <v>103.45334852196594</v>
      </c>
      <c r="W17" s="177">
        <v>102.0567283169194</v>
      </c>
      <c r="X17" s="207">
        <v>100.67896248464099</v>
      </c>
      <c r="Y17" s="177">
        <v>99.319796491098344</v>
      </c>
    </row>
    <row r="18" spans="2:27" x14ac:dyDescent="0.25">
      <c r="B18"/>
      <c r="C18" s="219">
        <v>121.67948239287176</v>
      </c>
      <c r="D18" s="31">
        <v>5</v>
      </c>
      <c r="E18" s="65">
        <f t="shared" si="1"/>
        <v>121.67948239287176</v>
      </c>
      <c r="F18" s="33">
        <f t="shared" si="2"/>
        <v>24.335896478574352</v>
      </c>
      <c r="G18" s="79">
        <f t="shared" si="0"/>
        <v>0.64620673575448095</v>
      </c>
      <c r="H18" s="173">
        <f>(G18)</f>
        <v>0.64620673575448095</v>
      </c>
      <c r="J18" s="216">
        <v>0.6</v>
      </c>
      <c r="K18" s="178">
        <v>57.4</v>
      </c>
      <c r="L18" s="189" t="s">
        <v>119</v>
      </c>
      <c r="M18"/>
      <c r="N18" s="180">
        <v>0.7</v>
      </c>
      <c r="O18" s="178">
        <v>139.39476297576732</v>
      </c>
      <c r="P18" s="206">
        <v>137.51293367559447</v>
      </c>
      <c r="Q18" s="178">
        <v>135.65650907097395</v>
      </c>
      <c r="R18" s="206">
        <v>133.82514619851582</v>
      </c>
      <c r="S18" s="178">
        <v>132.01850672483587</v>
      </c>
      <c r="T18" s="206">
        <v>130.23625688405059</v>
      </c>
      <c r="U18" s="178">
        <v>128.47806741611592</v>
      </c>
      <c r="V18" s="206">
        <v>126.74361350599835</v>
      </c>
      <c r="W18" s="178">
        <v>125.03257472366738</v>
      </c>
      <c r="X18" s="206">
        <v>123.34463496489788</v>
      </c>
      <c r="Y18" s="178">
        <v>121.67948239287176</v>
      </c>
    </row>
    <row r="19" spans="2:27" x14ac:dyDescent="0.25">
      <c r="B19"/>
      <c r="C19" s="218">
        <v>213.06547625415615</v>
      </c>
      <c r="D19" s="17">
        <v>10</v>
      </c>
      <c r="E19" s="30">
        <f t="shared" si="1"/>
        <v>213.06547625415615</v>
      </c>
      <c r="F19" s="32">
        <f t="shared" si="2"/>
        <v>21.306547625415615</v>
      </c>
      <c r="G19" s="78">
        <f t="shared" si="0"/>
        <v>0.56576648422790288</v>
      </c>
      <c r="H19" s="172"/>
      <c r="J19" s="216">
        <v>0.56999999999999995</v>
      </c>
      <c r="K19" s="178">
        <v>55.9</v>
      </c>
      <c r="L19" s="189" t="s">
        <v>119</v>
      </c>
      <c r="M19"/>
      <c r="N19" s="180">
        <v>0.68</v>
      </c>
      <c r="O19" s="177">
        <v>277.7120315581854</v>
      </c>
      <c r="P19" s="207">
        <v>270.82478457119407</v>
      </c>
      <c r="Q19" s="177">
        <v>264</v>
      </c>
      <c r="R19" s="207">
        <v>257.26800000000003</v>
      </c>
      <c r="S19" s="177">
        <v>250.70766600000005</v>
      </c>
      <c r="T19" s="207">
        <v>244.31462051700007</v>
      </c>
      <c r="U19" s="177">
        <v>237.96244038355806</v>
      </c>
      <c r="V19" s="207">
        <v>231.65643571339379</v>
      </c>
      <c r="W19" s="177">
        <v>225.40171194913216</v>
      </c>
      <c r="X19" s="207">
        <v>219.20316487053103</v>
      </c>
      <c r="Y19" s="177">
        <v>213.06547625415615</v>
      </c>
    </row>
    <row r="20" spans="2:27" x14ac:dyDescent="0.25">
      <c r="B20"/>
      <c r="C20" s="218">
        <v>410.7966947475964</v>
      </c>
      <c r="D20" s="17">
        <v>20</v>
      </c>
      <c r="E20" s="30">
        <f t="shared" si="1"/>
        <v>410.7966947475964</v>
      </c>
      <c r="F20" s="32">
        <f t="shared" si="2"/>
        <v>20.53983473737982</v>
      </c>
      <c r="G20" s="78">
        <f t="shared" si="0"/>
        <v>0.54540746301515619</v>
      </c>
      <c r="H20" s="172"/>
      <c r="J20" s="216">
        <v>0.54</v>
      </c>
      <c r="K20" s="178">
        <v>54.4</v>
      </c>
      <c r="L20" s="189" t="s">
        <v>119</v>
      </c>
      <c r="M20"/>
      <c r="N20" s="180">
        <v>0.66</v>
      </c>
      <c r="O20" s="177">
        <v>535.43721236028932</v>
      </c>
      <c r="P20" s="207">
        <v>522.15839146491589</v>
      </c>
      <c r="Q20" s="177">
        <v>509</v>
      </c>
      <c r="R20" s="207">
        <v>496.02050000000003</v>
      </c>
      <c r="S20" s="177">
        <v>483.37197725000004</v>
      </c>
      <c r="T20" s="207">
        <v>471.04599183012505</v>
      </c>
      <c r="U20" s="177">
        <v>458.79879604254177</v>
      </c>
      <c r="V20" s="207">
        <v>446.64062794741443</v>
      </c>
      <c r="W20" s="177">
        <v>434.58133099283424</v>
      </c>
      <c r="X20" s="207">
        <v>422.63034439053132</v>
      </c>
      <c r="Y20" s="177">
        <v>410.7966947475964</v>
      </c>
    </row>
    <row r="21" spans="2:27" x14ac:dyDescent="0.25">
      <c r="B21"/>
      <c r="C21" s="218">
        <v>601.26431745964499</v>
      </c>
      <c r="D21" s="17">
        <v>30</v>
      </c>
      <c r="E21" s="30">
        <f t="shared" si="1"/>
        <v>601.26431745964499</v>
      </c>
      <c r="F21" s="32">
        <f t="shared" si="2"/>
        <v>20.0421439153215</v>
      </c>
      <c r="G21" s="78">
        <f t="shared" si="0"/>
        <v>0.53219195801740848</v>
      </c>
      <c r="H21" s="172"/>
      <c r="K21"/>
      <c r="L21" s="189"/>
      <c r="M21"/>
      <c r="N21" s="180"/>
      <c r="O21" s="177">
        <v>783.69493754109135</v>
      </c>
      <c r="P21" s="207">
        <v>764.25933524825609</v>
      </c>
      <c r="Q21" s="177">
        <v>745</v>
      </c>
      <c r="R21" s="207">
        <v>726.00250000000005</v>
      </c>
      <c r="S21" s="177">
        <v>707.48943625000004</v>
      </c>
      <c r="T21" s="207">
        <v>689.44845562562512</v>
      </c>
      <c r="U21" s="177">
        <v>671.52279577935883</v>
      </c>
      <c r="V21" s="207">
        <v>653.72744169120585</v>
      </c>
      <c r="W21" s="177">
        <v>636.07680076554323</v>
      </c>
      <c r="X21" s="207">
        <v>618.58468874449079</v>
      </c>
      <c r="Y21" s="177">
        <v>601.26431745964499</v>
      </c>
    </row>
    <row r="22" spans="2:27" x14ac:dyDescent="0.25">
      <c r="B22"/>
      <c r="C22" s="219">
        <v>780.50781581853357</v>
      </c>
      <c r="D22" s="31">
        <v>40</v>
      </c>
      <c r="E22" s="65">
        <f t="shared" si="1"/>
        <v>780.50781581853357</v>
      </c>
      <c r="F22" s="33">
        <f t="shared" si="2"/>
        <v>19.512695395463339</v>
      </c>
      <c r="G22" s="79">
        <f t="shared" si="0"/>
        <v>0.51813317041248907</v>
      </c>
      <c r="H22" s="173">
        <f>(G22)</f>
        <v>0.51813317041248907</v>
      </c>
      <c r="I22"/>
      <c r="J22"/>
      <c r="K22"/>
      <c r="L22"/>
      <c r="M22"/>
      <c r="N22"/>
      <c r="O22" s="178">
        <v>1017.3230078787992</v>
      </c>
      <c r="P22" s="206">
        <v>992.09343902829653</v>
      </c>
      <c r="Q22" s="178">
        <v>967.09268436478351</v>
      </c>
      <c r="R22" s="206">
        <v>942.4318209134816</v>
      </c>
      <c r="S22" s="178">
        <v>918.39980948018786</v>
      </c>
      <c r="T22" s="206">
        <v>894.98061433844305</v>
      </c>
      <c r="U22" s="178">
        <v>871.71111836564353</v>
      </c>
      <c r="V22" s="206">
        <v>848.61077372895397</v>
      </c>
      <c r="W22" s="178">
        <v>825.69828283827223</v>
      </c>
      <c r="X22" s="206">
        <v>802.9915800602198</v>
      </c>
      <c r="Y22" s="178">
        <v>780.50781581853357</v>
      </c>
    </row>
    <row r="23" spans="2:27" x14ac:dyDescent="0.25">
      <c r="B23"/>
      <c r="C23" s="218">
        <v>956.5886308798041</v>
      </c>
      <c r="D23" s="17">
        <v>50</v>
      </c>
      <c r="E23" s="30">
        <f t="shared" si="1"/>
        <v>956.5886308798041</v>
      </c>
      <c r="F23" s="32">
        <f t="shared" si="2"/>
        <v>19.131772617596081</v>
      </c>
      <c r="G23" s="78">
        <f t="shared" si="0"/>
        <v>0.5080182825111188</v>
      </c>
      <c r="H23" s="172"/>
      <c r="I23"/>
      <c r="J23"/>
      <c r="K23"/>
      <c r="L23"/>
      <c r="M23"/>
      <c r="N23"/>
      <c r="O23" s="179">
        <v>1246.8287998483827</v>
      </c>
      <c r="P23" s="208">
        <v>1215.9074967745885</v>
      </c>
      <c r="Q23" s="179">
        <v>1185.2666278558688</v>
      </c>
      <c r="R23" s="208">
        <v>1155.0423288455443</v>
      </c>
      <c r="S23" s="179">
        <v>1125.5887494599829</v>
      </c>
      <c r="T23" s="208">
        <v>1096.8862363487533</v>
      </c>
      <c r="U23" s="179">
        <v>1068.3671942036856</v>
      </c>
      <c r="V23" s="208">
        <v>1040.055463557288</v>
      </c>
      <c r="W23" s="179">
        <v>1011.9739660412412</v>
      </c>
      <c r="X23" s="208">
        <v>984.14468197510712</v>
      </c>
      <c r="Y23" s="179">
        <v>956.5886308798041</v>
      </c>
    </row>
    <row r="24" spans="2:27" x14ac:dyDescent="0.25">
      <c r="B24"/>
      <c r="C24"/>
      <c r="D24"/>
      <c r="E24"/>
      <c r="F24"/>
      <c r="G24"/>
      <c r="H24" s="172"/>
      <c r="I24"/>
      <c r="J24"/>
      <c r="K24"/>
      <c r="L24"/>
      <c r="M24"/>
      <c r="N24" s="10"/>
      <c r="O24" s="213">
        <v>0.99</v>
      </c>
      <c r="P24" s="214">
        <v>0.97</v>
      </c>
      <c r="Q24" s="213">
        <v>0.99</v>
      </c>
      <c r="R24" s="214">
        <v>0.98</v>
      </c>
      <c r="S24" s="213">
        <v>0.98</v>
      </c>
      <c r="T24" s="214">
        <v>0.98</v>
      </c>
      <c r="U24" s="213">
        <v>0.98</v>
      </c>
      <c r="V24" s="214">
        <v>0.98</v>
      </c>
      <c r="W24" s="213">
        <v>0.98</v>
      </c>
      <c r="X24" s="214">
        <v>0.98</v>
      </c>
      <c r="Y24" s="213">
        <v>0.98</v>
      </c>
    </row>
    <row r="25" spans="2:27" x14ac:dyDescent="0.25">
      <c r="F25" s="88"/>
      <c r="H25" s="195">
        <v>0.69</v>
      </c>
      <c r="I25" s="178">
        <v>62.3</v>
      </c>
      <c r="J25" s="215"/>
      <c r="K25" s="202" t="s">
        <v>108</v>
      </c>
      <c r="N25"/>
      <c r="O25" s="160" t="s">
        <v>97</v>
      </c>
      <c r="P25" s="212" t="s">
        <v>98</v>
      </c>
      <c r="Q25" s="160" t="s">
        <v>99</v>
      </c>
      <c r="R25" s="212" t="s">
        <v>100</v>
      </c>
      <c r="S25" s="160" t="s">
        <v>101</v>
      </c>
      <c r="T25" s="212" t="s">
        <v>102</v>
      </c>
      <c r="U25" s="160" t="s">
        <v>103</v>
      </c>
      <c r="V25" s="212" t="s">
        <v>104</v>
      </c>
      <c r="W25" s="160" t="s">
        <v>105</v>
      </c>
      <c r="X25" s="212" t="s">
        <v>106</v>
      </c>
      <c r="Y25" s="160" t="s">
        <v>107</v>
      </c>
    </row>
    <row r="26" spans="2:27" x14ac:dyDescent="0.25">
      <c r="H26" s="195">
        <v>0.66</v>
      </c>
      <c r="I26" s="178">
        <v>60.6</v>
      </c>
      <c r="J26" s="215"/>
      <c r="K26" s="202" t="s">
        <v>81</v>
      </c>
      <c r="N26"/>
      <c r="O26" s="195">
        <v>0.69</v>
      </c>
      <c r="P26" s="195"/>
      <c r="Q26" s="195">
        <v>0.66</v>
      </c>
      <c r="R26" s="195"/>
      <c r="S26" s="195">
        <v>0.63</v>
      </c>
      <c r="T26" s="195"/>
      <c r="U26" s="195">
        <v>0.6</v>
      </c>
      <c r="V26" s="195"/>
      <c r="W26" s="195">
        <v>0.56999999999999995</v>
      </c>
      <c r="X26" s="195"/>
      <c r="Y26" s="195">
        <v>0.54</v>
      </c>
    </row>
    <row r="27" spans="2:27" x14ac:dyDescent="0.25">
      <c r="C27" s="89">
        <v>2.5150999999999999</v>
      </c>
      <c r="D27" s="96" t="s">
        <v>37</v>
      </c>
      <c r="G27" s="10"/>
      <c r="H27" s="195">
        <v>0.63</v>
      </c>
      <c r="I27" s="178">
        <v>59</v>
      </c>
      <c r="J27" s="215"/>
      <c r="K27" s="202" t="s">
        <v>109</v>
      </c>
      <c r="N27"/>
      <c r="O27" s="196">
        <f>O15-P15</f>
        <v>0.84096212238701185</v>
      </c>
      <c r="P27" s="196">
        <f t="shared" ref="P27:X27" si="3">P15-Q15</f>
        <v>0.82960913373479173</v>
      </c>
      <c r="Q27" s="196">
        <f t="shared" si="3"/>
        <v>0.81840941042936777</v>
      </c>
      <c r="R27" s="196">
        <f t="shared" si="3"/>
        <v>0.8073608833885757</v>
      </c>
      <c r="S27" s="196">
        <f t="shared" si="3"/>
        <v>0.79646151146283017</v>
      </c>
      <c r="T27" s="196">
        <f t="shared" si="3"/>
        <v>0.78570928105808235</v>
      </c>
      <c r="U27" s="196">
        <f t="shared" si="3"/>
        <v>0.77510220576379396</v>
      </c>
      <c r="V27" s="196">
        <f t="shared" si="3"/>
        <v>0.76463832598598458</v>
      </c>
      <c r="W27" s="196">
        <f t="shared" si="3"/>
        <v>0.7543157085851746</v>
      </c>
      <c r="X27" s="196">
        <f t="shared" si="3"/>
        <v>0.74413244651927357</v>
      </c>
      <c r="Y27"/>
      <c r="AA27" s="87"/>
    </row>
    <row r="28" spans="2:27" x14ac:dyDescent="0.25">
      <c r="B28" s="167" t="s">
        <v>82</v>
      </c>
      <c r="C28" s="89">
        <v>4.55</v>
      </c>
      <c r="D28" s="96" t="s">
        <v>1</v>
      </c>
      <c r="E28" s="168" t="s">
        <v>83</v>
      </c>
      <c r="H28" s="195">
        <v>0.6</v>
      </c>
      <c r="I28" s="178">
        <v>57.4</v>
      </c>
      <c r="J28" s="215"/>
      <c r="K28" s="202" t="s">
        <v>110</v>
      </c>
      <c r="N28"/>
      <c r="O28" s="196">
        <f t="shared" ref="O28:X28" si="4">O18-P18</f>
        <v>1.8818293001728534</v>
      </c>
      <c r="P28" s="196">
        <f t="shared" si="4"/>
        <v>1.8564246046205142</v>
      </c>
      <c r="Q28" s="196">
        <f t="shared" si="4"/>
        <v>1.8313628724581292</v>
      </c>
      <c r="R28" s="196">
        <f t="shared" si="4"/>
        <v>1.8066394736799509</v>
      </c>
      <c r="S28" s="196">
        <f t="shared" si="4"/>
        <v>1.7822498407852834</v>
      </c>
      <c r="T28" s="196">
        <f t="shared" si="4"/>
        <v>1.7581894679346703</v>
      </c>
      <c r="U28" s="196">
        <f t="shared" si="4"/>
        <v>1.7344539101175656</v>
      </c>
      <c r="V28" s="196">
        <f t="shared" si="4"/>
        <v>1.7110387823309736</v>
      </c>
      <c r="W28" s="196">
        <f t="shared" si="4"/>
        <v>1.6879397587695024</v>
      </c>
      <c r="X28" s="196">
        <f t="shared" si="4"/>
        <v>1.6651525720261162</v>
      </c>
      <c r="Y28"/>
      <c r="Z28"/>
    </row>
    <row r="29" spans="2:27" x14ac:dyDescent="0.25">
      <c r="C29" s="89">
        <v>85</v>
      </c>
      <c r="D29" s="96" t="s">
        <v>8</v>
      </c>
      <c r="H29" s="195">
        <v>0.56999999999999995</v>
      </c>
      <c r="I29" s="178">
        <v>55.9</v>
      </c>
      <c r="J29" s="215"/>
      <c r="K29" s="202" t="s">
        <v>111</v>
      </c>
      <c r="N29"/>
      <c r="O29" s="196">
        <f t="shared" ref="O29:X29" si="5">O20-P20</f>
        <v>13.278820895373428</v>
      </c>
      <c r="P29" s="196">
        <f t="shared" si="5"/>
        <v>13.158391464915894</v>
      </c>
      <c r="Q29" s="196">
        <f t="shared" si="5"/>
        <v>12.979499999999973</v>
      </c>
      <c r="R29" s="196">
        <f t="shared" si="5"/>
        <v>12.648522749999984</v>
      </c>
      <c r="S29" s="196">
        <f t="shared" si="5"/>
        <v>12.325985419874996</v>
      </c>
      <c r="T29" s="196">
        <f t="shared" si="5"/>
        <v>12.24719578758328</v>
      </c>
      <c r="U29" s="196">
        <f t="shared" si="5"/>
        <v>12.158168095127337</v>
      </c>
      <c r="V29" s="196">
        <f t="shared" si="5"/>
        <v>12.059296954580191</v>
      </c>
      <c r="W29" s="196">
        <f t="shared" si="5"/>
        <v>11.950986602302919</v>
      </c>
      <c r="X29" s="196">
        <f t="shared" si="5"/>
        <v>11.833649642934915</v>
      </c>
      <c r="Y29"/>
      <c r="Z29"/>
    </row>
    <row r="30" spans="2:27" x14ac:dyDescent="0.25">
      <c r="C30" s="91">
        <f>(C28*2.20462*25.4*12)</f>
        <v>3057.4552007999996</v>
      </c>
      <c r="D30" s="97" t="s">
        <v>49</v>
      </c>
      <c r="H30" s="195">
        <v>0.54</v>
      </c>
      <c r="I30" s="178">
        <v>54.4</v>
      </c>
      <c r="J30" s="215"/>
      <c r="K30" s="202" t="s">
        <v>112</v>
      </c>
      <c r="N30"/>
      <c r="O30" s="196">
        <f t="shared" ref="O30:X30" si="6">O22-P22</f>
        <v>25.229568850502687</v>
      </c>
      <c r="P30" s="196">
        <f t="shared" si="6"/>
        <v>25.000754663513021</v>
      </c>
      <c r="Q30" s="196">
        <f t="shared" si="6"/>
        <v>24.660863451301907</v>
      </c>
      <c r="R30" s="196">
        <f t="shared" si="6"/>
        <v>24.032011433293746</v>
      </c>
      <c r="S30" s="196">
        <f t="shared" si="6"/>
        <v>23.419195141744808</v>
      </c>
      <c r="T30" s="196">
        <f t="shared" si="6"/>
        <v>23.269495972799518</v>
      </c>
      <c r="U30" s="196">
        <f t="shared" si="6"/>
        <v>23.100344636689556</v>
      </c>
      <c r="V30" s="196">
        <f t="shared" si="6"/>
        <v>22.912490890681738</v>
      </c>
      <c r="W30" s="196">
        <f t="shared" si="6"/>
        <v>22.706702778052431</v>
      </c>
      <c r="X30" s="196">
        <f t="shared" si="6"/>
        <v>22.483764241686231</v>
      </c>
      <c r="Y30"/>
      <c r="Z30"/>
    </row>
    <row r="31" spans="2:27" x14ac:dyDescent="0.25">
      <c r="O31"/>
      <c r="P31" s="197">
        <f>P29-R29</f>
        <v>0.50986871491591046</v>
      </c>
      <c r="Q31" s="198"/>
      <c r="R31" s="197">
        <f>R29-T29</f>
        <v>0.40132696241670374</v>
      </c>
      <c r="S31" s="198"/>
      <c r="T31" s="197">
        <f>T29-V29</f>
        <v>0.18789883300308929</v>
      </c>
      <c r="U31" s="198"/>
      <c r="V31" s="197">
        <f>V29-X29</f>
        <v>0.22564731164527529</v>
      </c>
      <c r="W31"/>
      <c r="X31"/>
      <c r="Y31"/>
      <c r="Z31"/>
    </row>
    <row r="32" spans="2:27" x14ac:dyDescent="0.25">
      <c r="C32" s="101"/>
      <c r="D32" s="117"/>
      <c r="E32" s="104" t="s">
        <v>113</v>
      </c>
      <c r="F32" s="101" t="s">
        <v>50</v>
      </c>
      <c r="G32" s="175" t="s">
        <v>92</v>
      </c>
      <c r="H32"/>
      <c r="O32"/>
      <c r="P32" s="197">
        <f>P30-R30</f>
        <v>0.96874323021927466</v>
      </c>
      <c r="Q32" s="198"/>
      <c r="R32" s="197">
        <f>R30-T30</f>
        <v>0.76251546049422814</v>
      </c>
      <c r="S32" s="198"/>
      <c r="T32" s="197">
        <f>T30-V30</f>
        <v>0.35700508211778015</v>
      </c>
      <c r="U32" s="198"/>
      <c r="V32" s="197">
        <f>V30-X30</f>
        <v>0.42872664899550728</v>
      </c>
      <c r="W32"/>
      <c r="Y32"/>
      <c r="Z32"/>
    </row>
    <row r="33" spans="2:47" x14ac:dyDescent="0.25">
      <c r="C33" s="103" t="s">
        <v>9</v>
      </c>
      <c r="D33" s="101" t="s">
        <v>47</v>
      </c>
      <c r="E33" s="104" t="s">
        <v>114</v>
      </c>
      <c r="F33" s="101" t="s">
        <v>51</v>
      </c>
      <c r="G33" s="176" t="s">
        <v>93</v>
      </c>
      <c r="H33"/>
      <c r="I33"/>
      <c r="J33"/>
      <c r="O33"/>
      <c r="P33"/>
      <c r="Q33"/>
      <c r="R33"/>
      <c r="S33"/>
      <c r="T33"/>
      <c r="U33"/>
      <c r="V33"/>
      <c r="W33" s="169" t="s">
        <v>85</v>
      </c>
      <c r="Y33"/>
    </row>
    <row r="34" spans="2:47" x14ac:dyDescent="0.25">
      <c r="C34" s="92">
        <v>1</v>
      </c>
      <c r="D34" s="199">
        <f t="shared" ref="D34:D43" si="7">G14</f>
        <v>0.84423244819278109</v>
      </c>
      <c r="E34" s="161">
        <f>(D34*$C$27)*SQRT(4*$C$29*$C$30/32.2)/12</f>
        <v>31.792715613591383</v>
      </c>
      <c r="F34" s="162">
        <f>C34*E34</f>
        <v>31.792715613591383</v>
      </c>
      <c r="G34" s="174">
        <f t="shared" ref="G34:G43" si="8">F34/C14</f>
        <v>0.99997632114822743</v>
      </c>
      <c r="H34"/>
      <c r="I34"/>
      <c r="J34"/>
      <c r="W34" s="169" t="s">
        <v>43</v>
      </c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</row>
    <row r="35" spans="2:47" x14ac:dyDescent="0.25">
      <c r="C35" s="92">
        <v>2</v>
      </c>
      <c r="D35" s="120">
        <f t="shared" si="7"/>
        <v>0.72195096009897874</v>
      </c>
      <c r="E35" s="94">
        <f>(D35*$C$27)*SQRT(4*$C$29*$C$30/32.2)/12</f>
        <v>27.187750968966316</v>
      </c>
      <c r="F35" s="163">
        <f t="shared" ref="F35:F43" si="9">C35*E35</f>
        <v>54.375501937932633</v>
      </c>
      <c r="G35" s="174">
        <f t="shared" si="8"/>
        <v>0.99997632114822743</v>
      </c>
      <c r="H35"/>
      <c r="I35" s="166"/>
      <c r="J35" s="166"/>
      <c r="O35" s="216">
        <v>0.69</v>
      </c>
      <c r="P35" s="216"/>
      <c r="Q35" s="216">
        <v>0.66</v>
      </c>
      <c r="R35" s="216"/>
      <c r="S35" s="216">
        <v>0.63</v>
      </c>
      <c r="T35" s="216"/>
      <c r="U35" s="216">
        <v>0.6</v>
      </c>
      <c r="V35" s="216"/>
      <c r="W35" s="216">
        <v>0.56999999999999995</v>
      </c>
      <c r="X35" s="216"/>
      <c r="Y35" s="216">
        <v>0.54</v>
      </c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</row>
    <row r="36" spans="2:47" x14ac:dyDescent="0.25">
      <c r="C36" s="92">
        <v>3</v>
      </c>
      <c r="D36" s="121">
        <f t="shared" si="7"/>
        <v>0.68053064976542887</v>
      </c>
      <c r="E36" s="93">
        <f t="shared" ref="E36:E43" si="10">(D36*$C$27)*SQRT(4*$C$29*$C$30/32.2)/12</f>
        <v>25.627914990285067</v>
      </c>
      <c r="F36" s="164">
        <f t="shared" si="9"/>
        <v>76.883744970855204</v>
      </c>
      <c r="G36" s="174">
        <f t="shared" si="8"/>
        <v>0.99997632114822732</v>
      </c>
      <c r="H36"/>
      <c r="I36"/>
      <c r="J36"/>
      <c r="O36" s="217" t="s">
        <v>120</v>
      </c>
      <c r="P36"/>
      <c r="Q36" s="217" t="s">
        <v>81</v>
      </c>
      <c r="R36"/>
      <c r="S36" s="160" t="s">
        <v>109</v>
      </c>
      <c r="T36"/>
      <c r="U36" s="160" t="s">
        <v>110</v>
      </c>
      <c r="W36" s="160" t="s">
        <v>111</v>
      </c>
      <c r="Y36" s="160" t="s">
        <v>112</v>
      </c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</row>
    <row r="37" spans="2:47" x14ac:dyDescent="0.25">
      <c r="C37" s="92">
        <v>4</v>
      </c>
      <c r="D37" s="121">
        <f t="shared" si="7"/>
        <v>0.65932563387194232</v>
      </c>
      <c r="E37" s="93">
        <f t="shared" si="10"/>
        <v>24.829361178089783</v>
      </c>
      <c r="F37" s="164">
        <f t="shared" si="9"/>
        <v>99.317444712359134</v>
      </c>
      <c r="G37" s="174">
        <f t="shared" si="8"/>
        <v>0.99997632114822732</v>
      </c>
      <c r="H37"/>
      <c r="I37"/>
      <c r="J37"/>
      <c r="K37"/>
      <c r="M37"/>
      <c r="N37"/>
      <c r="O37" s="19" t="s">
        <v>11</v>
      </c>
      <c r="P37"/>
      <c r="Q37" s="19" t="s">
        <v>11</v>
      </c>
      <c r="R37"/>
      <c r="S37" s="19" t="s">
        <v>11</v>
      </c>
      <c r="T37"/>
      <c r="U37" s="19" t="s">
        <v>11</v>
      </c>
      <c r="W37" s="19" t="s">
        <v>11</v>
      </c>
      <c r="Y37" s="19" t="s">
        <v>11</v>
      </c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</row>
    <row r="38" spans="2:47" x14ac:dyDescent="0.25">
      <c r="C38" s="92">
        <v>5</v>
      </c>
      <c r="D38" s="120">
        <f t="shared" si="7"/>
        <v>0.64620673575448095</v>
      </c>
      <c r="E38" s="94">
        <f t="shared" si="10"/>
        <v>24.335320232488883</v>
      </c>
      <c r="F38" s="163">
        <f t="shared" si="9"/>
        <v>121.67660116244441</v>
      </c>
      <c r="G38" s="174">
        <f t="shared" si="8"/>
        <v>0.99997632114822743</v>
      </c>
      <c r="H38"/>
      <c r="I38"/>
      <c r="J38"/>
      <c r="K38"/>
      <c r="M38"/>
      <c r="N38"/>
      <c r="O38" s="203">
        <v>0.96714400569457504</v>
      </c>
      <c r="P38" s="166"/>
      <c r="Q38" s="203">
        <v>0.94120737953585942</v>
      </c>
      <c r="R38" s="166"/>
      <c r="S38" s="203">
        <v>0.91596631533331174</v>
      </c>
      <c r="T38" s="166"/>
      <c r="U38" s="203">
        <v>0.8914021596802818</v>
      </c>
      <c r="V38" s="156"/>
      <c r="W38" s="203">
        <v>0.86749675941251592</v>
      </c>
      <c r="X38" s="156"/>
      <c r="Y38" s="203">
        <v>0.84423244819278109</v>
      </c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</row>
    <row r="39" spans="2:47" x14ac:dyDescent="0.25">
      <c r="C39" s="92">
        <v>10</v>
      </c>
      <c r="D39" s="121">
        <f t="shared" si="7"/>
        <v>0.56576648422790288</v>
      </c>
      <c r="E39" s="93">
        <f t="shared" si="10"/>
        <v>21.306043110832604</v>
      </c>
      <c r="F39" s="164">
        <f>C39*E39</f>
        <v>213.06043110832604</v>
      </c>
      <c r="G39" s="174">
        <f t="shared" si="8"/>
        <v>0.99997632114822721</v>
      </c>
      <c r="H39"/>
      <c r="I39"/>
      <c r="J39"/>
      <c r="K39"/>
      <c r="M39"/>
      <c r="N39"/>
      <c r="O39" s="204">
        <v>0.82705959118231998</v>
      </c>
      <c r="P39" s="166"/>
      <c r="Q39" s="204">
        <v>0.80487971383089041</v>
      </c>
      <c r="R39" s="166"/>
      <c r="S39" s="204">
        <v>0.78329465088530215</v>
      </c>
      <c r="T39" s="166"/>
      <c r="U39" s="204">
        <v>0.76228845076152274</v>
      </c>
      <c r="V39" s="156"/>
      <c r="W39" s="204">
        <v>0.74184558966111303</v>
      </c>
      <c r="X39" s="156"/>
      <c r="Y39" s="204">
        <v>0.72195096009897874</v>
      </c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</row>
    <row r="40" spans="2:47" x14ac:dyDescent="0.25">
      <c r="C40" s="92">
        <v>20</v>
      </c>
      <c r="D40" s="121">
        <f t="shared" si="7"/>
        <v>0.54540746301515619</v>
      </c>
      <c r="E40" s="93">
        <f t="shared" si="10"/>
        <v>20.539348377677637</v>
      </c>
      <c r="F40" s="164">
        <f t="shared" si="9"/>
        <v>410.78696755355276</v>
      </c>
      <c r="G40" s="174">
        <f t="shared" si="8"/>
        <v>0.99997632114822732</v>
      </c>
      <c r="H40"/>
      <c r="I40"/>
      <c r="J40"/>
      <c r="K40"/>
      <c r="M40"/>
      <c r="N40"/>
      <c r="O40" s="203">
        <v>0.77960890986954212</v>
      </c>
      <c r="P40" s="166"/>
      <c r="Q40" s="203">
        <v>0.75870155302688835</v>
      </c>
      <c r="R40" s="166"/>
      <c r="S40" s="203">
        <v>0.73835488445320141</v>
      </c>
      <c r="T40" s="166"/>
      <c r="U40" s="203">
        <v>0.71855386775065677</v>
      </c>
      <c r="V40" s="156"/>
      <c r="W40" s="203">
        <v>0.69928386976378676</v>
      </c>
      <c r="X40" s="156"/>
      <c r="Y40" s="203">
        <v>0.68053064976542887</v>
      </c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</row>
    <row r="41" spans="2:47" x14ac:dyDescent="0.25">
      <c r="C41" s="92">
        <v>30</v>
      </c>
      <c r="D41" s="121">
        <f t="shared" si="7"/>
        <v>0.53219195801740848</v>
      </c>
      <c r="E41" s="93">
        <f t="shared" si="10"/>
        <v>20.041669340366525</v>
      </c>
      <c r="F41" s="164">
        <f t="shared" si="9"/>
        <v>601.25008021099575</v>
      </c>
      <c r="G41" s="174">
        <f t="shared" si="8"/>
        <v>0.99997632114822743</v>
      </c>
      <c r="H41"/>
      <c r="I41"/>
      <c r="J41"/>
      <c r="K41"/>
      <c r="M41"/>
      <c r="N41"/>
      <c r="O41" s="203">
        <v>0.75531666185663404</v>
      </c>
      <c r="P41" s="166"/>
      <c r="Q41" s="203">
        <v>0.73506076844812829</v>
      </c>
      <c r="R41" s="166"/>
      <c r="S41" s="203">
        <v>0.71534809252507858</v>
      </c>
      <c r="T41" s="166"/>
      <c r="U41" s="203">
        <v>0.69616406621676419</v>
      </c>
      <c r="V41" s="156"/>
      <c r="W41" s="203">
        <v>0.67749451232997959</v>
      </c>
      <c r="X41" s="156"/>
      <c r="Y41" s="203">
        <v>0.65932563387194232</v>
      </c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</row>
    <row r="42" spans="2:47" x14ac:dyDescent="0.25">
      <c r="C42" s="92">
        <v>40</v>
      </c>
      <c r="D42" s="120">
        <f t="shared" si="7"/>
        <v>0.51813317041248907</v>
      </c>
      <c r="E42" s="94">
        <f t="shared" si="10"/>
        <v>19.512233357241389</v>
      </c>
      <c r="F42" s="163">
        <f>C42*E42</f>
        <v>780.48933428965552</v>
      </c>
      <c r="G42" s="174">
        <f t="shared" si="8"/>
        <v>0.99997632114822743</v>
      </c>
      <c r="H42"/>
      <c r="I42"/>
      <c r="J42"/>
      <c r="K42"/>
      <c r="M42"/>
      <c r="N42"/>
      <c r="O42" s="204">
        <v>0.74028778716367338</v>
      </c>
      <c r="P42" s="166"/>
      <c r="Q42" s="204">
        <v>0.72043493435946482</v>
      </c>
      <c r="R42" s="166"/>
      <c r="S42" s="204">
        <v>0.70111449039854645</v>
      </c>
      <c r="T42" s="166"/>
      <c r="U42" s="204">
        <v>0.68231217727366089</v>
      </c>
      <c r="V42" s="156"/>
      <c r="W42" s="204">
        <v>0.66401409988158022</v>
      </c>
      <c r="X42" s="156"/>
      <c r="Y42" s="204">
        <v>0.64620673575448095</v>
      </c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</row>
    <row r="43" spans="2:47" x14ac:dyDescent="0.25">
      <c r="C43" s="92">
        <v>50</v>
      </c>
      <c r="D43" s="121">
        <f t="shared" si="7"/>
        <v>0.5080182825111188</v>
      </c>
      <c r="E43" s="93">
        <f t="shared" si="10"/>
        <v>19.131319599188121</v>
      </c>
      <c r="F43" s="165">
        <f t="shared" si="9"/>
        <v>956.56597995940604</v>
      </c>
      <c r="G43" s="174">
        <f t="shared" si="8"/>
        <v>0.99997632114822732</v>
      </c>
      <c r="H43"/>
      <c r="I43"/>
      <c r="J43"/>
      <c r="K43"/>
      <c r="M43"/>
      <c r="N43"/>
      <c r="O43" s="203">
        <v>0.73742664689159432</v>
      </c>
      <c r="P43" s="166"/>
      <c r="Q43" s="203">
        <v>0.70101620620132177</v>
      </c>
      <c r="R43" s="166"/>
      <c r="S43" s="203">
        <v>0.66572021547313698</v>
      </c>
      <c r="T43" s="166"/>
      <c r="U43" s="203">
        <v>0.63187699687912913</v>
      </c>
      <c r="V43" s="156"/>
      <c r="W43" s="203">
        <v>0.59852368553736279</v>
      </c>
      <c r="X43" s="156"/>
      <c r="Y43" s="203">
        <v>0.56576648422790288</v>
      </c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</row>
    <row r="44" spans="2:47" x14ac:dyDescent="0.25">
      <c r="G44"/>
      <c r="H44"/>
      <c r="I44"/>
      <c r="J44"/>
      <c r="K44"/>
      <c r="M44"/>
      <c r="N44"/>
      <c r="O44" s="203">
        <v>0.71089046073451034</v>
      </c>
      <c r="P44" s="166"/>
      <c r="Q44" s="203">
        <v>0.67579024423574385</v>
      </c>
      <c r="R44" s="166"/>
      <c r="S44" s="203">
        <v>0.64176437438603529</v>
      </c>
      <c r="T44" s="166"/>
      <c r="U44" s="203">
        <v>0.60913899888537237</v>
      </c>
      <c r="V44" s="156"/>
      <c r="W44" s="203">
        <v>0.57698590139870753</v>
      </c>
      <c r="X44" s="156"/>
      <c r="Y44" s="203">
        <v>0.54540746301515619</v>
      </c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</row>
    <row r="45" spans="2:47" x14ac:dyDescent="0.25">
      <c r="C45" s="86" t="s">
        <v>48</v>
      </c>
      <c r="M45"/>
      <c r="N45"/>
      <c r="O45" s="203">
        <v>0.69366521708868401</v>
      </c>
      <c r="P45" s="166"/>
      <c r="Q45" s="203">
        <v>0.65941549699493018</v>
      </c>
      <c r="R45" s="166"/>
      <c r="S45" s="203">
        <v>0.62621409157510977</v>
      </c>
      <c r="T45" s="166"/>
      <c r="U45" s="203">
        <v>0.59437924580170598</v>
      </c>
      <c r="V45" s="156"/>
      <c r="W45" s="203">
        <v>0.56300523450168583</v>
      </c>
      <c r="X45" s="156"/>
      <c r="Y45" s="203">
        <v>0.53219195801740848</v>
      </c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</row>
    <row r="46" spans="2:47" x14ac:dyDescent="0.25">
      <c r="B46"/>
      <c r="C46" s="151" t="s">
        <v>72</v>
      </c>
      <c r="D46"/>
      <c r="E46"/>
      <c r="F46"/>
      <c r="G46"/>
      <c r="H46"/>
      <c r="I46"/>
      <c r="J46"/>
      <c r="K46"/>
      <c r="L46"/>
      <c r="M46"/>
      <c r="N46"/>
      <c r="O46" s="204">
        <v>0.67534082903836479</v>
      </c>
      <c r="P46" s="166"/>
      <c r="Q46" s="204">
        <v>0.64199587560459559</v>
      </c>
      <c r="R46" s="166"/>
      <c r="S46" s="204">
        <v>0.60967154376687316</v>
      </c>
      <c r="T46" s="166"/>
      <c r="U46" s="204">
        <v>0.5786776714963966</v>
      </c>
      <c r="V46" s="156"/>
      <c r="W46" s="204">
        <v>0.54813245994529503</v>
      </c>
      <c r="X46" s="156"/>
      <c r="Y46" s="204">
        <v>0.51813317041248907</v>
      </c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</row>
    <row r="47" spans="2:47" x14ac:dyDescent="0.25">
      <c r="B47"/>
      <c r="L47"/>
      <c r="M47"/>
      <c r="N47"/>
      <c r="O47" s="203">
        <v>0.66215696594868212</v>
      </c>
      <c r="P47" s="166"/>
      <c r="Q47" s="203">
        <v>0.62946296575496596</v>
      </c>
      <c r="R47" s="166"/>
      <c r="S47" s="203">
        <v>0.59776966279494492</v>
      </c>
      <c r="T47" s="166"/>
      <c r="U47" s="203">
        <v>0.56738084644743825</v>
      </c>
      <c r="V47" s="156"/>
      <c r="W47" s="203">
        <v>0.53743193215813345</v>
      </c>
      <c r="X47" s="156"/>
      <c r="Y47" s="203">
        <v>0.5080182825111188</v>
      </c>
    </row>
    <row r="48" spans="2:47" x14ac:dyDescent="0.25">
      <c r="B48"/>
      <c r="C48"/>
      <c r="D48"/>
      <c r="E48"/>
      <c r="F48"/>
      <c r="G48"/>
      <c r="H48"/>
      <c r="L48"/>
      <c r="U48"/>
    </row>
    <row r="49" spans="2:47" x14ac:dyDescent="0.25">
      <c r="B49"/>
      <c r="C49"/>
      <c r="D49"/>
      <c r="E49"/>
      <c r="F49"/>
      <c r="G49"/>
      <c r="H49"/>
      <c r="L49"/>
      <c r="M49"/>
      <c r="N49"/>
      <c r="O49" s="221">
        <f>O38</f>
        <v>0.96714400569457504</v>
      </c>
      <c r="P49"/>
      <c r="Q49" s="221">
        <f>Q38</f>
        <v>0.94120737953585942</v>
      </c>
      <c r="R49"/>
      <c r="S49" s="221">
        <f>S38</f>
        <v>0.91596631533331174</v>
      </c>
      <c r="T49"/>
      <c r="U49" s="221">
        <f>U38</f>
        <v>0.8914021596802818</v>
      </c>
      <c r="V49"/>
      <c r="W49" s="221">
        <f>W38</f>
        <v>0.86749675941251592</v>
      </c>
      <c r="X49"/>
      <c r="Y49" s="221">
        <f>Y38</f>
        <v>0.84423244819278109</v>
      </c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</row>
    <row r="50" spans="2:47" x14ac:dyDescent="0.25">
      <c r="M50"/>
      <c r="N50"/>
      <c r="O50" s="221">
        <f>O42</f>
        <v>0.74028778716367338</v>
      </c>
      <c r="P50"/>
      <c r="Q50" s="221">
        <f>Q42</f>
        <v>0.72043493435946482</v>
      </c>
      <c r="R50"/>
      <c r="S50" s="221">
        <f>S42</f>
        <v>0.70111449039854645</v>
      </c>
      <c r="T50"/>
      <c r="U50" s="221">
        <f>U42</f>
        <v>0.68231217727366089</v>
      </c>
      <c r="V50"/>
      <c r="W50" s="221">
        <f>W42</f>
        <v>0.66401409988158022</v>
      </c>
      <c r="X50"/>
      <c r="Y50" s="221">
        <f>Y42</f>
        <v>0.64620673575448095</v>
      </c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</row>
    <row r="51" spans="2:47" x14ac:dyDescent="0.25">
      <c r="B51"/>
      <c r="C51"/>
      <c r="D51"/>
      <c r="E51"/>
      <c r="F51"/>
      <c r="G51"/>
      <c r="H51"/>
      <c r="L51"/>
      <c r="M51"/>
      <c r="N51"/>
      <c r="O51" s="221">
        <f>O46</f>
        <v>0.67534082903836479</v>
      </c>
      <c r="P51"/>
      <c r="Q51" s="221">
        <f>Q46</f>
        <v>0.64199587560459559</v>
      </c>
      <c r="R51"/>
      <c r="S51" s="221">
        <f>S46</f>
        <v>0.60967154376687316</v>
      </c>
      <c r="T51"/>
      <c r="U51" s="221">
        <f>U46</f>
        <v>0.5786776714963966</v>
      </c>
      <c r="V51"/>
      <c r="W51" s="221">
        <f>W46</f>
        <v>0.54813245994529503</v>
      </c>
      <c r="X51"/>
      <c r="Y51" s="221">
        <f>Y46</f>
        <v>0.51813317041248907</v>
      </c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</row>
    <row r="52" spans="2:47" x14ac:dyDescent="0.25">
      <c r="B52"/>
      <c r="C52"/>
      <c r="D52"/>
      <c r="E52"/>
      <c r="F52"/>
      <c r="G52"/>
      <c r="H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 s="62">
        <v>2.5150999999999999</v>
      </c>
      <c r="AM52" s="1" t="s">
        <v>37</v>
      </c>
      <c r="AN52"/>
      <c r="AO52"/>
      <c r="AP52"/>
      <c r="AQ52"/>
      <c r="AR52"/>
      <c r="AS52"/>
      <c r="AT52"/>
      <c r="AU52"/>
    </row>
    <row r="53" spans="2:47" x14ac:dyDescent="0.25">
      <c r="B53"/>
      <c r="C53"/>
      <c r="D53"/>
      <c r="E53"/>
      <c r="F53"/>
      <c r="G53"/>
      <c r="H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 s="62">
        <v>4.55</v>
      </c>
      <c r="AM53" t="s">
        <v>1</v>
      </c>
      <c r="AN53"/>
      <c r="AO53"/>
      <c r="AP53"/>
      <c r="AQ53"/>
      <c r="AR53"/>
      <c r="AS53"/>
      <c r="AT53"/>
      <c r="AU53"/>
    </row>
    <row r="54" spans="2:47" x14ac:dyDescent="0.25">
      <c r="B54"/>
      <c r="C54"/>
      <c r="D54"/>
      <c r="E54"/>
      <c r="F54"/>
      <c r="G54"/>
      <c r="H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 s="62">
        <v>85</v>
      </c>
      <c r="AM54" s="1" t="s">
        <v>8</v>
      </c>
      <c r="AN54"/>
      <c r="AO54"/>
      <c r="AP54"/>
      <c r="AQ54"/>
      <c r="AR54"/>
      <c r="AS54"/>
      <c r="AT54"/>
      <c r="AU54"/>
    </row>
    <row r="55" spans="2:47" x14ac:dyDescent="0.25">
      <c r="B55"/>
      <c r="C55"/>
      <c r="D55"/>
      <c r="E55"/>
      <c r="F55"/>
      <c r="G55"/>
      <c r="H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 s="69"/>
      <c r="AO55" s="62" t="s">
        <v>32</v>
      </c>
      <c r="AP55"/>
      <c r="AQ55"/>
      <c r="AR55"/>
      <c r="AS55"/>
      <c r="AT55"/>
      <c r="AU55"/>
    </row>
    <row r="56" spans="2:47" x14ac:dyDescent="0.25">
      <c r="B56"/>
      <c r="C56"/>
      <c r="D56"/>
      <c r="E56"/>
      <c r="F56"/>
      <c r="G56"/>
      <c r="H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 s="71"/>
      <c r="AN56" s="70">
        <v>1</v>
      </c>
      <c r="AO56"/>
      <c r="AP56"/>
      <c r="AQ56"/>
      <c r="AR56"/>
      <c r="AS56"/>
      <c r="AT56"/>
      <c r="AU56"/>
    </row>
    <row r="57" spans="2:47" x14ac:dyDescent="0.25">
      <c r="B57"/>
      <c r="C57"/>
      <c r="D57"/>
      <c r="E57"/>
      <c r="F57"/>
      <c r="G57"/>
      <c r="H57"/>
      <c r="L57"/>
      <c r="M57"/>
      <c r="N57"/>
      <c r="O57"/>
      <c r="P57"/>
      <c r="Q57"/>
      <c r="R57"/>
      <c r="S57"/>
      <c r="T57"/>
      <c r="AK57"/>
      <c r="AL57" s="2" t="s">
        <v>10</v>
      </c>
      <c r="AM57" s="2" t="s">
        <v>9</v>
      </c>
      <c r="AN57" s="2" t="s">
        <v>10</v>
      </c>
      <c r="AO57" s="181" t="s">
        <v>12</v>
      </c>
      <c r="AP57" s="2" t="s">
        <v>11</v>
      </c>
      <c r="AQ57"/>
      <c r="AR57"/>
      <c r="AS57"/>
      <c r="AT57"/>
      <c r="AU57"/>
    </row>
    <row r="58" spans="2:47" x14ac:dyDescent="0.25">
      <c r="B58"/>
      <c r="C58"/>
      <c r="D58"/>
      <c r="E58"/>
      <c r="F58"/>
      <c r="G58"/>
      <c r="H58"/>
      <c r="L58"/>
      <c r="M58"/>
      <c r="N58"/>
      <c r="O58"/>
      <c r="P58"/>
      <c r="Q58"/>
      <c r="R58"/>
      <c r="S58"/>
      <c r="T58"/>
      <c r="AK58"/>
      <c r="AL58" s="184">
        <v>31.793468446418061</v>
      </c>
      <c r="AM58" s="160">
        <v>1</v>
      </c>
      <c r="AN58" s="185">
        <f t="shared" ref="AN58:AN67" si="11">AL58*$AN$56</f>
        <v>31.793468446418061</v>
      </c>
      <c r="AO58" s="186">
        <f>AN58/AM58</f>
        <v>31.793468446418061</v>
      </c>
      <c r="AP58" s="187">
        <f t="shared" ref="AP58:AP67" si="12">SQRT(12*32.2*AO58^2/(4*$AL$54*($AL$53*56)*$AL$52^2))</f>
        <v>0.84423244819278109</v>
      </c>
      <c r="AQ58" s="188">
        <f>AP58*100</f>
        <v>84.423244819278111</v>
      </c>
      <c r="AR58"/>
      <c r="AS58"/>
      <c r="AT58"/>
      <c r="AU58"/>
    </row>
    <row r="59" spans="2:47" x14ac:dyDescent="0.25">
      <c r="B59"/>
      <c r="C59"/>
      <c r="D59"/>
      <c r="E59"/>
      <c r="F59"/>
      <c r="G59"/>
      <c r="H59"/>
      <c r="I59" s="160"/>
      <c r="J59" s="160"/>
      <c r="K59"/>
      <c r="L59"/>
      <c r="M59"/>
      <c r="N59"/>
      <c r="O59"/>
      <c r="P59"/>
      <c r="Q59"/>
      <c r="R59"/>
      <c r="S59"/>
      <c r="T59"/>
      <c r="AK59"/>
      <c r="AL59" s="190">
        <v>54.376789517871494</v>
      </c>
      <c r="AM59" s="191">
        <v>2</v>
      </c>
      <c r="AN59" s="192">
        <f t="shared" si="11"/>
        <v>54.376789517871494</v>
      </c>
      <c r="AO59" s="193">
        <f t="shared" ref="AO59:AO67" si="13">AN59/AM59</f>
        <v>27.188394758935747</v>
      </c>
      <c r="AP59" s="194">
        <f t="shared" si="12"/>
        <v>0.72195096009897874</v>
      </c>
      <c r="AQ59"/>
      <c r="AR59"/>
      <c r="AS59"/>
      <c r="AT59"/>
      <c r="AU59"/>
    </row>
    <row r="60" spans="2:47" x14ac:dyDescent="0.25">
      <c r="B60"/>
      <c r="C60"/>
      <c r="D60"/>
      <c r="E60"/>
      <c r="F60"/>
      <c r="G60"/>
      <c r="H60"/>
      <c r="I60" s="160"/>
      <c r="J60" s="160"/>
      <c r="K60"/>
      <c r="L60"/>
      <c r="M60"/>
      <c r="N60"/>
      <c r="O60"/>
      <c r="P60"/>
      <c r="Q60"/>
      <c r="R60"/>
      <c r="S60"/>
      <c r="T60"/>
      <c r="AK60"/>
      <c r="AL60" s="184">
        <v>76.885565532764915</v>
      </c>
      <c r="AM60" s="160">
        <v>3</v>
      </c>
      <c r="AN60" s="185">
        <f t="shared" si="11"/>
        <v>76.885565532764915</v>
      </c>
      <c r="AO60" s="186">
        <f t="shared" si="13"/>
        <v>25.628521844254973</v>
      </c>
      <c r="AP60" s="187">
        <f t="shared" si="12"/>
        <v>0.68053064976542887</v>
      </c>
      <c r="AQ60"/>
      <c r="AR60"/>
      <c r="AS60"/>
      <c r="AT60"/>
      <c r="AU60"/>
    </row>
    <row r="61" spans="2:47" x14ac:dyDescent="0.2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AK61"/>
      <c r="AL61" s="184">
        <v>99.319796491098344</v>
      </c>
      <c r="AM61" s="160">
        <v>4</v>
      </c>
      <c r="AN61" s="185">
        <f t="shared" si="11"/>
        <v>99.319796491098344</v>
      </c>
      <c r="AO61" s="186">
        <f t="shared" si="13"/>
        <v>24.829949122774586</v>
      </c>
      <c r="AP61" s="187">
        <f t="shared" si="12"/>
        <v>0.65932563387194232</v>
      </c>
      <c r="AQ61"/>
      <c r="AR61"/>
      <c r="AS61"/>
      <c r="AT61"/>
      <c r="AU61"/>
    </row>
    <row r="62" spans="2:47" x14ac:dyDescent="0.2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AK62"/>
      <c r="AL62" s="190">
        <v>121.67948239287176</v>
      </c>
      <c r="AM62" s="191">
        <v>5</v>
      </c>
      <c r="AN62" s="192">
        <f t="shared" si="11"/>
        <v>121.67948239287176</v>
      </c>
      <c r="AO62" s="193">
        <f t="shared" si="13"/>
        <v>24.335896478574352</v>
      </c>
      <c r="AP62" s="194">
        <f t="shared" si="12"/>
        <v>0.64620673575448095</v>
      </c>
      <c r="AQ62" s="188">
        <f>AP62*100</f>
        <v>64.620673575448095</v>
      </c>
      <c r="AR62"/>
      <c r="AS62"/>
      <c r="AT62"/>
      <c r="AU62"/>
    </row>
    <row r="63" spans="2:47" x14ac:dyDescent="0.2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AK63"/>
      <c r="AL63" s="184">
        <v>213.06547625415615</v>
      </c>
      <c r="AM63" s="160">
        <v>10</v>
      </c>
      <c r="AN63" s="185">
        <f t="shared" si="11"/>
        <v>213.06547625415615</v>
      </c>
      <c r="AO63" s="186">
        <f t="shared" si="13"/>
        <v>21.306547625415615</v>
      </c>
      <c r="AP63" s="187">
        <f t="shared" si="12"/>
        <v>0.56576648422790288</v>
      </c>
      <c r="AQ63"/>
      <c r="AR63"/>
      <c r="AS63"/>
      <c r="AT63"/>
      <c r="AU63"/>
    </row>
    <row r="64" spans="2:47" x14ac:dyDescent="0.25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AK64"/>
      <c r="AL64" s="184">
        <v>410.7966947475964</v>
      </c>
      <c r="AM64" s="160">
        <v>20</v>
      </c>
      <c r="AN64" s="185">
        <f t="shared" si="11"/>
        <v>410.7966947475964</v>
      </c>
      <c r="AO64" s="186">
        <f t="shared" si="13"/>
        <v>20.53983473737982</v>
      </c>
      <c r="AP64" s="187">
        <f t="shared" si="12"/>
        <v>0.54540746301515619</v>
      </c>
      <c r="AQ64"/>
      <c r="AR64"/>
      <c r="AS64"/>
      <c r="AT64"/>
      <c r="AU64"/>
    </row>
    <row r="65" spans="2:47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AK65"/>
      <c r="AL65" s="184">
        <v>601.26431745964499</v>
      </c>
      <c r="AM65" s="160">
        <v>30</v>
      </c>
      <c r="AN65" s="185">
        <f t="shared" si="11"/>
        <v>601.26431745964499</v>
      </c>
      <c r="AO65" s="186">
        <f t="shared" si="13"/>
        <v>20.0421439153215</v>
      </c>
      <c r="AP65" s="187">
        <f t="shared" si="12"/>
        <v>0.53219195801740848</v>
      </c>
      <c r="AQ65"/>
      <c r="AR65"/>
      <c r="AS65"/>
      <c r="AT65"/>
      <c r="AU65"/>
    </row>
    <row r="66" spans="2:47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AK66"/>
      <c r="AL66" s="190">
        <v>780.50781581853357</v>
      </c>
      <c r="AM66" s="191">
        <v>40</v>
      </c>
      <c r="AN66" s="192">
        <f t="shared" si="11"/>
        <v>780.50781581853357</v>
      </c>
      <c r="AO66" s="193">
        <f t="shared" si="13"/>
        <v>19.512695395463339</v>
      </c>
      <c r="AP66" s="194">
        <f t="shared" si="12"/>
        <v>0.51813317041248907</v>
      </c>
      <c r="AQ66" s="188">
        <f>AP66*100</f>
        <v>51.813317041248908</v>
      </c>
      <c r="AR66"/>
      <c r="AS66"/>
      <c r="AT66"/>
      <c r="AU66"/>
    </row>
    <row r="67" spans="2:47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AK67"/>
      <c r="AL67" s="184">
        <v>956.5886308798041</v>
      </c>
      <c r="AM67" s="160">
        <v>50</v>
      </c>
      <c r="AN67" s="185">
        <f t="shared" si="11"/>
        <v>956.5886308798041</v>
      </c>
      <c r="AO67" s="186">
        <f t="shared" si="13"/>
        <v>19.131772617596081</v>
      </c>
      <c r="AP67" s="187">
        <f t="shared" si="12"/>
        <v>0.5080182825111188</v>
      </c>
      <c r="AQ67"/>
      <c r="AR67"/>
      <c r="AS67"/>
      <c r="AT67"/>
      <c r="AU67"/>
    </row>
    <row r="68" spans="2:47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AK68"/>
      <c r="AL68"/>
      <c r="AM68"/>
      <c r="AN68"/>
      <c r="AO68"/>
      <c r="AP68"/>
      <c r="AQ68"/>
      <c r="AR68"/>
      <c r="AS68"/>
      <c r="AT68"/>
      <c r="AU68"/>
    </row>
    <row r="69" spans="2:47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AK69"/>
      <c r="AL69"/>
      <c r="AM69"/>
      <c r="AN69"/>
      <c r="AO69"/>
      <c r="AP69"/>
      <c r="AQ69"/>
      <c r="AR69"/>
      <c r="AS69"/>
      <c r="AT69"/>
      <c r="AU69"/>
    </row>
    <row r="70" spans="2:47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AK70"/>
      <c r="AL70" s="195">
        <v>0.69</v>
      </c>
      <c r="AM70" s="178">
        <v>62.3</v>
      </c>
      <c r="AN70"/>
      <c r="AO70" t="s">
        <v>108</v>
      </c>
      <c r="AP70"/>
      <c r="AQ70"/>
      <c r="AR70"/>
      <c r="AS70"/>
      <c r="AT70"/>
      <c r="AU70"/>
    </row>
    <row r="71" spans="2:47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AK71"/>
      <c r="AL71" s="195">
        <v>0.66</v>
      </c>
      <c r="AM71" s="178">
        <v>60.6</v>
      </c>
      <c r="AN71"/>
      <c r="AO71" t="s">
        <v>81</v>
      </c>
      <c r="AP71"/>
      <c r="AQ71"/>
      <c r="AR71"/>
      <c r="AS71"/>
      <c r="AT71"/>
      <c r="AU71"/>
    </row>
    <row r="72" spans="2:47" x14ac:dyDescent="0.25">
      <c r="M72"/>
      <c r="N72"/>
      <c r="O72"/>
      <c r="P72"/>
      <c r="Q72"/>
      <c r="R72"/>
      <c r="S72"/>
      <c r="T72"/>
      <c r="AK72"/>
      <c r="AL72" s="195">
        <v>0.63</v>
      </c>
      <c r="AM72" s="178">
        <v>59</v>
      </c>
      <c r="AN72"/>
      <c r="AO72" t="s">
        <v>109</v>
      </c>
      <c r="AP72"/>
      <c r="AQ72"/>
      <c r="AR72"/>
      <c r="AS72"/>
      <c r="AT72"/>
      <c r="AU72"/>
    </row>
    <row r="73" spans="2:47" x14ac:dyDescent="0.25">
      <c r="M73"/>
      <c r="N73"/>
      <c r="O73"/>
      <c r="P73"/>
      <c r="Q73"/>
      <c r="R73"/>
      <c r="S73"/>
      <c r="T73"/>
      <c r="AK73"/>
      <c r="AL73" s="195">
        <v>0.6</v>
      </c>
      <c r="AM73" s="178">
        <v>57.4</v>
      </c>
      <c r="AN73"/>
      <c r="AO73" t="s">
        <v>110</v>
      </c>
      <c r="AP73"/>
      <c r="AQ73"/>
      <c r="AR73"/>
      <c r="AS73"/>
      <c r="AT73"/>
      <c r="AU73"/>
    </row>
    <row r="74" spans="2:47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AK74"/>
      <c r="AL74" s="195">
        <v>0.56999999999999995</v>
      </c>
      <c r="AM74" s="178">
        <v>55.9</v>
      </c>
      <c r="AN74"/>
      <c r="AO74" t="s">
        <v>111</v>
      </c>
      <c r="AP74"/>
      <c r="AQ74"/>
      <c r="AR74"/>
      <c r="AS74"/>
      <c r="AT74"/>
      <c r="AU74"/>
    </row>
    <row r="75" spans="2:47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AK75"/>
      <c r="AL75" s="195">
        <v>0.54</v>
      </c>
      <c r="AM75" s="178">
        <v>54.4</v>
      </c>
      <c r="AN75"/>
      <c r="AO75" t="s">
        <v>112</v>
      </c>
      <c r="AP75"/>
      <c r="AQ75"/>
      <c r="AR75"/>
      <c r="AS75"/>
      <c r="AT75"/>
      <c r="AU75"/>
    </row>
    <row r="76" spans="2:47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AK76"/>
      <c r="AL76"/>
      <c r="AM76"/>
      <c r="AN76"/>
      <c r="AO76"/>
      <c r="AP76"/>
      <c r="AQ76"/>
      <c r="AR76"/>
      <c r="AS76"/>
      <c r="AT76"/>
      <c r="AU76"/>
    </row>
    <row r="77" spans="2:47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AK77"/>
      <c r="AL77"/>
      <c r="AM77"/>
      <c r="AN77"/>
      <c r="AO77"/>
      <c r="AP77"/>
      <c r="AQ77"/>
      <c r="AR77"/>
      <c r="AS77"/>
      <c r="AT77"/>
      <c r="AU77"/>
    </row>
    <row r="78" spans="2:47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</row>
    <row r="79" spans="2:47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</row>
    <row r="80" spans="2:47" ht="14.25" customHeigh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</row>
    <row r="81" spans="2:47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</row>
    <row r="82" spans="2:47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</row>
    <row r="83" spans="2:47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</row>
    <row r="84" spans="2:47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</row>
    <row r="85" spans="2:47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</row>
    <row r="86" spans="2:47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</row>
    <row r="87" spans="2:47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</row>
    <row r="88" spans="2:47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</row>
    <row r="89" spans="2:47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</row>
    <row r="90" spans="2:47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</row>
    <row r="91" spans="2:47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</row>
    <row r="92" spans="2:47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</row>
    <row r="93" spans="2:47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</row>
    <row r="94" spans="2:47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</row>
    <row r="95" spans="2:47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</row>
    <row r="96" spans="2:47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</row>
    <row r="97" spans="2:47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</row>
    <row r="98" spans="2:47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</row>
    <row r="99" spans="2:47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</row>
    <row r="100" spans="2:47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</row>
    <row r="101" spans="2:47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</row>
    <row r="102" spans="2:47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</row>
    <row r="103" spans="2:47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</row>
    <row r="104" spans="2:47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</row>
    <row r="105" spans="2:47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</row>
    <row r="106" spans="2:47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</row>
    <row r="107" spans="2:47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</row>
    <row r="108" spans="2:47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</row>
    <row r="109" spans="2:47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</row>
    <row r="110" spans="2:47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</row>
    <row r="111" spans="2:47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</row>
    <row r="112" spans="2:47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</row>
    <row r="113" spans="2:47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</row>
    <row r="114" spans="2:47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</row>
    <row r="115" spans="2:47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</row>
    <row r="116" spans="2:47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</row>
    <row r="117" spans="2:47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</row>
    <row r="118" spans="2:47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</row>
    <row r="119" spans="2:47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</row>
    <row r="120" spans="2:47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</row>
    <row r="121" spans="2:47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</row>
    <row r="122" spans="2:47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</row>
    <row r="123" spans="2:47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</row>
    <row r="124" spans="2:47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</row>
    <row r="125" spans="2:47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</row>
    <row r="126" spans="2:47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</row>
    <row r="127" spans="2:47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</row>
    <row r="128" spans="2:47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</row>
    <row r="129" spans="2:47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</row>
    <row r="130" spans="2:47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</row>
    <row r="131" spans="2:47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</row>
    <row r="132" spans="2:47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</row>
    <row r="133" spans="2:47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</row>
    <row r="134" spans="2:47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</row>
    <row r="135" spans="2:47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</row>
    <row r="136" spans="2:47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</row>
    <row r="137" spans="2:47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</row>
    <row r="138" spans="2:47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</row>
    <row r="139" spans="2:47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</row>
    <row r="140" spans="2:47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</row>
    <row r="141" spans="2:47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</row>
  </sheetData>
  <pageMargins left="0.7" right="0.7" top="0.75" bottom="0.75" header="0.3" footer="0.3"/>
  <pageSetup scale="97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transitionEntry="1" codeName="Sheet5">
    <pageSetUpPr fitToPage="1"/>
  </sheetPr>
  <dimension ref="A1:AU103"/>
  <sheetViews>
    <sheetView showGridLines="0" topLeftCell="A4" zoomScale="80" zoomScaleNormal="80" workbookViewId="0">
      <selection activeCell="N19" sqref="N19"/>
    </sheetView>
  </sheetViews>
  <sheetFormatPr defaultRowHeight="15" x14ac:dyDescent="0.25"/>
  <cols>
    <col min="1" max="1" width="2.85546875" style="86" customWidth="1"/>
    <col min="2" max="2" width="10.7109375" style="86" customWidth="1"/>
    <col min="3" max="4" width="13.7109375" style="86" customWidth="1"/>
    <col min="5" max="5" width="11.85546875" style="86" customWidth="1"/>
    <col min="6" max="6" width="11.7109375" style="86" customWidth="1"/>
    <col min="7" max="7" width="13.28515625" style="86" customWidth="1"/>
    <col min="8" max="9" width="13.7109375" style="86" customWidth="1"/>
    <col min="10" max="10" width="4.7109375" style="86" customWidth="1"/>
    <col min="11" max="11" width="9.7109375" style="86" customWidth="1"/>
    <col min="12" max="13" width="13.7109375" style="86" customWidth="1"/>
    <col min="14" max="14" width="11.140625" style="86" customWidth="1"/>
    <col min="15" max="15" width="8.85546875" style="86" customWidth="1"/>
    <col min="16" max="16" width="12" style="86" customWidth="1"/>
    <col min="17" max="17" width="13" style="86" customWidth="1"/>
    <col min="18" max="26" width="9.28515625" style="86" customWidth="1"/>
    <col min="27" max="16384" width="9.140625" style="86"/>
  </cols>
  <sheetData>
    <row r="1" spans="1:47" x14ac:dyDescent="0.25">
      <c r="O1" s="100" t="s">
        <v>43</v>
      </c>
      <c r="T1" s="87"/>
    </row>
    <row r="2" spans="1:47" x14ac:dyDescent="0.25">
      <c r="A2" s="86" t="s">
        <v>44</v>
      </c>
      <c r="K2"/>
      <c r="L2"/>
      <c r="M2"/>
      <c r="N2"/>
      <c r="O2"/>
      <c r="P2"/>
      <c r="Q2"/>
      <c r="R2"/>
      <c r="AU2" s="86" t="s">
        <v>22</v>
      </c>
    </row>
    <row r="3" spans="1:47" x14ac:dyDescent="0.25">
      <c r="A3" s="87" t="s">
        <v>45</v>
      </c>
      <c r="K3"/>
      <c r="L3"/>
      <c r="M3"/>
      <c r="N3"/>
      <c r="O3"/>
      <c r="P3"/>
      <c r="Q3"/>
      <c r="R3"/>
    </row>
    <row r="4" spans="1:47" x14ac:dyDescent="0.25">
      <c r="A4" s="87" t="s">
        <v>46</v>
      </c>
      <c r="K4"/>
      <c r="L4"/>
      <c r="M4"/>
      <c r="N4"/>
      <c r="O4"/>
      <c r="P4"/>
      <c r="Q4"/>
      <c r="R4"/>
    </row>
    <row r="5" spans="1:47" x14ac:dyDescent="0.25">
      <c r="A5" s="87" t="s">
        <v>68</v>
      </c>
      <c r="K5"/>
      <c r="L5"/>
      <c r="M5"/>
      <c r="N5"/>
      <c r="O5"/>
      <c r="P5"/>
      <c r="Q5"/>
      <c r="R5"/>
    </row>
    <row r="6" spans="1:47" x14ac:dyDescent="0.25">
      <c r="D6" s="88"/>
      <c r="K6"/>
      <c r="L6"/>
      <c r="M6"/>
      <c r="N6"/>
      <c r="O6"/>
      <c r="P6"/>
      <c r="Q6"/>
      <c r="R6"/>
    </row>
    <row r="7" spans="1:47" x14ac:dyDescent="0.25">
      <c r="B7" s="89">
        <v>2.5150999999999999</v>
      </c>
      <c r="C7" s="96" t="s">
        <v>37</v>
      </c>
      <c r="K7"/>
      <c r="L7"/>
      <c r="M7"/>
      <c r="N7"/>
      <c r="O7"/>
      <c r="P7"/>
      <c r="Q7"/>
      <c r="R7"/>
    </row>
    <row r="8" spans="1:47" x14ac:dyDescent="0.25">
      <c r="B8" s="89">
        <v>4.55</v>
      </c>
      <c r="C8" s="96" t="s">
        <v>1</v>
      </c>
      <c r="D8" s="125" t="s">
        <v>69</v>
      </c>
      <c r="K8"/>
      <c r="L8"/>
      <c r="M8"/>
      <c r="N8"/>
      <c r="O8"/>
      <c r="P8"/>
      <c r="Q8"/>
      <c r="R8"/>
      <c r="W8" s="87"/>
      <c r="X8" s="87"/>
    </row>
    <row r="9" spans="1:47" x14ac:dyDescent="0.25">
      <c r="B9" s="89">
        <v>85</v>
      </c>
      <c r="C9" s="96" t="s">
        <v>8</v>
      </c>
      <c r="K9"/>
      <c r="L9"/>
      <c r="M9"/>
      <c r="N9"/>
      <c r="O9"/>
      <c r="P9"/>
      <c r="Q9"/>
      <c r="R9"/>
    </row>
    <row r="10" spans="1:47" x14ac:dyDescent="0.25">
      <c r="B10" s="91">
        <f>(B8*2.20462*25.4*12)</f>
        <v>3057.4552007999996</v>
      </c>
      <c r="C10" s="97" t="s">
        <v>49</v>
      </c>
      <c r="K10"/>
      <c r="L10"/>
      <c r="M10"/>
      <c r="N10"/>
      <c r="O10"/>
      <c r="P10"/>
      <c r="Q10"/>
      <c r="R10"/>
      <c r="S10" s="90"/>
      <c r="T10" s="90"/>
      <c r="U10" s="90"/>
    </row>
    <row r="11" spans="1:47" x14ac:dyDescent="0.25">
      <c r="K11"/>
      <c r="L11"/>
      <c r="M11"/>
      <c r="N11"/>
      <c r="O11"/>
      <c r="P11"/>
      <c r="Q11"/>
      <c r="R11"/>
    </row>
    <row r="12" spans="1:47" x14ac:dyDescent="0.25">
      <c r="B12" s="86" t="s">
        <v>48</v>
      </c>
      <c r="K12"/>
      <c r="L12"/>
      <c r="M12"/>
      <c r="N12"/>
      <c r="O12"/>
      <c r="P12"/>
      <c r="Q12"/>
      <c r="R12"/>
    </row>
    <row r="15" spans="1:47" x14ac:dyDescent="0.25">
      <c r="F15" s="86" t="s">
        <v>53</v>
      </c>
      <c r="K15" s="86" t="s">
        <v>58</v>
      </c>
    </row>
    <row r="16" spans="1:47" x14ac:dyDescent="0.25">
      <c r="B16" s="86" t="s">
        <v>52</v>
      </c>
      <c r="J16" s="149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</row>
    <row r="17" spans="2:44" x14ac:dyDescent="0.25">
      <c r="B17" s="101"/>
      <c r="C17" s="117" t="s">
        <v>61</v>
      </c>
      <c r="D17" s="101"/>
      <c r="E17" s="101" t="s">
        <v>50</v>
      </c>
      <c r="F17" s="102"/>
      <c r="G17" s="102" t="s">
        <v>51</v>
      </c>
      <c r="H17" s="102"/>
      <c r="I17" s="102"/>
      <c r="J17" s="150" t="s">
        <v>71</v>
      </c>
      <c r="K17" s="101"/>
      <c r="L17" s="118"/>
      <c r="M17" s="101"/>
      <c r="N17" s="101" t="s">
        <v>51</v>
      </c>
      <c r="O17" s="101"/>
      <c r="P17" s="101" t="s">
        <v>60</v>
      </c>
      <c r="Q17" s="115" t="s">
        <v>62</v>
      </c>
      <c r="R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</row>
    <row r="18" spans="2:44" x14ac:dyDescent="0.25">
      <c r="B18" s="103" t="s">
        <v>9</v>
      </c>
      <c r="C18" s="101" t="s">
        <v>47</v>
      </c>
      <c r="D18" s="104" t="s">
        <v>56</v>
      </c>
      <c r="E18" s="101" t="s">
        <v>51</v>
      </c>
      <c r="F18" s="102" t="s">
        <v>54</v>
      </c>
      <c r="G18" s="102" t="s">
        <v>55</v>
      </c>
      <c r="H18" s="105" t="s">
        <v>57</v>
      </c>
      <c r="I18" s="106" t="s">
        <v>57</v>
      </c>
      <c r="J18" s="114"/>
      <c r="K18" s="103" t="s">
        <v>9</v>
      </c>
      <c r="L18" s="101" t="s">
        <v>47</v>
      </c>
      <c r="M18" s="104" t="s">
        <v>56</v>
      </c>
      <c r="N18" s="104" t="s">
        <v>55</v>
      </c>
      <c r="O18" s="104" t="s">
        <v>59</v>
      </c>
      <c r="P18" s="104" t="s">
        <v>51</v>
      </c>
      <c r="Q18" s="126" t="s">
        <v>63</v>
      </c>
      <c r="R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</row>
    <row r="19" spans="2:44" x14ac:dyDescent="0.25">
      <c r="B19" s="92">
        <v>1</v>
      </c>
      <c r="C19" s="111">
        <v>1</v>
      </c>
      <c r="D19" s="98">
        <f>(C19*$B$7)*SQRT(4*$B$9*$B$10/32.2)/12</f>
        <v>37.658722644040672</v>
      </c>
      <c r="E19" s="98">
        <f>B19*D19</f>
        <v>37.658722644040672</v>
      </c>
      <c r="F19" s="99">
        <v>13.8</v>
      </c>
      <c r="G19" s="98">
        <f>E19-F19</f>
        <v>23.858722644040672</v>
      </c>
      <c r="H19" s="98">
        <f>G19/B19</f>
        <v>23.858722644040672</v>
      </c>
      <c r="I19" s="107">
        <f>SQRT(12*32.2*H19^2/(4*$B$9*($B$8*56)*$B$7^2))</f>
        <v>0.63353603154299098</v>
      </c>
      <c r="K19" s="92">
        <v>1</v>
      </c>
      <c r="L19" s="146">
        <v>0.63553299621721115</v>
      </c>
      <c r="M19" s="98">
        <f>(L19*$B$7)*SQRT(4*$B$9*$B$10/32.2)/12</f>
        <v>23.933360835680105</v>
      </c>
      <c r="N19" s="98">
        <f>K19*M19</f>
        <v>23.933360835680105</v>
      </c>
      <c r="O19" s="95">
        <f>$F$19</f>
        <v>13.8</v>
      </c>
      <c r="P19" s="98">
        <f>N19+O19</f>
        <v>37.733360835680102</v>
      </c>
      <c r="Q19" s="116">
        <f>P19-E19</f>
        <v>7.4638191639429863E-2</v>
      </c>
      <c r="R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</row>
    <row r="20" spans="2:44" x14ac:dyDescent="0.25">
      <c r="B20" s="92">
        <v>2</v>
      </c>
      <c r="C20" s="112">
        <v>0.87</v>
      </c>
      <c r="D20" s="94">
        <f t="shared" ref="D20:D28" si="0">(C20*$B$7)*SQRT(4*$B$9*$B$10/32.2)/12</f>
        <v>32.763088700315386</v>
      </c>
      <c r="E20" s="94">
        <f t="shared" ref="E20:E28" si="1">B20*D20</f>
        <v>65.526177400630772</v>
      </c>
      <c r="F20" s="95">
        <f>$F$19</f>
        <v>13.8</v>
      </c>
      <c r="G20" s="94">
        <f t="shared" ref="G20:G28" si="2">E20-F20</f>
        <v>51.726177400630775</v>
      </c>
      <c r="H20" s="94">
        <f t="shared" ref="H20:H28" si="3">G20/B20</f>
        <v>25.863088700315387</v>
      </c>
      <c r="I20" s="108">
        <f t="shared" ref="I20:I28" si="4">SQRT(12*32.2*H20^2/(4*$B$9*($B$8*56)*$B$7^2))</f>
        <v>0.68675925459633969</v>
      </c>
      <c r="J20" s="95"/>
      <c r="K20" s="92">
        <v>2</v>
      </c>
      <c r="L20" s="147">
        <v>0.68775773693344977</v>
      </c>
      <c r="M20" s="94">
        <f t="shared" ref="M20:M28" si="5">(L20*$B$7)*SQRT(4*$B$9*$B$10/32.2)/12</f>
        <v>25.900077861469871</v>
      </c>
      <c r="N20" s="94">
        <f t="shared" ref="N20:N28" si="6">K20*M20</f>
        <v>51.800155722939742</v>
      </c>
      <c r="O20" s="95">
        <f t="shared" ref="O20:O28" si="7">$F$19</f>
        <v>13.8</v>
      </c>
      <c r="P20" s="94">
        <f t="shared" ref="P20:P28" si="8">N20+O20</f>
        <v>65.600155722939746</v>
      </c>
      <c r="Q20" s="116">
        <f t="shared" ref="Q20:Q28" si="9">P20-E20</f>
        <v>7.3978322308974498E-2</v>
      </c>
      <c r="R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</row>
    <row r="21" spans="2:44" x14ac:dyDescent="0.25">
      <c r="B21" s="92">
        <v>3</v>
      </c>
      <c r="C21" s="113">
        <v>0.79900000000000004</v>
      </c>
      <c r="D21" s="93">
        <f t="shared" si="0"/>
        <v>30.089319392588497</v>
      </c>
      <c r="E21" s="93">
        <f t="shared" si="1"/>
        <v>90.267958177765493</v>
      </c>
      <c r="F21" s="95">
        <f t="shared" ref="F21:F28" si="10">$F$19</f>
        <v>13.8</v>
      </c>
      <c r="G21" s="93">
        <f t="shared" si="2"/>
        <v>76.467958177765496</v>
      </c>
      <c r="H21" s="93">
        <f t="shared" si="3"/>
        <v>25.489319392588499</v>
      </c>
      <c r="I21" s="109">
        <f t="shared" si="4"/>
        <v>0.67683431739568822</v>
      </c>
      <c r="J21" s="95"/>
      <c r="K21" s="92">
        <v>3</v>
      </c>
      <c r="L21" s="148">
        <v>0.67749997228709513</v>
      </c>
      <c r="M21" s="93">
        <f t="shared" si="5"/>
        <v>25.513783547704957</v>
      </c>
      <c r="N21" s="93">
        <f t="shared" si="6"/>
        <v>76.541350643114868</v>
      </c>
      <c r="O21" s="95">
        <f t="shared" si="7"/>
        <v>13.8</v>
      </c>
      <c r="P21" s="93">
        <f t="shared" si="8"/>
        <v>90.341350643114865</v>
      </c>
      <c r="Q21" s="116">
        <f t="shared" si="9"/>
        <v>7.3392465349371605E-2</v>
      </c>
      <c r="R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</row>
    <row r="22" spans="2:44" x14ac:dyDescent="0.25">
      <c r="B22" s="92">
        <v>4</v>
      </c>
      <c r="C22" s="113">
        <v>0.76</v>
      </c>
      <c r="D22" s="93">
        <f t="shared" si="0"/>
        <v>28.620629209470909</v>
      </c>
      <c r="E22" s="93">
        <f t="shared" si="1"/>
        <v>114.48251683788364</v>
      </c>
      <c r="F22" s="95">
        <f t="shared" si="10"/>
        <v>13.8</v>
      </c>
      <c r="G22" s="93">
        <f t="shared" si="2"/>
        <v>100.68251683788364</v>
      </c>
      <c r="H22" s="93">
        <f t="shared" si="3"/>
        <v>25.17062920947091</v>
      </c>
      <c r="I22" s="109">
        <f t="shared" si="4"/>
        <v>0.66837193167134368</v>
      </c>
      <c r="J22" s="95"/>
      <c r="K22" s="92">
        <v>4</v>
      </c>
      <c r="L22" s="148">
        <v>0.66887117283989883</v>
      </c>
      <c r="M22" s="93">
        <f t="shared" si="5"/>
        <v>25.188833982571939</v>
      </c>
      <c r="N22" s="93">
        <f t="shared" si="6"/>
        <v>100.75533593028776</v>
      </c>
      <c r="O22" s="95">
        <f t="shared" si="7"/>
        <v>13.8</v>
      </c>
      <c r="P22" s="93">
        <f t="shared" si="8"/>
        <v>114.55533593028775</v>
      </c>
      <c r="Q22" s="116">
        <f t="shared" si="9"/>
        <v>7.2819092404117214E-2</v>
      </c>
      <c r="R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</row>
    <row r="23" spans="2:44" x14ac:dyDescent="0.25">
      <c r="B23" s="92">
        <v>5</v>
      </c>
      <c r="C23" s="112">
        <v>0.73799999999999999</v>
      </c>
      <c r="D23" s="94">
        <f t="shared" si="0"/>
        <v>27.792137311302017</v>
      </c>
      <c r="E23" s="94">
        <f t="shared" si="1"/>
        <v>138.9606865565101</v>
      </c>
      <c r="F23" s="95">
        <f t="shared" si="10"/>
        <v>13.8</v>
      </c>
      <c r="G23" s="94">
        <f t="shared" si="2"/>
        <v>125.1606865565101</v>
      </c>
      <c r="H23" s="94">
        <f>G23/B23</f>
        <v>25.032137311302019</v>
      </c>
      <c r="I23" s="108">
        <f>SQRT(12*32.2*H23^2/(4*$B$9*($B$8*56)*$B$7^2))</f>
        <v>0.66469446708634461</v>
      </c>
      <c r="J23" s="95"/>
      <c r="K23" s="92">
        <v>5</v>
      </c>
      <c r="L23" s="147">
        <v>0.66509386002118864</v>
      </c>
      <c r="M23" s="94">
        <f>(L23*$B$7)*SQRT(4*$B$9*$B$10/32.2)/12</f>
        <v>25.046585206792354</v>
      </c>
      <c r="N23" s="94">
        <f>K23*M23</f>
        <v>125.23292603396177</v>
      </c>
      <c r="O23" s="95">
        <f>$F$19</f>
        <v>13.8</v>
      </c>
      <c r="P23" s="94">
        <f>N23+O23</f>
        <v>139.03292603396179</v>
      </c>
      <c r="Q23" s="116">
        <f t="shared" si="9"/>
        <v>7.2239477451688572E-2</v>
      </c>
      <c r="R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</row>
    <row r="24" spans="2:44" x14ac:dyDescent="0.25">
      <c r="B24" s="92">
        <v>10</v>
      </c>
      <c r="C24" s="93">
        <v>0.7</v>
      </c>
      <c r="D24" s="93">
        <f t="shared" si="0"/>
        <v>26.361105850828469</v>
      </c>
      <c r="E24" s="93">
        <f t="shared" si="1"/>
        <v>263.61105850828471</v>
      </c>
      <c r="F24" s="95">
        <f t="shared" si="10"/>
        <v>13.8</v>
      </c>
      <c r="G24" s="93">
        <f t="shared" si="2"/>
        <v>249.8110585082847</v>
      </c>
      <c r="H24" s="93">
        <f t="shared" si="3"/>
        <v>24.98110585082847</v>
      </c>
      <c r="I24" s="109">
        <f t="shared" si="4"/>
        <v>0.66333939584323554</v>
      </c>
      <c r="J24" s="95"/>
      <c r="K24" s="92">
        <v>10</v>
      </c>
      <c r="L24" s="148">
        <v>0.66353909231065744</v>
      </c>
      <c r="M24" s="93">
        <f t="shared" si="5"/>
        <v>24.988034640805552</v>
      </c>
      <c r="N24" s="93">
        <f t="shared" si="6"/>
        <v>249.88034640805552</v>
      </c>
      <c r="O24" s="95">
        <f t="shared" si="7"/>
        <v>13.8</v>
      </c>
      <c r="P24" s="93">
        <f t="shared" si="8"/>
        <v>263.68034640805553</v>
      </c>
      <c r="Q24" s="116">
        <f t="shared" si="9"/>
        <v>6.928789977081351E-2</v>
      </c>
      <c r="R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</row>
    <row r="25" spans="2:44" x14ac:dyDescent="0.25">
      <c r="B25" s="92">
        <v>20</v>
      </c>
      <c r="C25" s="93">
        <v>0.7</v>
      </c>
      <c r="D25" s="93">
        <f t="shared" si="0"/>
        <v>26.361105850828469</v>
      </c>
      <c r="E25" s="93">
        <f t="shared" si="1"/>
        <v>527.22211701656943</v>
      </c>
      <c r="F25" s="95">
        <f t="shared" si="10"/>
        <v>13.8</v>
      </c>
      <c r="G25" s="93">
        <f t="shared" si="2"/>
        <v>513.42211701656947</v>
      </c>
      <c r="H25" s="93">
        <f t="shared" si="3"/>
        <v>25.671105850828475</v>
      </c>
      <c r="I25" s="109">
        <f t="shared" si="4"/>
        <v>0.68166141032349747</v>
      </c>
      <c r="J25" s="95"/>
      <c r="K25" s="92">
        <v>20</v>
      </c>
      <c r="L25" s="148">
        <v>0.68176125855720826</v>
      </c>
      <c r="M25" s="93">
        <f t="shared" si="5"/>
        <v>25.674258145458008</v>
      </c>
      <c r="N25" s="93">
        <f t="shared" si="6"/>
        <v>513.48516290916018</v>
      </c>
      <c r="O25" s="95">
        <f t="shared" si="7"/>
        <v>13.8</v>
      </c>
      <c r="P25" s="93">
        <f t="shared" si="8"/>
        <v>527.28516290916014</v>
      </c>
      <c r="Q25" s="116">
        <f t="shared" si="9"/>
        <v>6.3045892590707808E-2</v>
      </c>
      <c r="R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</row>
    <row r="26" spans="2:44" x14ac:dyDescent="0.25">
      <c r="B26" s="92">
        <v>30</v>
      </c>
      <c r="C26" s="93">
        <v>0.7</v>
      </c>
      <c r="D26" s="93">
        <f t="shared" si="0"/>
        <v>26.361105850828469</v>
      </c>
      <c r="E26" s="93">
        <f t="shared" si="1"/>
        <v>790.83317552485403</v>
      </c>
      <c r="F26" s="95">
        <f t="shared" si="10"/>
        <v>13.8</v>
      </c>
      <c r="G26" s="93">
        <f t="shared" si="2"/>
        <v>777.03317552485407</v>
      </c>
      <c r="H26" s="93">
        <f t="shared" si="3"/>
        <v>25.901105850828468</v>
      </c>
      <c r="I26" s="109">
        <f t="shared" si="4"/>
        <v>0.68776874848358449</v>
      </c>
      <c r="J26" s="95"/>
      <c r="K26" s="92">
        <v>30</v>
      </c>
      <c r="L26" s="148">
        <v>0.68783531397272524</v>
      </c>
      <c r="M26" s="93">
        <f t="shared" si="5"/>
        <v>25.902999313675494</v>
      </c>
      <c r="N26" s="93">
        <f t="shared" si="6"/>
        <v>777.08997941026485</v>
      </c>
      <c r="O26" s="95">
        <f t="shared" si="7"/>
        <v>13.8</v>
      </c>
      <c r="P26" s="93">
        <f t="shared" si="8"/>
        <v>790.8899794102648</v>
      </c>
      <c r="Q26" s="116">
        <f t="shared" si="9"/>
        <v>5.6803885410772637E-2</v>
      </c>
      <c r="R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</row>
    <row r="27" spans="2:44" x14ac:dyDescent="0.25">
      <c r="B27" s="92">
        <v>40</v>
      </c>
      <c r="C27" s="94">
        <v>0.7</v>
      </c>
      <c r="D27" s="94">
        <f t="shared" si="0"/>
        <v>26.361105850828469</v>
      </c>
      <c r="E27" s="94">
        <f t="shared" si="1"/>
        <v>1054.4442340331389</v>
      </c>
      <c r="F27" s="95">
        <f t="shared" si="10"/>
        <v>13.8</v>
      </c>
      <c r="G27" s="94">
        <f>E27-F27</f>
        <v>1040.6442340331389</v>
      </c>
      <c r="H27" s="94">
        <f>G27/B27</f>
        <v>26.016105850828474</v>
      </c>
      <c r="I27" s="108">
        <f t="shared" si="4"/>
        <v>0.69082241756362828</v>
      </c>
      <c r="J27" s="95"/>
      <c r="K27" s="92">
        <v>40</v>
      </c>
      <c r="L27" s="147">
        <v>0.69087234168048361</v>
      </c>
      <c r="M27" s="94">
        <f t="shared" si="5"/>
        <v>26.017369897784235</v>
      </c>
      <c r="N27" s="94">
        <f t="shared" si="6"/>
        <v>1040.6947959113695</v>
      </c>
      <c r="O27" s="95">
        <f t="shared" si="7"/>
        <v>13.8</v>
      </c>
      <c r="P27" s="94">
        <f t="shared" si="8"/>
        <v>1054.4947959113695</v>
      </c>
      <c r="Q27" s="116">
        <f t="shared" si="9"/>
        <v>5.0561878230610091E-2</v>
      </c>
      <c r="R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</row>
    <row r="28" spans="2:44" x14ac:dyDescent="0.25">
      <c r="B28" s="92">
        <v>50</v>
      </c>
      <c r="C28" s="93">
        <v>0.7</v>
      </c>
      <c r="D28" s="93">
        <f t="shared" si="0"/>
        <v>26.361105850828469</v>
      </c>
      <c r="E28" s="93">
        <f t="shared" si="1"/>
        <v>1318.0552925414236</v>
      </c>
      <c r="F28" s="95">
        <f t="shared" si="10"/>
        <v>13.8</v>
      </c>
      <c r="G28" s="93">
        <f t="shared" si="2"/>
        <v>1304.2552925414236</v>
      </c>
      <c r="H28" s="93">
        <f t="shared" si="3"/>
        <v>26.085105850828473</v>
      </c>
      <c r="I28" s="109">
        <f t="shared" si="4"/>
        <v>0.69265461901165437</v>
      </c>
      <c r="J28" s="95"/>
      <c r="K28" s="92">
        <v>50</v>
      </c>
      <c r="L28" s="148">
        <v>0.69269455830513871</v>
      </c>
      <c r="M28" s="93">
        <f t="shared" si="5"/>
        <v>26.085992248249482</v>
      </c>
      <c r="N28" s="93">
        <f t="shared" si="6"/>
        <v>1304.2996124124741</v>
      </c>
      <c r="O28" s="95">
        <f t="shared" si="7"/>
        <v>13.8</v>
      </c>
      <c r="P28" s="93">
        <f t="shared" si="8"/>
        <v>1318.099612412474</v>
      </c>
      <c r="Q28" s="116">
        <f t="shared" si="9"/>
        <v>4.4319871050447546E-2</v>
      </c>
      <c r="R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</row>
    <row r="29" spans="2:44" x14ac:dyDescent="0.25">
      <c r="R29"/>
    </row>
    <row r="30" spans="2:44" x14ac:dyDescent="0.25">
      <c r="R30"/>
    </row>
    <row r="31" spans="2:44" x14ac:dyDescent="0.25">
      <c r="R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</row>
    <row r="32" spans="2:44" x14ac:dyDescent="0.25">
      <c r="B32" s="101"/>
      <c r="C32" s="117" t="s">
        <v>64</v>
      </c>
      <c r="D32" s="101"/>
      <c r="E32" s="101" t="s">
        <v>50</v>
      </c>
      <c r="F32" s="102"/>
      <c r="G32" s="102" t="s">
        <v>51</v>
      </c>
      <c r="H32" s="102"/>
      <c r="I32" s="102"/>
      <c r="J32" s="150" t="s">
        <v>71</v>
      </c>
      <c r="K32" s="101"/>
      <c r="L32" s="118"/>
      <c r="M32" s="101"/>
      <c r="N32" s="101" t="s">
        <v>51</v>
      </c>
      <c r="O32" s="101"/>
      <c r="P32" s="101" t="s">
        <v>60</v>
      </c>
      <c r="Q32" s="115" t="s">
        <v>62</v>
      </c>
      <c r="R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</row>
    <row r="33" spans="2:44" x14ac:dyDescent="0.25">
      <c r="B33" s="103" t="s">
        <v>9</v>
      </c>
      <c r="C33" s="101" t="s">
        <v>47</v>
      </c>
      <c r="D33" s="104" t="s">
        <v>56</v>
      </c>
      <c r="E33" s="101" t="s">
        <v>51</v>
      </c>
      <c r="F33" s="102" t="s">
        <v>54</v>
      </c>
      <c r="G33" s="102" t="s">
        <v>55</v>
      </c>
      <c r="H33" s="105" t="s">
        <v>57</v>
      </c>
      <c r="I33" s="106" t="s">
        <v>57</v>
      </c>
      <c r="J33" s="114"/>
      <c r="K33" s="103" t="s">
        <v>9</v>
      </c>
      <c r="L33" s="101" t="s">
        <v>47</v>
      </c>
      <c r="M33" s="104" t="s">
        <v>56</v>
      </c>
      <c r="N33" s="104" t="s">
        <v>55</v>
      </c>
      <c r="O33" s="104" t="s">
        <v>59</v>
      </c>
      <c r="P33" s="104" t="s">
        <v>51</v>
      </c>
      <c r="Q33" s="126" t="s">
        <v>63</v>
      </c>
      <c r="R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</row>
    <row r="34" spans="2:44" x14ac:dyDescent="0.25">
      <c r="B34" s="92">
        <v>1</v>
      </c>
      <c r="C34" s="111">
        <v>0.92510000000000003</v>
      </c>
      <c r="D34" s="98">
        <f t="shared" ref="D34:D43" si="11">(C34*$B$7)*SQRT(4*$B$9*$B$10/32.2)/12</f>
        <v>34.838084318002032</v>
      </c>
      <c r="E34" s="98">
        <f>B34*D34</f>
        <v>34.838084318002032</v>
      </c>
      <c r="F34" s="95">
        <f>$F$19</f>
        <v>13.8</v>
      </c>
      <c r="G34" s="98">
        <f>E34-F34</f>
        <v>21.038084318002031</v>
      </c>
      <c r="H34" s="98">
        <f>G34/B34</f>
        <v>21.038084318002031</v>
      </c>
      <c r="I34" s="107">
        <f>SQRT(12*32.2*H34^2/(4*$B$9*($B$8*56)*$B$7^2))</f>
        <v>0.55863780508898886</v>
      </c>
      <c r="K34" s="92">
        <v>1</v>
      </c>
      <c r="L34" s="146">
        <v>0.56063476976320914</v>
      </c>
      <c r="M34" s="98">
        <f t="shared" ref="M34:M43" si="12">(L34*$B$7)*SQRT(4*$B$9*$B$10/32.2)/12</f>
        <v>21.112789299118294</v>
      </c>
      <c r="N34" s="98">
        <f>K34*M34</f>
        <v>21.112789299118294</v>
      </c>
      <c r="O34" s="95">
        <f>$F$19</f>
        <v>13.8</v>
      </c>
      <c r="P34" s="98">
        <f>N34+O34</f>
        <v>34.912789299118295</v>
      </c>
      <c r="Q34" s="116">
        <f>P34-E34</f>
        <v>7.4704981116262559E-2</v>
      </c>
      <c r="R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</row>
    <row r="35" spans="2:44" x14ac:dyDescent="0.25">
      <c r="B35" s="92">
        <v>2</v>
      </c>
      <c r="C35" s="112">
        <v>0.82750000000000001</v>
      </c>
      <c r="D35" s="94">
        <f t="shared" si="11"/>
        <v>31.162592987943654</v>
      </c>
      <c r="E35" s="94">
        <f t="shared" ref="E35:E43" si="13">B35*D35</f>
        <v>62.325185975887308</v>
      </c>
      <c r="F35" s="95">
        <f t="shared" ref="F35:F43" si="14">$F$19</f>
        <v>13.8</v>
      </c>
      <c r="G35" s="94">
        <f t="shared" ref="G35:G43" si="15">E35-F35</f>
        <v>48.525185975887311</v>
      </c>
      <c r="H35" s="94">
        <f t="shared" ref="H35:H43" si="16">G35/B35</f>
        <v>24.262592987943655</v>
      </c>
      <c r="I35" s="108">
        <f t="shared" ref="I35:I43" si="17">SQRT(12*32.2*H35^2/(4*$B$9*($B$8*56)*$B$7^2))</f>
        <v>0.64426026094753985</v>
      </c>
      <c r="J35" s="95"/>
      <c r="K35" s="92">
        <v>2</v>
      </c>
      <c r="L35" s="147">
        <v>0.64525874328465005</v>
      </c>
      <c r="M35" s="94">
        <f t="shared" si="12"/>
        <v>24.299620046998879</v>
      </c>
      <c r="N35" s="94">
        <f t="shared" ref="N35:N43" si="18">K35*M35</f>
        <v>48.599240093997757</v>
      </c>
      <c r="O35" s="95">
        <f t="shared" ref="O35:O43" si="19">$F$19</f>
        <v>13.8</v>
      </c>
      <c r="P35" s="94">
        <f t="shared" ref="P35:P43" si="20">N35+O35</f>
        <v>62.399240093997761</v>
      </c>
      <c r="Q35" s="116">
        <f t="shared" ref="Q35:Q43" si="21">P35-E35</f>
        <v>7.405411811045326E-2</v>
      </c>
      <c r="R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</row>
    <row r="36" spans="2:44" x14ac:dyDescent="0.25">
      <c r="B36" s="92">
        <v>3</v>
      </c>
      <c r="C36" s="113">
        <v>0.77429999999999999</v>
      </c>
      <c r="D36" s="93">
        <f t="shared" si="11"/>
        <v>29.159148943280695</v>
      </c>
      <c r="E36" s="93">
        <f t="shared" si="13"/>
        <v>87.47744682984208</v>
      </c>
      <c r="F36" s="95">
        <f t="shared" si="14"/>
        <v>13.8</v>
      </c>
      <c r="G36" s="93">
        <f t="shared" si="15"/>
        <v>73.677446829842083</v>
      </c>
      <c r="H36" s="93">
        <f t="shared" si="16"/>
        <v>24.559148943280693</v>
      </c>
      <c r="I36" s="109">
        <f t="shared" si="17"/>
        <v>0.65213490226332693</v>
      </c>
      <c r="J36" s="95"/>
      <c r="K36" s="92">
        <v>3</v>
      </c>
      <c r="L36" s="148">
        <v>0.65280055715473373</v>
      </c>
      <c r="M36" s="93">
        <f>(L36*$B$7)*SQRT(4*$B$9*$B$10/32.2)/12</f>
        <v>24.583635123765337</v>
      </c>
      <c r="N36" s="93">
        <f t="shared" si="18"/>
        <v>73.750905371296014</v>
      </c>
      <c r="O36" s="95">
        <f t="shared" si="19"/>
        <v>13.8</v>
      </c>
      <c r="P36" s="93">
        <f t="shared" si="20"/>
        <v>87.550905371296011</v>
      </c>
      <c r="Q36" s="116">
        <f t="shared" si="21"/>
        <v>7.3458541453931048E-2</v>
      </c>
      <c r="R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</row>
    <row r="37" spans="2:44" x14ac:dyDescent="0.25">
      <c r="B37" s="92">
        <v>4</v>
      </c>
      <c r="C37" s="113">
        <v>0.745</v>
      </c>
      <c r="D37" s="93">
        <f t="shared" si="11"/>
        <v>28.055748369810303</v>
      </c>
      <c r="E37" s="93">
        <f t="shared" si="13"/>
        <v>112.22299347924121</v>
      </c>
      <c r="F37" s="95">
        <f t="shared" si="14"/>
        <v>13.8</v>
      </c>
      <c r="G37" s="93">
        <f t="shared" si="15"/>
        <v>98.422993479241214</v>
      </c>
      <c r="H37" s="93">
        <f t="shared" si="16"/>
        <v>24.605748369810303</v>
      </c>
      <c r="I37" s="109">
        <f t="shared" si="17"/>
        <v>0.6533722868541203</v>
      </c>
      <c r="J37" s="95"/>
      <c r="K37" s="92">
        <v>4</v>
      </c>
      <c r="L37" s="148">
        <v>0.65387152802267534</v>
      </c>
      <c r="M37" s="93">
        <f t="shared" si="12"/>
        <v>24.623966518640998</v>
      </c>
      <c r="N37" s="93">
        <f t="shared" si="18"/>
        <v>98.495866074563992</v>
      </c>
      <c r="O37" s="95">
        <f t="shared" si="19"/>
        <v>13.8</v>
      </c>
      <c r="P37" s="93">
        <f t="shared" si="20"/>
        <v>112.29586607456399</v>
      </c>
      <c r="Q37" s="116">
        <f t="shared" si="21"/>
        <v>7.2872595322778011E-2</v>
      </c>
      <c r="R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</row>
    <row r="38" spans="2:44" x14ac:dyDescent="0.25">
      <c r="B38" s="92">
        <v>5</v>
      </c>
      <c r="C38" s="112">
        <v>0.72850000000000004</v>
      </c>
      <c r="D38" s="94">
        <f t="shared" si="11"/>
        <v>27.43437944618363</v>
      </c>
      <c r="E38" s="94">
        <f t="shared" si="13"/>
        <v>137.17189723091815</v>
      </c>
      <c r="F38" s="95">
        <f t="shared" si="14"/>
        <v>13.8</v>
      </c>
      <c r="G38" s="94">
        <f t="shared" si="15"/>
        <v>123.37189723091815</v>
      </c>
      <c r="H38" s="94">
        <f t="shared" si="16"/>
        <v>24.674379446183629</v>
      </c>
      <c r="I38" s="108">
        <f t="shared" si="17"/>
        <v>0.65519469203543634</v>
      </c>
      <c r="J38" s="95"/>
      <c r="K38" s="92">
        <v>5</v>
      </c>
      <c r="L38" s="147">
        <v>0.65559408497028049</v>
      </c>
      <c r="M38" s="94">
        <f t="shared" si="12"/>
        <v>24.68883581296943</v>
      </c>
      <c r="N38" s="94">
        <f t="shared" si="18"/>
        <v>123.44417906484715</v>
      </c>
      <c r="O38" s="95">
        <f t="shared" si="19"/>
        <v>13.8</v>
      </c>
      <c r="P38" s="94">
        <f t="shared" si="20"/>
        <v>137.24417906484715</v>
      </c>
      <c r="Q38" s="116">
        <f t="shared" si="21"/>
        <v>7.228183392899723E-2</v>
      </c>
      <c r="R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</row>
    <row r="39" spans="2:44" x14ac:dyDescent="0.25">
      <c r="B39" s="92">
        <v>10</v>
      </c>
      <c r="C39" s="93">
        <v>0.7</v>
      </c>
      <c r="D39" s="93">
        <f t="shared" si="11"/>
        <v>26.361105850828469</v>
      </c>
      <c r="E39" s="93">
        <f t="shared" si="13"/>
        <v>263.61105850828471</v>
      </c>
      <c r="F39" s="95">
        <f t="shared" si="14"/>
        <v>13.8</v>
      </c>
      <c r="G39" s="93">
        <f t="shared" si="15"/>
        <v>249.8110585082847</v>
      </c>
      <c r="H39" s="93">
        <f t="shared" si="16"/>
        <v>24.98110585082847</v>
      </c>
      <c r="I39" s="109">
        <f t="shared" si="17"/>
        <v>0.66333939584323554</v>
      </c>
      <c r="J39" s="95"/>
      <c r="K39" s="92">
        <v>10</v>
      </c>
      <c r="L39" s="148">
        <v>0.66353909231065744</v>
      </c>
      <c r="M39" s="93">
        <f t="shared" si="12"/>
        <v>24.988034640805552</v>
      </c>
      <c r="N39" s="93">
        <f t="shared" si="18"/>
        <v>249.88034640805552</v>
      </c>
      <c r="O39" s="95">
        <f t="shared" si="19"/>
        <v>13.8</v>
      </c>
      <c r="P39" s="93">
        <f t="shared" si="20"/>
        <v>263.68034640805553</v>
      </c>
      <c r="Q39" s="116">
        <f t="shared" si="21"/>
        <v>6.928789977081351E-2</v>
      </c>
      <c r="R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</row>
    <row r="40" spans="2:44" x14ac:dyDescent="0.25">
      <c r="B40" s="92">
        <v>20</v>
      </c>
      <c r="C40" s="93">
        <v>0.7</v>
      </c>
      <c r="D40" s="93">
        <f t="shared" si="11"/>
        <v>26.361105850828469</v>
      </c>
      <c r="E40" s="93">
        <f t="shared" si="13"/>
        <v>527.22211701656943</v>
      </c>
      <c r="F40" s="95">
        <f t="shared" si="14"/>
        <v>13.8</v>
      </c>
      <c r="G40" s="93">
        <f t="shared" si="15"/>
        <v>513.42211701656947</v>
      </c>
      <c r="H40" s="93">
        <f t="shared" si="16"/>
        <v>25.671105850828475</v>
      </c>
      <c r="I40" s="109">
        <f t="shared" si="17"/>
        <v>0.68166141032349747</v>
      </c>
      <c r="J40" s="95"/>
      <c r="K40" s="92">
        <v>20</v>
      </c>
      <c r="L40" s="148">
        <v>0.68176125855720826</v>
      </c>
      <c r="M40" s="93">
        <f t="shared" si="12"/>
        <v>25.674258145458008</v>
      </c>
      <c r="N40" s="93">
        <f t="shared" si="18"/>
        <v>513.48516290916018</v>
      </c>
      <c r="O40" s="95">
        <f t="shared" si="19"/>
        <v>13.8</v>
      </c>
      <c r="P40" s="93">
        <f t="shared" si="20"/>
        <v>527.28516290916014</v>
      </c>
      <c r="Q40" s="116">
        <f t="shared" si="21"/>
        <v>6.3045892590707808E-2</v>
      </c>
      <c r="R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</row>
    <row r="41" spans="2:44" x14ac:dyDescent="0.25">
      <c r="B41" s="92">
        <v>30</v>
      </c>
      <c r="C41" s="93">
        <v>0.7</v>
      </c>
      <c r="D41" s="93">
        <f t="shared" si="11"/>
        <v>26.361105850828469</v>
      </c>
      <c r="E41" s="93">
        <f t="shared" si="13"/>
        <v>790.83317552485403</v>
      </c>
      <c r="F41" s="95">
        <f t="shared" si="14"/>
        <v>13.8</v>
      </c>
      <c r="G41" s="93">
        <f t="shared" si="15"/>
        <v>777.03317552485407</v>
      </c>
      <c r="H41" s="93">
        <f t="shared" si="16"/>
        <v>25.901105850828468</v>
      </c>
      <c r="I41" s="109">
        <f t="shared" si="17"/>
        <v>0.68776874848358449</v>
      </c>
      <c r="J41" s="95"/>
      <c r="K41" s="92">
        <v>30</v>
      </c>
      <c r="L41" s="148">
        <v>0.68783531397272524</v>
      </c>
      <c r="M41" s="93">
        <f t="shared" si="12"/>
        <v>25.902999313675494</v>
      </c>
      <c r="N41" s="93">
        <f t="shared" si="18"/>
        <v>777.08997941026485</v>
      </c>
      <c r="O41" s="95">
        <f t="shared" si="19"/>
        <v>13.8</v>
      </c>
      <c r="P41" s="93">
        <f t="shared" si="20"/>
        <v>790.8899794102648</v>
      </c>
      <c r="Q41" s="116">
        <f t="shared" si="21"/>
        <v>5.6803885410772637E-2</v>
      </c>
      <c r="R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</row>
    <row r="42" spans="2:44" x14ac:dyDescent="0.25">
      <c r="B42" s="92">
        <v>40</v>
      </c>
      <c r="C42" s="94">
        <v>0.7</v>
      </c>
      <c r="D42" s="94">
        <f t="shared" si="11"/>
        <v>26.361105850828469</v>
      </c>
      <c r="E42" s="94">
        <f t="shared" si="13"/>
        <v>1054.4442340331389</v>
      </c>
      <c r="F42" s="95">
        <f t="shared" si="14"/>
        <v>13.8</v>
      </c>
      <c r="G42" s="94">
        <f t="shared" si="15"/>
        <v>1040.6442340331389</v>
      </c>
      <c r="H42" s="94">
        <f t="shared" si="16"/>
        <v>26.016105850828474</v>
      </c>
      <c r="I42" s="108">
        <f t="shared" si="17"/>
        <v>0.69082241756362828</v>
      </c>
      <c r="J42" s="95"/>
      <c r="K42" s="92">
        <v>40</v>
      </c>
      <c r="L42" s="147">
        <v>0.69087234168048361</v>
      </c>
      <c r="M42" s="94">
        <f t="shared" si="12"/>
        <v>26.017369897784235</v>
      </c>
      <c r="N42" s="94">
        <f t="shared" si="18"/>
        <v>1040.6947959113695</v>
      </c>
      <c r="O42" s="95">
        <f t="shared" si="19"/>
        <v>13.8</v>
      </c>
      <c r="P42" s="94">
        <f t="shared" si="20"/>
        <v>1054.4947959113695</v>
      </c>
      <c r="Q42" s="116">
        <f t="shared" si="21"/>
        <v>5.0561878230610091E-2</v>
      </c>
      <c r="R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</row>
    <row r="43" spans="2:44" x14ac:dyDescent="0.25">
      <c r="B43" s="92">
        <v>50</v>
      </c>
      <c r="C43" s="93">
        <v>0.7</v>
      </c>
      <c r="D43" s="93">
        <f t="shared" si="11"/>
        <v>26.361105850828469</v>
      </c>
      <c r="E43" s="93">
        <f t="shared" si="13"/>
        <v>1318.0552925414236</v>
      </c>
      <c r="F43" s="95">
        <f t="shared" si="14"/>
        <v>13.8</v>
      </c>
      <c r="G43" s="93">
        <f t="shared" si="15"/>
        <v>1304.2552925414236</v>
      </c>
      <c r="H43" s="93">
        <f t="shared" si="16"/>
        <v>26.085105850828473</v>
      </c>
      <c r="I43" s="109">
        <f t="shared" si="17"/>
        <v>0.69265461901165437</v>
      </c>
      <c r="J43" s="95"/>
      <c r="K43" s="92">
        <v>50</v>
      </c>
      <c r="L43" s="148">
        <v>0.69269455830513871</v>
      </c>
      <c r="M43" s="93">
        <f t="shared" si="12"/>
        <v>26.085992248249482</v>
      </c>
      <c r="N43" s="93">
        <f t="shared" si="18"/>
        <v>1304.2996124124741</v>
      </c>
      <c r="O43" s="95">
        <f t="shared" si="19"/>
        <v>13.8</v>
      </c>
      <c r="P43" s="93">
        <f t="shared" si="20"/>
        <v>1318.099612412474</v>
      </c>
      <c r="Q43" s="116">
        <f t="shared" si="21"/>
        <v>4.4319871050447546E-2</v>
      </c>
      <c r="R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</row>
    <row r="44" spans="2:44" x14ac:dyDescent="0.25">
      <c r="J44" s="110"/>
      <c r="R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</row>
    <row r="45" spans="2:44" x14ac:dyDescent="0.25">
      <c r="R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</row>
    <row r="46" spans="2:44" x14ac:dyDescent="0.25">
      <c r="B46" s="101"/>
      <c r="C46" s="117" t="s">
        <v>65</v>
      </c>
      <c r="D46" s="101"/>
      <c r="E46" s="101" t="s">
        <v>50</v>
      </c>
      <c r="F46" s="102"/>
      <c r="G46" s="102" t="s">
        <v>51</v>
      </c>
      <c r="H46" s="102"/>
      <c r="I46" s="102"/>
      <c r="J46" s="150" t="s">
        <v>71</v>
      </c>
      <c r="K46" s="101"/>
      <c r="L46" s="118"/>
      <c r="M46" s="101"/>
      <c r="N46" s="101" t="s">
        <v>51</v>
      </c>
      <c r="O46" s="101"/>
      <c r="P46" s="101" t="s">
        <v>60</v>
      </c>
      <c r="Q46" s="115" t="s">
        <v>62</v>
      </c>
      <c r="R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</row>
    <row r="47" spans="2:44" x14ac:dyDescent="0.25">
      <c r="B47" s="103" t="s">
        <v>9</v>
      </c>
      <c r="C47" s="101" t="s">
        <v>47</v>
      </c>
      <c r="D47" s="104" t="s">
        <v>56</v>
      </c>
      <c r="E47" s="101" t="s">
        <v>51</v>
      </c>
      <c r="F47" s="102" t="s">
        <v>54</v>
      </c>
      <c r="G47" s="102" t="s">
        <v>55</v>
      </c>
      <c r="H47" s="105" t="s">
        <v>57</v>
      </c>
      <c r="I47" s="106" t="s">
        <v>57</v>
      </c>
      <c r="J47" s="114"/>
      <c r="K47" s="103" t="s">
        <v>9</v>
      </c>
      <c r="L47" s="101" t="s">
        <v>47</v>
      </c>
      <c r="M47" s="104" t="s">
        <v>56</v>
      </c>
      <c r="N47" s="104" t="s">
        <v>55</v>
      </c>
      <c r="O47" s="104" t="s">
        <v>59</v>
      </c>
      <c r="P47" s="104" t="s">
        <v>51</v>
      </c>
      <c r="Q47" s="126" t="s">
        <v>63</v>
      </c>
      <c r="R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</row>
    <row r="48" spans="2:44" x14ac:dyDescent="0.25">
      <c r="B48" s="92">
        <v>1</v>
      </c>
      <c r="C48" s="111">
        <v>0.85</v>
      </c>
      <c r="D48" s="98">
        <f t="shared" ref="D48:D57" si="22">(C48*$B$7)*SQRT(4*$B$9*$B$10/32.2)/12</f>
        <v>32.009914247434573</v>
      </c>
      <c r="E48" s="98">
        <f>B48*D48</f>
        <v>32.009914247434573</v>
      </c>
      <c r="F48" s="95">
        <f>$F$19</f>
        <v>13.8</v>
      </c>
      <c r="G48" s="98">
        <f>E48-F48</f>
        <v>18.209914247434572</v>
      </c>
      <c r="H48" s="98">
        <f>G48/B48</f>
        <v>18.209914247434572</v>
      </c>
      <c r="I48" s="107">
        <f>SQRT(12*32.2*H48^2/(4*$B$9*($B$8*56)*$B$7^2))</f>
        <v>0.48353958337075686</v>
      </c>
      <c r="K48" s="92">
        <v>1</v>
      </c>
      <c r="L48" s="146">
        <v>0.48553654804497703</v>
      </c>
      <c r="M48" s="98">
        <f t="shared" ref="M48:M57" si="23">(L48*$B$7)*SQRT(4*$B$9*$B$10/32.2)/12</f>
        <v>18.284686196370718</v>
      </c>
      <c r="N48" s="98">
        <f>K48*M48</f>
        <v>18.284686196370718</v>
      </c>
      <c r="O48" s="95">
        <f>$F$19</f>
        <v>13.8</v>
      </c>
      <c r="P48" s="98">
        <f>N48+O48</f>
        <v>32.084686196370718</v>
      </c>
      <c r="Q48" s="116">
        <f>P48-E48</f>
        <v>7.4771948936145805E-2</v>
      </c>
      <c r="R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</row>
    <row r="49" spans="2:44" x14ac:dyDescent="0.25">
      <c r="B49" s="92">
        <v>2</v>
      </c>
      <c r="C49" s="112">
        <v>0.78500000000000003</v>
      </c>
      <c r="D49" s="94">
        <f t="shared" si="22"/>
        <v>29.562097275571929</v>
      </c>
      <c r="E49" s="94">
        <f t="shared" ref="E49:E57" si="24">B49*D49</f>
        <v>59.124194551143859</v>
      </c>
      <c r="F49" s="95">
        <f t="shared" ref="F49:F57" si="25">$F$19</f>
        <v>13.8</v>
      </c>
      <c r="G49" s="94">
        <f t="shared" ref="G49:G57" si="26">E49-F49</f>
        <v>45.324194551143862</v>
      </c>
      <c r="H49" s="94">
        <f t="shared" ref="H49:H57" si="27">G49/B49</f>
        <v>22.662097275571931</v>
      </c>
      <c r="I49" s="108">
        <f t="shared" ref="I49:I57" si="28">SQRT(12*32.2*H49^2/(4*$B$9*($B$8*56)*$B$7^2))</f>
        <v>0.60176126729874035</v>
      </c>
      <c r="J49" s="95"/>
      <c r="K49" s="92">
        <v>2</v>
      </c>
      <c r="L49" s="147">
        <v>0.60275974963585055</v>
      </c>
      <c r="M49" s="94">
        <f t="shared" si="23"/>
        <v>22.699162232527893</v>
      </c>
      <c r="N49" s="94">
        <f t="shared" ref="N49:N57" si="29">K49*M49</f>
        <v>45.398324465055786</v>
      </c>
      <c r="O49" s="95">
        <f t="shared" ref="O49:O57" si="30">$F$19</f>
        <v>13.8</v>
      </c>
      <c r="P49" s="94">
        <f t="shared" ref="P49:P57" si="31">N49+O49</f>
        <v>59.198324465055791</v>
      </c>
      <c r="Q49" s="116">
        <f t="shared" ref="Q49:Q57" si="32">P49-E49</f>
        <v>7.4129913911932022E-2</v>
      </c>
      <c r="R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</row>
    <row r="50" spans="2:44" x14ac:dyDescent="0.25">
      <c r="B50" s="92">
        <v>3</v>
      </c>
      <c r="C50" s="113">
        <v>0.74950000000000006</v>
      </c>
      <c r="D50" s="93">
        <f t="shared" si="22"/>
        <v>28.225212621708483</v>
      </c>
      <c r="E50" s="93">
        <f t="shared" si="24"/>
        <v>84.675637865125452</v>
      </c>
      <c r="F50" s="95">
        <f t="shared" si="25"/>
        <v>13.8</v>
      </c>
      <c r="G50" s="93">
        <f t="shared" si="26"/>
        <v>70.875637865125455</v>
      </c>
      <c r="H50" s="93">
        <f t="shared" si="27"/>
        <v>23.625212621708485</v>
      </c>
      <c r="I50" s="109">
        <f t="shared" si="28"/>
        <v>0.62733548949885098</v>
      </c>
      <c r="J50" s="95"/>
      <c r="K50" s="92">
        <v>3</v>
      </c>
      <c r="L50" s="148">
        <v>0.62800114439025778</v>
      </c>
      <c r="M50" s="93">
        <f t="shared" si="23"/>
        <v>23.649720916732857</v>
      </c>
      <c r="N50" s="93">
        <f t="shared" si="29"/>
        <v>70.949162750198568</v>
      </c>
      <c r="O50" s="95">
        <f t="shared" si="30"/>
        <v>13.8</v>
      </c>
      <c r="P50" s="93">
        <f t="shared" si="31"/>
        <v>84.749162750198565</v>
      </c>
      <c r="Q50" s="116">
        <f t="shared" si="32"/>
        <v>7.35248850731125E-2</v>
      </c>
      <c r="R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</row>
    <row r="51" spans="2:44" x14ac:dyDescent="0.25">
      <c r="B51" s="92">
        <v>4</v>
      </c>
      <c r="C51" s="113">
        <v>0.73</v>
      </c>
      <c r="D51" s="93">
        <f t="shared" si="22"/>
        <v>27.490867530149689</v>
      </c>
      <c r="E51" s="93">
        <f t="shared" si="24"/>
        <v>109.96347012059876</v>
      </c>
      <c r="F51" s="95">
        <f t="shared" si="25"/>
        <v>13.8</v>
      </c>
      <c r="G51" s="93">
        <f t="shared" si="26"/>
        <v>96.16347012059876</v>
      </c>
      <c r="H51" s="93">
        <f t="shared" si="27"/>
        <v>24.04086753014969</v>
      </c>
      <c r="I51" s="109">
        <f t="shared" si="28"/>
        <v>0.63837264203689681</v>
      </c>
      <c r="J51" s="95"/>
      <c r="K51" s="92">
        <v>4</v>
      </c>
      <c r="L51" s="148">
        <v>0.63887188320545207</v>
      </c>
      <c r="M51" s="93">
        <f t="shared" si="23"/>
        <v>24.059099054710064</v>
      </c>
      <c r="N51" s="93">
        <f t="shared" si="29"/>
        <v>96.236396218840255</v>
      </c>
      <c r="O51" s="95">
        <f t="shared" si="30"/>
        <v>13.8</v>
      </c>
      <c r="P51" s="93">
        <f t="shared" si="31"/>
        <v>110.03639621884025</v>
      </c>
      <c r="Q51" s="116">
        <f t="shared" si="32"/>
        <v>7.2926098241495652E-2</v>
      </c>
      <c r="R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</row>
    <row r="52" spans="2:44" x14ac:dyDescent="0.25">
      <c r="B52" s="92">
        <v>5</v>
      </c>
      <c r="C52" s="112">
        <v>0.71899999999999997</v>
      </c>
      <c r="D52" s="94">
        <f t="shared" si="22"/>
        <v>27.076621581065243</v>
      </c>
      <c r="E52" s="94">
        <f t="shared" si="24"/>
        <v>135.38310790532623</v>
      </c>
      <c r="F52" s="95">
        <f t="shared" si="25"/>
        <v>13.8</v>
      </c>
      <c r="G52" s="94">
        <f t="shared" si="26"/>
        <v>121.58310790532623</v>
      </c>
      <c r="H52" s="94">
        <f t="shared" si="27"/>
        <v>24.316621581065245</v>
      </c>
      <c r="I52" s="108">
        <f t="shared" si="28"/>
        <v>0.64569491698452819</v>
      </c>
      <c r="J52" s="95"/>
      <c r="K52" s="92">
        <v>5</v>
      </c>
      <c r="L52" s="147">
        <v>0.64609430991937211</v>
      </c>
      <c r="M52" s="94">
        <f t="shared" si="23"/>
        <v>24.331086419146491</v>
      </c>
      <c r="N52" s="94">
        <f t="shared" si="29"/>
        <v>121.65543209573245</v>
      </c>
      <c r="O52" s="95">
        <f t="shared" si="30"/>
        <v>13.8</v>
      </c>
      <c r="P52" s="94">
        <f t="shared" si="31"/>
        <v>135.45543209573245</v>
      </c>
      <c r="Q52" s="116">
        <f t="shared" si="32"/>
        <v>7.2324190406220623E-2</v>
      </c>
      <c r="R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</row>
    <row r="53" spans="2:44" x14ac:dyDescent="0.25">
      <c r="B53" s="92">
        <v>10</v>
      </c>
      <c r="C53" s="93">
        <v>0.7</v>
      </c>
      <c r="D53" s="93">
        <f t="shared" si="22"/>
        <v>26.361105850828469</v>
      </c>
      <c r="E53" s="93">
        <f t="shared" si="24"/>
        <v>263.61105850828471</v>
      </c>
      <c r="F53" s="95">
        <f t="shared" si="25"/>
        <v>13.8</v>
      </c>
      <c r="G53" s="93">
        <f t="shared" si="26"/>
        <v>249.8110585082847</v>
      </c>
      <c r="H53" s="93">
        <f t="shared" si="27"/>
        <v>24.98110585082847</v>
      </c>
      <c r="I53" s="109">
        <f t="shared" si="28"/>
        <v>0.66333939584323554</v>
      </c>
      <c r="J53" s="95"/>
      <c r="K53" s="92">
        <v>10</v>
      </c>
      <c r="L53" s="148">
        <v>0.66353909231065744</v>
      </c>
      <c r="M53" s="93">
        <f t="shared" si="23"/>
        <v>24.988034640805552</v>
      </c>
      <c r="N53" s="93">
        <f t="shared" si="29"/>
        <v>249.88034640805552</v>
      </c>
      <c r="O53" s="95">
        <f t="shared" si="30"/>
        <v>13.8</v>
      </c>
      <c r="P53" s="93">
        <f t="shared" si="31"/>
        <v>263.68034640805553</v>
      </c>
      <c r="Q53" s="116">
        <f t="shared" si="32"/>
        <v>6.928789977081351E-2</v>
      </c>
      <c r="R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</row>
    <row r="54" spans="2:44" x14ac:dyDescent="0.25">
      <c r="B54" s="92">
        <v>20</v>
      </c>
      <c r="C54" s="93">
        <v>0.7</v>
      </c>
      <c r="D54" s="93">
        <f t="shared" si="22"/>
        <v>26.361105850828469</v>
      </c>
      <c r="E54" s="93">
        <f t="shared" si="24"/>
        <v>527.22211701656943</v>
      </c>
      <c r="F54" s="95">
        <f t="shared" si="25"/>
        <v>13.8</v>
      </c>
      <c r="G54" s="93">
        <f t="shared" si="26"/>
        <v>513.42211701656947</v>
      </c>
      <c r="H54" s="93">
        <f t="shared" si="27"/>
        <v>25.671105850828475</v>
      </c>
      <c r="I54" s="109">
        <f t="shared" si="28"/>
        <v>0.68166141032349747</v>
      </c>
      <c r="J54" s="95"/>
      <c r="K54" s="92">
        <v>20</v>
      </c>
      <c r="L54" s="148">
        <v>0.68176125855720826</v>
      </c>
      <c r="M54" s="93">
        <f t="shared" si="23"/>
        <v>25.674258145458008</v>
      </c>
      <c r="N54" s="93">
        <f t="shared" si="29"/>
        <v>513.48516290916018</v>
      </c>
      <c r="O54" s="95">
        <f t="shared" si="30"/>
        <v>13.8</v>
      </c>
      <c r="P54" s="93">
        <f t="shared" si="31"/>
        <v>527.28516290916014</v>
      </c>
      <c r="Q54" s="116">
        <f t="shared" si="32"/>
        <v>6.3045892590707808E-2</v>
      </c>
      <c r="R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</row>
    <row r="55" spans="2:44" x14ac:dyDescent="0.25">
      <c r="B55" s="92">
        <v>30</v>
      </c>
      <c r="C55" s="93">
        <v>0.7</v>
      </c>
      <c r="D55" s="93">
        <f t="shared" si="22"/>
        <v>26.361105850828469</v>
      </c>
      <c r="E55" s="93">
        <f t="shared" si="24"/>
        <v>790.83317552485403</v>
      </c>
      <c r="F55" s="95">
        <f t="shared" si="25"/>
        <v>13.8</v>
      </c>
      <c r="G55" s="93">
        <f t="shared" si="26"/>
        <v>777.03317552485407</v>
      </c>
      <c r="H55" s="93">
        <f t="shared" si="27"/>
        <v>25.901105850828468</v>
      </c>
      <c r="I55" s="109">
        <f t="shared" si="28"/>
        <v>0.68776874848358449</v>
      </c>
      <c r="J55" s="95"/>
      <c r="K55" s="92">
        <v>30</v>
      </c>
      <c r="L55" s="148">
        <v>0.68783531397272524</v>
      </c>
      <c r="M55" s="93">
        <f t="shared" si="23"/>
        <v>25.902999313675494</v>
      </c>
      <c r="N55" s="93">
        <f t="shared" si="29"/>
        <v>777.08997941026485</v>
      </c>
      <c r="O55" s="95">
        <f t="shared" si="30"/>
        <v>13.8</v>
      </c>
      <c r="P55" s="93">
        <f t="shared" si="31"/>
        <v>790.8899794102648</v>
      </c>
      <c r="Q55" s="116">
        <f t="shared" si="32"/>
        <v>5.6803885410772637E-2</v>
      </c>
      <c r="R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</row>
    <row r="56" spans="2:44" x14ac:dyDescent="0.25">
      <c r="B56" s="92">
        <v>40</v>
      </c>
      <c r="C56" s="94">
        <v>0.7</v>
      </c>
      <c r="D56" s="94">
        <f t="shared" si="22"/>
        <v>26.361105850828469</v>
      </c>
      <c r="E56" s="94">
        <f t="shared" si="24"/>
        <v>1054.4442340331389</v>
      </c>
      <c r="F56" s="95">
        <f t="shared" si="25"/>
        <v>13.8</v>
      </c>
      <c r="G56" s="94">
        <f t="shared" si="26"/>
        <v>1040.6442340331389</v>
      </c>
      <c r="H56" s="94">
        <f t="shared" si="27"/>
        <v>26.016105850828474</v>
      </c>
      <c r="I56" s="108">
        <f t="shared" si="28"/>
        <v>0.69082241756362828</v>
      </c>
      <c r="J56" s="95"/>
      <c r="K56" s="92">
        <v>40</v>
      </c>
      <c r="L56" s="147">
        <v>0.69087234168048361</v>
      </c>
      <c r="M56" s="94">
        <f t="shared" si="23"/>
        <v>26.017369897784235</v>
      </c>
      <c r="N56" s="94">
        <f t="shared" si="29"/>
        <v>1040.6947959113695</v>
      </c>
      <c r="O56" s="95">
        <f t="shared" si="30"/>
        <v>13.8</v>
      </c>
      <c r="P56" s="94">
        <f t="shared" si="31"/>
        <v>1054.4947959113695</v>
      </c>
      <c r="Q56" s="116">
        <f t="shared" si="32"/>
        <v>5.0561878230610091E-2</v>
      </c>
      <c r="R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</row>
    <row r="57" spans="2:44" x14ac:dyDescent="0.25">
      <c r="B57" s="92">
        <v>50</v>
      </c>
      <c r="C57" s="93">
        <v>0.7</v>
      </c>
      <c r="D57" s="93">
        <f t="shared" si="22"/>
        <v>26.361105850828469</v>
      </c>
      <c r="E57" s="93">
        <f t="shared" si="24"/>
        <v>1318.0552925414236</v>
      </c>
      <c r="F57" s="95">
        <f t="shared" si="25"/>
        <v>13.8</v>
      </c>
      <c r="G57" s="93">
        <f t="shared" si="26"/>
        <v>1304.2552925414236</v>
      </c>
      <c r="H57" s="93">
        <f t="shared" si="27"/>
        <v>26.085105850828473</v>
      </c>
      <c r="I57" s="109">
        <f t="shared" si="28"/>
        <v>0.69265461901165437</v>
      </c>
      <c r="J57" s="95"/>
      <c r="K57" s="92">
        <v>50</v>
      </c>
      <c r="L57" s="148">
        <v>0.69269455830513871</v>
      </c>
      <c r="M57" s="93">
        <f t="shared" si="23"/>
        <v>26.085992248249482</v>
      </c>
      <c r="N57" s="93">
        <f t="shared" si="29"/>
        <v>1304.2996124124741</v>
      </c>
      <c r="O57" s="95">
        <f t="shared" si="30"/>
        <v>13.8</v>
      </c>
      <c r="P57" s="93">
        <f t="shared" si="31"/>
        <v>1318.099612412474</v>
      </c>
      <c r="Q57" s="116">
        <f t="shared" si="32"/>
        <v>4.4319871050447546E-2</v>
      </c>
      <c r="R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</row>
    <row r="58" spans="2:44" x14ac:dyDescent="0.25">
      <c r="R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</row>
    <row r="59" spans="2:44" x14ac:dyDescent="0.25">
      <c r="R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</row>
    <row r="60" spans="2:44" x14ac:dyDescent="0.25">
      <c r="B60" s="101"/>
      <c r="C60" s="117" t="s">
        <v>66</v>
      </c>
      <c r="D60" s="101"/>
      <c r="E60" s="101" t="s">
        <v>50</v>
      </c>
      <c r="F60" s="102"/>
      <c r="G60" s="102" t="s">
        <v>51</v>
      </c>
      <c r="H60" s="102"/>
      <c r="I60" s="102"/>
      <c r="J60" s="150" t="s">
        <v>71</v>
      </c>
      <c r="K60" s="101"/>
      <c r="L60" s="118"/>
      <c r="M60" s="101"/>
      <c r="N60" s="101" t="s">
        <v>51</v>
      </c>
      <c r="O60" s="101"/>
      <c r="P60" s="101" t="s">
        <v>60</v>
      </c>
      <c r="Q60" s="115" t="s">
        <v>62</v>
      </c>
      <c r="R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</row>
    <row r="61" spans="2:44" x14ac:dyDescent="0.25">
      <c r="B61" s="103" t="s">
        <v>9</v>
      </c>
      <c r="C61" s="101" t="s">
        <v>47</v>
      </c>
      <c r="D61" s="104" t="s">
        <v>56</v>
      </c>
      <c r="E61" s="101" t="s">
        <v>51</v>
      </c>
      <c r="F61" s="102" t="s">
        <v>54</v>
      </c>
      <c r="G61" s="102" t="s">
        <v>55</v>
      </c>
      <c r="H61" s="105" t="s">
        <v>57</v>
      </c>
      <c r="I61" s="106" t="s">
        <v>57</v>
      </c>
      <c r="J61" s="114"/>
      <c r="K61" s="103" t="s">
        <v>9</v>
      </c>
      <c r="L61" s="101" t="s">
        <v>47</v>
      </c>
      <c r="M61" s="104" t="s">
        <v>56</v>
      </c>
      <c r="N61" s="104" t="s">
        <v>55</v>
      </c>
      <c r="O61" s="104" t="s">
        <v>59</v>
      </c>
      <c r="P61" s="104" t="s">
        <v>51</v>
      </c>
      <c r="Q61" s="115" t="s">
        <v>63</v>
      </c>
      <c r="R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</row>
    <row r="62" spans="2:44" x14ac:dyDescent="0.25">
      <c r="B62" s="92">
        <v>1</v>
      </c>
      <c r="C62" s="111">
        <v>0.77510000000000001</v>
      </c>
      <c r="D62" s="98">
        <f t="shared" ref="D62:D71" si="33">(C62*$B$7)*SQRT(4*$B$9*$B$10/32.2)/12</f>
        <v>29.189275921395929</v>
      </c>
      <c r="E62" s="98">
        <f>B62*D62</f>
        <v>29.189275921395929</v>
      </c>
      <c r="F62" s="95">
        <f>$F$19</f>
        <v>13.8</v>
      </c>
      <c r="G62" s="98">
        <f>E62-F62</f>
        <v>15.389275921395928</v>
      </c>
      <c r="H62" s="98">
        <f>G62/B62</f>
        <v>15.389275921395928</v>
      </c>
      <c r="I62" s="107">
        <f>SQRT(12*32.2*H62^2/(4*$B$9*($B$8*56)*$B$7^2))</f>
        <v>0.40864135691675474</v>
      </c>
      <c r="K62" s="92">
        <v>1</v>
      </c>
      <c r="L62" s="146">
        <v>0.41063832159097485</v>
      </c>
      <c r="M62" s="98">
        <f t="shared" ref="M62:M71" si="34">(L62*$B$7)*SQRT(4*$B$9*$B$10/32.2)/12</f>
        <v>15.464114659808901</v>
      </c>
      <c r="N62" s="98">
        <f>K62*M62</f>
        <v>15.464114659808901</v>
      </c>
      <c r="O62" s="95">
        <f>$F$19</f>
        <v>13.8</v>
      </c>
      <c r="P62" s="98">
        <f>N62+O62</f>
        <v>29.264114659808904</v>
      </c>
      <c r="Q62" s="116">
        <f>P62-E62</f>
        <v>7.4838738412974948E-2</v>
      </c>
      <c r="R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</row>
    <row r="63" spans="2:44" x14ac:dyDescent="0.25">
      <c r="B63" s="92">
        <v>2</v>
      </c>
      <c r="C63" s="112">
        <v>0.74250000000000005</v>
      </c>
      <c r="D63" s="94">
        <f t="shared" si="33"/>
        <v>27.961601563200205</v>
      </c>
      <c r="E63" s="94">
        <f t="shared" ref="E63:E71" si="35">B63*D63</f>
        <v>55.923203126400409</v>
      </c>
      <c r="F63" s="95">
        <f t="shared" ref="F63:F71" si="36">$F$19</f>
        <v>13.8</v>
      </c>
      <c r="G63" s="94">
        <f t="shared" ref="G63:G71" si="37">E63-F63</f>
        <v>42.123203126400412</v>
      </c>
      <c r="H63" s="94">
        <f t="shared" ref="H63:H71" si="38">G63/B63</f>
        <v>21.061601563200206</v>
      </c>
      <c r="I63" s="108">
        <f t="shared" ref="I63:I71" si="39">SQRT(12*32.2*H63^2/(4*$B$9*($B$8*56)*$B$7^2))</f>
        <v>0.55926227364994074</v>
      </c>
      <c r="J63" s="95"/>
      <c r="K63" s="92">
        <v>2</v>
      </c>
      <c r="L63" s="147">
        <v>0.56026075598705094</v>
      </c>
      <c r="M63" s="94">
        <f t="shared" si="34"/>
        <v>21.098704418056901</v>
      </c>
      <c r="N63" s="94">
        <f t="shared" ref="N63:N71" si="40">K63*M63</f>
        <v>42.197408836113802</v>
      </c>
      <c r="O63" s="95">
        <f t="shared" ref="O63:O71" si="41">$F$19</f>
        <v>13.8</v>
      </c>
      <c r="P63" s="94">
        <f t="shared" ref="P63:P71" si="42">N63+O63</f>
        <v>55.997408836113806</v>
      </c>
      <c r="Q63" s="116">
        <f t="shared" ref="Q63:Q71" si="43">P63-E63</f>
        <v>7.4205709713396573E-2</v>
      </c>
      <c r="R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</row>
    <row r="64" spans="2:44" x14ac:dyDescent="0.25">
      <c r="B64" s="92">
        <v>3</v>
      </c>
      <c r="C64" s="113">
        <v>0.7248</v>
      </c>
      <c r="D64" s="93">
        <f t="shared" si="33"/>
        <v>27.295042172400681</v>
      </c>
      <c r="E64" s="93">
        <f t="shared" si="35"/>
        <v>81.885126517202039</v>
      </c>
      <c r="F64" s="95">
        <f t="shared" si="36"/>
        <v>13.8</v>
      </c>
      <c r="G64" s="93">
        <f t="shared" si="37"/>
        <v>68.085126517202042</v>
      </c>
      <c r="H64" s="93">
        <f t="shared" si="38"/>
        <v>22.695042172400679</v>
      </c>
      <c r="I64" s="109">
        <f t="shared" si="39"/>
        <v>0.60263607436648969</v>
      </c>
      <c r="J64" s="95"/>
      <c r="K64" s="92">
        <v>3</v>
      </c>
      <c r="L64" s="148">
        <v>0.60330172925789649</v>
      </c>
      <c r="M64" s="93">
        <f t="shared" si="34"/>
        <v>22.719572492793244</v>
      </c>
      <c r="N64" s="93">
        <f t="shared" si="40"/>
        <v>68.158717478379728</v>
      </c>
      <c r="O64" s="95">
        <f t="shared" si="41"/>
        <v>13.8</v>
      </c>
      <c r="P64" s="93">
        <f t="shared" si="42"/>
        <v>81.958717478379725</v>
      </c>
      <c r="Q64" s="116">
        <f t="shared" si="43"/>
        <v>7.3590961177686154E-2</v>
      </c>
      <c r="R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</row>
    <row r="65" spans="2:44" x14ac:dyDescent="0.25">
      <c r="B65" s="92">
        <v>4</v>
      </c>
      <c r="C65" s="113">
        <v>0.71499999999999997</v>
      </c>
      <c r="D65" s="93">
        <f t="shared" si="33"/>
        <v>26.925986690489079</v>
      </c>
      <c r="E65" s="93">
        <f t="shared" si="35"/>
        <v>107.70394676195632</v>
      </c>
      <c r="F65" s="95">
        <f t="shared" si="36"/>
        <v>13.8</v>
      </c>
      <c r="G65" s="93">
        <f t="shared" si="37"/>
        <v>93.90394676195632</v>
      </c>
      <c r="H65" s="93">
        <f t="shared" si="38"/>
        <v>23.47598669048908</v>
      </c>
      <c r="I65" s="109">
        <f t="shared" si="39"/>
        <v>0.62337299721967343</v>
      </c>
      <c r="J65" s="95"/>
      <c r="K65" s="92">
        <v>4</v>
      </c>
      <c r="L65" s="148">
        <v>0.62387223838822847</v>
      </c>
      <c r="M65" s="93">
        <f t="shared" si="34"/>
        <v>23.494231590779123</v>
      </c>
      <c r="N65" s="93">
        <f t="shared" si="40"/>
        <v>93.97692636311649</v>
      </c>
      <c r="O65" s="95">
        <f t="shared" si="41"/>
        <v>13.8</v>
      </c>
      <c r="P65" s="93">
        <f t="shared" si="42"/>
        <v>107.77692636311649</v>
      </c>
      <c r="Q65" s="116">
        <f t="shared" si="43"/>
        <v>7.297960116017066E-2</v>
      </c>
      <c r="R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</row>
    <row r="66" spans="2:44" x14ac:dyDescent="0.25">
      <c r="B66" s="92">
        <v>5</v>
      </c>
      <c r="C66" s="112">
        <v>0.70950000000000002</v>
      </c>
      <c r="D66" s="94">
        <f t="shared" si="33"/>
        <v>26.718863715946863</v>
      </c>
      <c r="E66" s="94">
        <f t="shared" si="35"/>
        <v>133.59431857973431</v>
      </c>
      <c r="F66" s="95">
        <f t="shared" si="36"/>
        <v>13.8</v>
      </c>
      <c r="G66" s="94">
        <f t="shared" si="37"/>
        <v>119.79431857973431</v>
      </c>
      <c r="H66" s="94">
        <f t="shared" si="38"/>
        <v>23.958863715946862</v>
      </c>
      <c r="I66" s="108">
        <f t="shared" si="39"/>
        <v>0.63619514193362015</v>
      </c>
      <c r="J66" s="95"/>
      <c r="K66" s="92">
        <v>5</v>
      </c>
      <c r="L66" s="147">
        <v>0.63659453486846396</v>
      </c>
      <c r="M66" s="94">
        <f t="shared" si="34"/>
        <v>23.973337025323563</v>
      </c>
      <c r="N66" s="94">
        <f t="shared" si="40"/>
        <v>119.86668512661781</v>
      </c>
      <c r="O66" s="95">
        <f t="shared" si="41"/>
        <v>13.8</v>
      </c>
      <c r="P66" s="94">
        <f t="shared" si="42"/>
        <v>133.66668512661781</v>
      </c>
      <c r="Q66" s="116">
        <f t="shared" si="43"/>
        <v>7.236654688350086E-2</v>
      </c>
      <c r="R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</row>
    <row r="67" spans="2:44" x14ac:dyDescent="0.25">
      <c r="B67" s="92">
        <v>10</v>
      </c>
      <c r="C67" s="93">
        <v>0.7</v>
      </c>
      <c r="D67" s="93">
        <f t="shared" si="33"/>
        <v>26.361105850828469</v>
      </c>
      <c r="E67" s="93">
        <f t="shared" si="35"/>
        <v>263.61105850828471</v>
      </c>
      <c r="F67" s="95">
        <f t="shared" si="36"/>
        <v>13.8</v>
      </c>
      <c r="G67" s="93">
        <f t="shared" si="37"/>
        <v>249.8110585082847</v>
      </c>
      <c r="H67" s="93">
        <f t="shared" si="38"/>
        <v>24.98110585082847</v>
      </c>
      <c r="I67" s="109">
        <f t="shared" si="39"/>
        <v>0.66333939584323554</v>
      </c>
      <c r="J67" s="95"/>
      <c r="K67" s="92">
        <v>10</v>
      </c>
      <c r="L67" s="148">
        <v>0.66353909231065744</v>
      </c>
      <c r="M67" s="93">
        <f t="shared" si="34"/>
        <v>24.988034640805552</v>
      </c>
      <c r="N67" s="93">
        <f t="shared" si="40"/>
        <v>249.88034640805552</v>
      </c>
      <c r="O67" s="95">
        <f t="shared" si="41"/>
        <v>13.8</v>
      </c>
      <c r="P67" s="93">
        <f t="shared" si="42"/>
        <v>263.68034640805553</v>
      </c>
      <c r="Q67" s="116">
        <f t="shared" si="43"/>
        <v>6.928789977081351E-2</v>
      </c>
      <c r="R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</row>
    <row r="68" spans="2:44" x14ac:dyDescent="0.25">
      <c r="B68" s="92">
        <v>20</v>
      </c>
      <c r="C68" s="93">
        <v>0.7</v>
      </c>
      <c r="D68" s="93">
        <f t="shared" si="33"/>
        <v>26.361105850828469</v>
      </c>
      <c r="E68" s="93">
        <f t="shared" si="35"/>
        <v>527.22211701656943</v>
      </c>
      <c r="F68" s="95">
        <f t="shared" si="36"/>
        <v>13.8</v>
      </c>
      <c r="G68" s="93">
        <f t="shared" si="37"/>
        <v>513.42211701656947</v>
      </c>
      <c r="H68" s="93">
        <f t="shared" si="38"/>
        <v>25.671105850828475</v>
      </c>
      <c r="I68" s="109">
        <f t="shared" si="39"/>
        <v>0.68166141032349747</v>
      </c>
      <c r="J68" s="95"/>
      <c r="K68" s="92">
        <v>20</v>
      </c>
      <c r="L68" s="148">
        <v>0.68176125855720826</v>
      </c>
      <c r="M68" s="93">
        <f t="shared" si="34"/>
        <v>25.674258145458008</v>
      </c>
      <c r="N68" s="93">
        <f t="shared" si="40"/>
        <v>513.48516290916018</v>
      </c>
      <c r="O68" s="95">
        <f t="shared" si="41"/>
        <v>13.8</v>
      </c>
      <c r="P68" s="93">
        <f t="shared" si="42"/>
        <v>527.28516290916014</v>
      </c>
      <c r="Q68" s="116">
        <f t="shared" si="43"/>
        <v>6.3045892590707808E-2</v>
      </c>
      <c r="R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</row>
    <row r="69" spans="2:44" x14ac:dyDescent="0.25">
      <c r="B69" s="92">
        <v>30</v>
      </c>
      <c r="C69" s="93">
        <v>0.7</v>
      </c>
      <c r="D69" s="93">
        <f t="shared" si="33"/>
        <v>26.361105850828469</v>
      </c>
      <c r="E69" s="93">
        <f t="shared" si="35"/>
        <v>790.83317552485403</v>
      </c>
      <c r="F69" s="95">
        <f t="shared" si="36"/>
        <v>13.8</v>
      </c>
      <c r="G69" s="93">
        <f t="shared" si="37"/>
        <v>777.03317552485407</v>
      </c>
      <c r="H69" s="93">
        <f t="shared" si="38"/>
        <v>25.901105850828468</v>
      </c>
      <c r="I69" s="109">
        <f t="shared" si="39"/>
        <v>0.68776874848358449</v>
      </c>
      <c r="J69" s="95"/>
      <c r="K69" s="92">
        <v>30</v>
      </c>
      <c r="L69" s="148">
        <v>0.68783531397272524</v>
      </c>
      <c r="M69" s="93">
        <f t="shared" si="34"/>
        <v>25.902999313675494</v>
      </c>
      <c r="N69" s="93">
        <f t="shared" si="40"/>
        <v>777.08997941026485</v>
      </c>
      <c r="O69" s="95">
        <f t="shared" si="41"/>
        <v>13.8</v>
      </c>
      <c r="P69" s="93">
        <f t="shared" si="42"/>
        <v>790.8899794102648</v>
      </c>
      <c r="Q69" s="116">
        <f t="shared" si="43"/>
        <v>5.6803885410772637E-2</v>
      </c>
      <c r="R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</row>
    <row r="70" spans="2:44" x14ac:dyDescent="0.25">
      <c r="B70" s="92">
        <v>40</v>
      </c>
      <c r="C70" s="94">
        <v>0.7</v>
      </c>
      <c r="D70" s="94">
        <f t="shared" si="33"/>
        <v>26.361105850828469</v>
      </c>
      <c r="E70" s="94">
        <f t="shared" si="35"/>
        <v>1054.4442340331389</v>
      </c>
      <c r="F70" s="95">
        <f t="shared" si="36"/>
        <v>13.8</v>
      </c>
      <c r="G70" s="94">
        <f t="shared" si="37"/>
        <v>1040.6442340331389</v>
      </c>
      <c r="H70" s="94">
        <f t="shared" si="38"/>
        <v>26.016105850828474</v>
      </c>
      <c r="I70" s="108">
        <f t="shared" si="39"/>
        <v>0.69082241756362828</v>
      </c>
      <c r="J70" s="95"/>
      <c r="K70" s="92">
        <v>40</v>
      </c>
      <c r="L70" s="147">
        <v>0.69087234168048361</v>
      </c>
      <c r="M70" s="94">
        <f t="shared" si="34"/>
        <v>26.017369897784235</v>
      </c>
      <c r="N70" s="94">
        <f t="shared" si="40"/>
        <v>1040.6947959113695</v>
      </c>
      <c r="O70" s="95">
        <f t="shared" si="41"/>
        <v>13.8</v>
      </c>
      <c r="P70" s="94">
        <f t="shared" si="42"/>
        <v>1054.4947959113695</v>
      </c>
      <c r="Q70" s="116">
        <f t="shared" si="43"/>
        <v>5.0561878230610091E-2</v>
      </c>
      <c r="R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</row>
    <row r="71" spans="2:44" x14ac:dyDescent="0.25">
      <c r="B71" s="92">
        <v>50</v>
      </c>
      <c r="C71" s="93">
        <v>0.7</v>
      </c>
      <c r="D71" s="93">
        <f t="shared" si="33"/>
        <v>26.361105850828469</v>
      </c>
      <c r="E71" s="93">
        <f t="shared" si="35"/>
        <v>1318.0552925414236</v>
      </c>
      <c r="F71" s="95">
        <f t="shared" si="36"/>
        <v>13.8</v>
      </c>
      <c r="G71" s="93">
        <f t="shared" si="37"/>
        <v>1304.2552925414236</v>
      </c>
      <c r="H71" s="93">
        <f t="shared" si="38"/>
        <v>26.085105850828473</v>
      </c>
      <c r="I71" s="109">
        <f t="shared" si="39"/>
        <v>0.69265461901165437</v>
      </c>
      <c r="J71" s="95"/>
      <c r="K71" s="92">
        <v>50</v>
      </c>
      <c r="L71" s="148">
        <v>0.69269455830513871</v>
      </c>
      <c r="M71" s="93">
        <f t="shared" si="34"/>
        <v>26.085992248249482</v>
      </c>
      <c r="N71" s="93">
        <f t="shared" si="40"/>
        <v>1304.2996124124741</v>
      </c>
      <c r="O71" s="95">
        <f t="shared" si="41"/>
        <v>13.8</v>
      </c>
      <c r="P71" s="93">
        <f t="shared" si="42"/>
        <v>1318.099612412474</v>
      </c>
      <c r="Q71" s="116">
        <f t="shared" si="43"/>
        <v>4.4319871050447546E-2</v>
      </c>
      <c r="R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</row>
    <row r="72" spans="2:44" x14ac:dyDescent="0.25">
      <c r="R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</row>
    <row r="73" spans="2:44" x14ac:dyDescent="0.25">
      <c r="R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</row>
    <row r="74" spans="2:44" x14ac:dyDescent="0.25">
      <c r="B74" s="101"/>
      <c r="C74" s="117" t="s">
        <v>67</v>
      </c>
      <c r="D74" s="101"/>
      <c r="E74" s="101" t="s">
        <v>50</v>
      </c>
      <c r="F74" s="102"/>
      <c r="G74" s="102" t="s">
        <v>51</v>
      </c>
      <c r="H74" s="102"/>
      <c r="I74" s="102"/>
      <c r="J74" s="150" t="s">
        <v>71</v>
      </c>
      <c r="K74" s="101"/>
      <c r="L74" s="118"/>
      <c r="M74" s="101"/>
      <c r="N74" s="101" t="s">
        <v>51</v>
      </c>
      <c r="O74" s="101"/>
      <c r="P74" s="101" t="s">
        <v>60</v>
      </c>
      <c r="Q74" s="115" t="s">
        <v>62</v>
      </c>
      <c r="R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</row>
    <row r="75" spans="2:44" x14ac:dyDescent="0.25">
      <c r="B75" s="103" t="s">
        <v>9</v>
      </c>
      <c r="C75" s="101" t="s">
        <v>47</v>
      </c>
      <c r="D75" s="104" t="s">
        <v>56</v>
      </c>
      <c r="E75" s="101" t="s">
        <v>51</v>
      </c>
      <c r="F75" s="102" t="s">
        <v>54</v>
      </c>
      <c r="G75" s="102" t="s">
        <v>55</v>
      </c>
      <c r="H75" s="105" t="s">
        <v>57</v>
      </c>
      <c r="I75" s="106" t="s">
        <v>57</v>
      </c>
      <c r="J75" s="114"/>
      <c r="K75" s="103" t="s">
        <v>9</v>
      </c>
      <c r="L75" s="101" t="s">
        <v>47</v>
      </c>
      <c r="M75" s="104" t="s">
        <v>56</v>
      </c>
      <c r="N75" s="104" t="s">
        <v>55</v>
      </c>
      <c r="O75" s="104" t="s">
        <v>59</v>
      </c>
      <c r="P75" s="104" t="s">
        <v>51</v>
      </c>
      <c r="Q75" s="126" t="s">
        <v>63</v>
      </c>
      <c r="R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</row>
    <row r="76" spans="2:44" x14ac:dyDescent="0.25">
      <c r="B76" s="92">
        <v>1</v>
      </c>
      <c r="C76" s="124">
        <v>0.7</v>
      </c>
      <c r="D76" s="98">
        <f t="shared" ref="D76:D85" si="44">(C76*$B$7)*SQRT(4*$B$9*$B$10/32.2)/12</f>
        <v>26.361105850828469</v>
      </c>
      <c r="E76" s="98">
        <f>B76*D76</f>
        <v>26.361105850828469</v>
      </c>
      <c r="F76" s="95">
        <f>$F$19</f>
        <v>13.8</v>
      </c>
      <c r="G76" s="98">
        <f>E76-F76</f>
        <v>12.561105850828469</v>
      </c>
      <c r="H76" s="98">
        <f>G76/B76</f>
        <v>12.561105850828469</v>
      </c>
      <c r="I76" s="107">
        <f>SQRT(12*32.2*H76^2/(4*$B$9*($B$8*56)*$B$7^2))</f>
        <v>0.33354313519852274</v>
      </c>
      <c r="K76" s="92">
        <v>1</v>
      </c>
      <c r="L76" s="146">
        <v>0.33554009987274291</v>
      </c>
      <c r="M76" s="98">
        <f t="shared" ref="M76:M85" si="45">(L76*$B$7)*SQRT(4*$B$9*$B$10/32.2)/12</f>
        <v>12.636011557061332</v>
      </c>
      <c r="N76" s="98">
        <f>K76*M76</f>
        <v>12.636011557061332</v>
      </c>
      <c r="O76" s="95">
        <f>$F$19</f>
        <v>13.8</v>
      </c>
      <c r="P76" s="98">
        <f>N76+O76</f>
        <v>26.436011557061335</v>
      </c>
      <c r="Q76" s="116">
        <f>P76-E76</f>
        <v>7.4905706232865299E-2</v>
      </c>
      <c r="R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</row>
    <row r="77" spans="2:44" x14ac:dyDescent="0.25">
      <c r="B77" s="92">
        <v>2</v>
      </c>
      <c r="C77" s="123">
        <v>0.7</v>
      </c>
      <c r="D77" s="94">
        <f t="shared" si="44"/>
        <v>26.361105850828469</v>
      </c>
      <c r="E77" s="94">
        <f t="shared" ref="E77:E85" si="46">B77*D77</f>
        <v>52.722211701656938</v>
      </c>
      <c r="F77" s="95">
        <f t="shared" ref="F77:F85" si="47">$F$19</f>
        <v>13.8</v>
      </c>
      <c r="G77" s="94">
        <f t="shared" ref="G77:G85" si="48">E77-F77</f>
        <v>38.922211701656934</v>
      </c>
      <c r="H77" s="94">
        <f t="shared" ref="H77:H85" si="49">G77/B77</f>
        <v>19.461105850828467</v>
      </c>
      <c r="I77" s="108">
        <f t="shared" ref="I77:I85" si="50">SQRT(12*32.2*H77^2/(4*$B$9*($B$8*56)*$B$7^2))</f>
        <v>0.51676328000114091</v>
      </c>
      <c r="J77" s="95"/>
      <c r="K77" s="92">
        <v>2</v>
      </c>
      <c r="L77" s="147">
        <v>0.517761762338251</v>
      </c>
      <c r="M77" s="94">
        <f t="shared" si="45"/>
        <v>19.498246603585898</v>
      </c>
      <c r="N77" s="94">
        <f t="shared" ref="N77:N85" si="51">K77*M77</f>
        <v>38.996493207171795</v>
      </c>
      <c r="O77" s="95">
        <f t="shared" ref="O77:O85" si="52">$F$19</f>
        <v>13.8</v>
      </c>
      <c r="P77" s="94">
        <f t="shared" ref="P77:P85" si="53">N77+O77</f>
        <v>52.796493207171793</v>
      </c>
      <c r="Q77" s="116">
        <f t="shared" ref="Q77:Q85" si="54">P77-E77</f>
        <v>7.4281505514854018E-2</v>
      </c>
      <c r="R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</row>
    <row r="78" spans="2:44" x14ac:dyDescent="0.25">
      <c r="B78" s="92">
        <v>3</v>
      </c>
      <c r="C78" s="122">
        <v>0.7</v>
      </c>
      <c r="D78" s="93">
        <f t="shared" si="44"/>
        <v>26.361105850828469</v>
      </c>
      <c r="E78" s="93">
        <f t="shared" si="46"/>
        <v>79.083317552485411</v>
      </c>
      <c r="F78" s="95">
        <f t="shared" si="47"/>
        <v>13.8</v>
      </c>
      <c r="G78" s="93">
        <f t="shared" si="48"/>
        <v>65.283317552485414</v>
      </c>
      <c r="H78" s="93">
        <f t="shared" si="49"/>
        <v>21.761105850828471</v>
      </c>
      <c r="I78" s="109">
        <f t="shared" si="50"/>
        <v>0.57783666160201375</v>
      </c>
      <c r="J78" s="95"/>
      <c r="K78" s="92">
        <v>3</v>
      </c>
      <c r="L78" s="148">
        <v>0.57850231649342043</v>
      </c>
      <c r="M78" s="93">
        <f t="shared" si="45"/>
        <v>21.785658285760757</v>
      </c>
      <c r="N78" s="93">
        <f t="shared" si="51"/>
        <v>65.356974857282268</v>
      </c>
      <c r="O78" s="95">
        <f t="shared" si="52"/>
        <v>13.8</v>
      </c>
      <c r="P78" s="93">
        <f t="shared" si="53"/>
        <v>79.156974857282265</v>
      </c>
      <c r="Q78" s="116">
        <f t="shared" si="54"/>
        <v>7.3657304796853396E-2</v>
      </c>
      <c r="R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</row>
    <row r="79" spans="2:44" x14ac:dyDescent="0.25">
      <c r="B79" s="92">
        <v>4</v>
      </c>
      <c r="C79" s="122">
        <v>0.7</v>
      </c>
      <c r="D79" s="93">
        <f t="shared" si="44"/>
        <v>26.361105850828469</v>
      </c>
      <c r="E79" s="93">
        <f t="shared" si="46"/>
        <v>105.44442340331388</v>
      </c>
      <c r="F79" s="95">
        <f t="shared" si="47"/>
        <v>13.8</v>
      </c>
      <c r="G79" s="93">
        <f t="shared" si="48"/>
        <v>91.64442340331388</v>
      </c>
      <c r="H79" s="93">
        <f t="shared" si="49"/>
        <v>22.91110585082847</v>
      </c>
      <c r="I79" s="109">
        <f t="shared" si="50"/>
        <v>0.60837335240245005</v>
      </c>
      <c r="J79" s="95"/>
      <c r="K79" s="92">
        <v>4</v>
      </c>
      <c r="L79" s="148">
        <v>0.60887259357100509</v>
      </c>
      <c r="M79" s="93">
        <f t="shared" si="45"/>
        <v>22.929364126848181</v>
      </c>
      <c r="N79" s="93">
        <f t="shared" si="51"/>
        <v>91.717456507392725</v>
      </c>
      <c r="O79" s="95">
        <f t="shared" si="52"/>
        <v>13.8</v>
      </c>
      <c r="P79" s="93">
        <f t="shared" si="53"/>
        <v>105.51745650739272</v>
      </c>
      <c r="Q79" s="116">
        <f t="shared" si="54"/>
        <v>7.3033104078845668E-2</v>
      </c>
      <c r="R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</row>
    <row r="80" spans="2:44" x14ac:dyDescent="0.25">
      <c r="B80" s="92">
        <v>5</v>
      </c>
      <c r="C80" s="123">
        <v>0.7</v>
      </c>
      <c r="D80" s="94">
        <f t="shared" si="44"/>
        <v>26.361105850828469</v>
      </c>
      <c r="E80" s="94">
        <f t="shared" si="46"/>
        <v>131.80552925414236</v>
      </c>
      <c r="F80" s="95">
        <f t="shared" si="47"/>
        <v>13.8</v>
      </c>
      <c r="G80" s="94">
        <f t="shared" si="48"/>
        <v>118.00552925414236</v>
      </c>
      <c r="H80" s="94">
        <f t="shared" si="49"/>
        <v>23.601105850828471</v>
      </c>
      <c r="I80" s="108">
        <f t="shared" si="50"/>
        <v>0.62669536688271188</v>
      </c>
      <c r="J80" s="95"/>
      <c r="K80" s="92">
        <v>5</v>
      </c>
      <c r="L80" s="147">
        <v>0.6270947598175558</v>
      </c>
      <c r="M80" s="94">
        <f t="shared" si="45"/>
        <v>23.615587631500635</v>
      </c>
      <c r="N80" s="94">
        <f t="shared" si="51"/>
        <v>118.07793815750317</v>
      </c>
      <c r="O80" s="95">
        <f t="shared" si="52"/>
        <v>13.8</v>
      </c>
      <c r="P80" s="94">
        <f t="shared" si="53"/>
        <v>131.87793815750317</v>
      </c>
      <c r="Q80" s="116">
        <f t="shared" si="54"/>
        <v>7.2408903360809518E-2</v>
      </c>
      <c r="R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</row>
    <row r="81" spans="2:44" x14ac:dyDescent="0.25">
      <c r="B81" s="92">
        <v>10</v>
      </c>
      <c r="C81" s="93">
        <v>0.7</v>
      </c>
      <c r="D81" s="93">
        <f t="shared" si="44"/>
        <v>26.361105850828469</v>
      </c>
      <c r="E81" s="93">
        <f t="shared" si="46"/>
        <v>263.61105850828471</v>
      </c>
      <c r="F81" s="95">
        <f t="shared" si="47"/>
        <v>13.8</v>
      </c>
      <c r="G81" s="93">
        <f t="shared" si="48"/>
        <v>249.8110585082847</v>
      </c>
      <c r="H81" s="93">
        <f t="shared" si="49"/>
        <v>24.98110585082847</v>
      </c>
      <c r="I81" s="109">
        <f t="shared" si="50"/>
        <v>0.66333939584323554</v>
      </c>
      <c r="J81" s="95"/>
      <c r="K81" s="92">
        <v>10</v>
      </c>
      <c r="L81" s="148">
        <v>0.66353909231065744</v>
      </c>
      <c r="M81" s="93">
        <f t="shared" si="45"/>
        <v>24.988034640805552</v>
      </c>
      <c r="N81" s="93">
        <f t="shared" si="51"/>
        <v>249.88034640805552</v>
      </c>
      <c r="O81" s="95">
        <f t="shared" si="52"/>
        <v>13.8</v>
      </c>
      <c r="P81" s="93">
        <f t="shared" si="53"/>
        <v>263.68034640805553</v>
      </c>
      <c r="Q81" s="116">
        <f t="shared" si="54"/>
        <v>6.928789977081351E-2</v>
      </c>
      <c r="R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</row>
    <row r="82" spans="2:44" x14ac:dyDescent="0.25">
      <c r="B82" s="92">
        <v>20</v>
      </c>
      <c r="C82" s="93">
        <v>0.7</v>
      </c>
      <c r="D82" s="93">
        <f t="shared" si="44"/>
        <v>26.361105850828469</v>
      </c>
      <c r="E82" s="93">
        <f t="shared" si="46"/>
        <v>527.22211701656943</v>
      </c>
      <c r="F82" s="95">
        <f t="shared" si="47"/>
        <v>13.8</v>
      </c>
      <c r="G82" s="93">
        <f t="shared" si="48"/>
        <v>513.42211701656947</v>
      </c>
      <c r="H82" s="93">
        <f t="shared" si="49"/>
        <v>25.671105850828475</v>
      </c>
      <c r="I82" s="109">
        <f t="shared" si="50"/>
        <v>0.68166141032349747</v>
      </c>
      <c r="J82" s="95"/>
      <c r="K82" s="92">
        <v>20</v>
      </c>
      <c r="L82" s="148">
        <v>0.68176125855720826</v>
      </c>
      <c r="M82" s="93">
        <f t="shared" si="45"/>
        <v>25.674258145458008</v>
      </c>
      <c r="N82" s="93">
        <f t="shared" si="51"/>
        <v>513.48516290916018</v>
      </c>
      <c r="O82" s="95">
        <f t="shared" si="52"/>
        <v>13.8</v>
      </c>
      <c r="P82" s="93">
        <f t="shared" si="53"/>
        <v>527.28516290916014</v>
      </c>
      <c r="Q82" s="116">
        <f t="shared" si="54"/>
        <v>6.3045892590707808E-2</v>
      </c>
      <c r="R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</row>
    <row r="83" spans="2:44" x14ac:dyDescent="0.25">
      <c r="B83" s="92">
        <v>30</v>
      </c>
      <c r="C83" s="93">
        <v>0.7</v>
      </c>
      <c r="D83" s="93">
        <f t="shared" si="44"/>
        <v>26.361105850828469</v>
      </c>
      <c r="E83" s="93">
        <f t="shared" si="46"/>
        <v>790.83317552485403</v>
      </c>
      <c r="F83" s="95">
        <f t="shared" si="47"/>
        <v>13.8</v>
      </c>
      <c r="G83" s="93">
        <f t="shared" si="48"/>
        <v>777.03317552485407</v>
      </c>
      <c r="H83" s="93">
        <f t="shared" si="49"/>
        <v>25.901105850828468</v>
      </c>
      <c r="I83" s="109">
        <f t="shared" si="50"/>
        <v>0.68776874848358449</v>
      </c>
      <c r="J83" s="95"/>
      <c r="K83" s="92">
        <v>30</v>
      </c>
      <c r="L83" s="148">
        <v>0.68783531397272524</v>
      </c>
      <c r="M83" s="93">
        <f t="shared" si="45"/>
        <v>25.902999313675494</v>
      </c>
      <c r="N83" s="93">
        <f t="shared" si="51"/>
        <v>777.08997941026485</v>
      </c>
      <c r="O83" s="95">
        <f t="shared" si="52"/>
        <v>13.8</v>
      </c>
      <c r="P83" s="93">
        <f t="shared" si="53"/>
        <v>790.8899794102648</v>
      </c>
      <c r="Q83" s="116">
        <f t="shared" si="54"/>
        <v>5.6803885410772637E-2</v>
      </c>
      <c r="R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</row>
    <row r="84" spans="2:44" x14ac:dyDescent="0.25">
      <c r="B84" s="92">
        <v>40</v>
      </c>
      <c r="C84" s="94">
        <v>0.7</v>
      </c>
      <c r="D84" s="94">
        <f t="shared" si="44"/>
        <v>26.361105850828469</v>
      </c>
      <c r="E84" s="94">
        <f t="shared" si="46"/>
        <v>1054.4442340331389</v>
      </c>
      <c r="F84" s="95">
        <f t="shared" si="47"/>
        <v>13.8</v>
      </c>
      <c r="G84" s="94">
        <f t="shared" si="48"/>
        <v>1040.6442340331389</v>
      </c>
      <c r="H84" s="94">
        <f t="shared" si="49"/>
        <v>26.016105850828474</v>
      </c>
      <c r="I84" s="108">
        <f t="shared" si="50"/>
        <v>0.69082241756362828</v>
      </c>
      <c r="J84" s="95"/>
      <c r="K84" s="92">
        <v>40</v>
      </c>
      <c r="L84" s="147">
        <v>0.69087234168048361</v>
      </c>
      <c r="M84" s="94">
        <f t="shared" si="45"/>
        <v>26.017369897784235</v>
      </c>
      <c r="N84" s="94">
        <f t="shared" si="51"/>
        <v>1040.6947959113695</v>
      </c>
      <c r="O84" s="95">
        <f t="shared" si="52"/>
        <v>13.8</v>
      </c>
      <c r="P84" s="94">
        <f t="shared" si="53"/>
        <v>1054.4947959113695</v>
      </c>
      <c r="Q84" s="116">
        <f t="shared" si="54"/>
        <v>5.0561878230610091E-2</v>
      </c>
      <c r="R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</row>
    <row r="85" spans="2:44" x14ac:dyDescent="0.25">
      <c r="B85" s="92">
        <v>50</v>
      </c>
      <c r="C85" s="93">
        <v>0.7</v>
      </c>
      <c r="D85" s="93">
        <f t="shared" si="44"/>
        <v>26.361105850828469</v>
      </c>
      <c r="E85" s="93">
        <f t="shared" si="46"/>
        <v>1318.0552925414236</v>
      </c>
      <c r="F85" s="95">
        <f t="shared" si="47"/>
        <v>13.8</v>
      </c>
      <c r="G85" s="93">
        <f t="shared" si="48"/>
        <v>1304.2552925414236</v>
      </c>
      <c r="H85" s="93">
        <f t="shared" si="49"/>
        <v>26.085105850828473</v>
      </c>
      <c r="I85" s="109">
        <f t="shared" si="50"/>
        <v>0.69265461901165437</v>
      </c>
      <c r="J85" s="95"/>
      <c r="K85" s="92">
        <v>50</v>
      </c>
      <c r="L85" s="148">
        <v>0.69269455830513871</v>
      </c>
      <c r="M85" s="93">
        <f t="shared" si="45"/>
        <v>26.085992248249482</v>
      </c>
      <c r="N85" s="93">
        <f t="shared" si="51"/>
        <v>1304.2996124124741</v>
      </c>
      <c r="O85" s="95">
        <f t="shared" si="52"/>
        <v>13.8</v>
      </c>
      <c r="P85" s="93">
        <f t="shared" si="53"/>
        <v>1318.099612412474</v>
      </c>
      <c r="Q85" s="116">
        <f t="shared" si="54"/>
        <v>4.4319871050447546E-2</v>
      </c>
      <c r="R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</row>
    <row r="86" spans="2:44" x14ac:dyDescent="0.25">
      <c r="R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</row>
    <row r="87" spans="2:44" x14ac:dyDescent="0.25">
      <c r="R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</row>
    <row r="88" spans="2:44" x14ac:dyDescent="0.25">
      <c r="B88" s="127"/>
      <c r="C88" s="128"/>
      <c r="D88" s="128"/>
      <c r="E88" s="128"/>
      <c r="F88" s="128"/>
      <c r="G88" s="129"/>
      <c r="R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</row>
    <row r="89" spans="2:44" x14ac:dyDescent="0.25">
      <c r="B89" s="130"/>
      <c r="C89" s="131" t="s">
        <v>70</v>
      </c>
      <c r="D89" s="90"/>
      <c r="E89" s="132" t="s">
        <v>43</v>
      </c>
      <c r="F89" s="90"/>
      <c r="G89" s="133"/>
      <c r="R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</row>
    <row r="90" spans="2:44" x14ac:dyDescent="0.25">
      <c r="B90" s="134"/>
      <c r="C90" s="135" t="str">
        <f>C17</f>
        <v xml:space="preserve"> 100_74_70</v>
      </c>
      <c r="D90" s="135" t="str">
        <f>C32</f>
        <v xml:space="preserve"> 93_73_70</v>
      </c>
      <c r="E90" s="136" t="str">
        <f>C46</f>
        <v xml:space="preserve"> 86_72_70</v>
      </c>
      <c r="F90" s="135" t="str">
        <f>C60</f>
        <v xml:space="preserve"> 78_71_70</v>
      </c>
      <c r="G90" s="137" t="str">
        <f>C74</f>
        <v xml:space="preserve"> 70_70_70</v>
      </c>
      <c r="I90"/>
      <c r="R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</row>
    <row r="91" spans="2:44" x14ac:dyDescent="0.25">
      <c r="B91" s="134" t="s">
        <v>9</v>
      </c>
      <c r="C91" s="103" t="s">
        <v>47</v>
      </c>
      <c r="D91" s="103" t="s">
        <v>47</v>
      </c>
      <c r="E91" s="103" t="s">
        <v>47</v>
      </c>
      <c r="F91" s="103" t="s">
        <v>47</v>
      </c>
      <c r="G91" s="138" t="s">
        <v>47</v>
      </c>
      <c r="I91"/>
      <c r="R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</row>
    <row r="92" spans="2:44" x14ac:dyDescent="0.25">
      <c r="B92" s="139">
        <v>1</v>
      </c>
      <c r="C92" s="119">
        <f t="shared" ref="C92:C101" si="55">L19</f>
        <v>0.63553299621721115</v>
      </c>
      <c r="D92" s="119">
        <f t="shared" ref="D92:D101" si="56">L34</f>
        <v>0.56063476976320914</v>
      </c>
      <c r="E92" s="119">
        <f t="shared" ref="E92:E101" si="57">L48</f>
        <v>0.48553654804497703</v>
      </c>
      <c r="F92" s="119">
        <f t="shared" ref="F92:F101" si="58">L62</f>
        <v>0.41063832159097485</v>
      </c>
      <c r="G92" s="140">
        <f t="shared" ref="G92:G101" si="59">L76</f>
        <v>0.33554009987274291</v>
      </c>
      <c r="I92"/>
      <c r="R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</row>
    <row r="93" spans="2:44" x14ac:dyDescent="0.25">
      <c r="B93" s="139">
        <v>2</v>
      </c>
      <c r="C93" s="120">
        <f t="shared" si="55"/>
        <v>0.68775773693344977</v>
      </c>
      <c r="D93" s="120">
        <f t="shared" si="56"/>
        <v>0.64525874328465005</v>
      </c>
      <c r="E93" s="120">
        <f t="shared" si="57"/>
        <v>0.60275974963585055</v>
      </c>
      <c r="F93" s="120">
        <f t="shared" si="58"/>
        <v>0.56026075598705094</v>
      </c>
      <c r="G93" s="141">
        <f t="shared" si="59"/>
        <v>0.517761762338251</v>
      </c>
      <c r="I93"/>
      <c r="R93"/>
    </row>
    <row r="94" spans="2:44" x14ac:dyDescent="0.25">
      <c r="B94" s="139">
        <v>3</v>
      </c>
      <c r="C94" s="121">
        <f t="shared" si="55"/>
        <v>0.67749997228709513</v>
      </c>
      <c r="D94" s="121">
        <f t="shared" si="56"/>
        <v>0.65280055715473373</v>
      </c>
      <c r="E94" s="121">
        <f t="shared" si="57"/>
        <v>0.62800114439025778</v>
      </c>
      <c r="F94" s="121">
        <f t="shared" si="58"/>
        <v>0.60330172925789649</v>
      </c>
      <c r="G94" s="142">
        <f t="shared" si="59"/>
        <v>0.57850231649342043</v>
      </c>
      <c r="I94"/>
      <c r="R94"/>
    </row>
    <row r="95" spans="2:44" x14ac:dyDescent="0.25">
      <c r="B95" s="139">
        <v>4</v>
      </c>
      <c r="C95" s="121">
        <f t="shared" si="55"/>
        <v>0.66887117283989883</v>
      </c>
      <c r="D95" s="121">
        <f t="shared" si="56"/>
        <v>0.65387152802267534</v>
      </c>
      <c r="E95" s="121">
        <f t="shared" si="57"/>
        <v>0.63887188320545207</v>
      </c>
      <c r="F95" s="121">
        <f t="shared" si="58"/>
        <v>0.62387223838822847</v>
      </c>
      <c r="G95" s="142">
        <f t="shared" si="59"/>
        <v>0.60887259357100509</v>
      </c>
      <c r="I95"/>
      <c r="R95"/>
    </row>
    <row r="96" spans="2:44" x14ac:dyDescent="0.25">
      <c r="B96" s="139">
        <v>5</v>
      </c>
      <c r="C96" s="120">
        <f t="shared" si="55"/>
        <v>0.66509386002118864</v>
      </c>
      <c r="D96" s="120">
        <f t="shared" si="56"/>
        <v>0.65559408497028049</v>
      </c>
      <c r="E96" s="120">
        <f t="shared" si="57"/>
        <v>0.64609430991937211</v>
      </c>
      <c r="F96" s="120">
        <f t="shared" si="58"/>
        <v>0.63659453486846396</v>
      </c>
      <c r="G96" s="141">
        <f t="shared" si="59"/>
        <v>0.6270947598175558</v>
      </c>
      <c r="I96"/>
      <c r="R96"/>
    </row>
    <row r="97" spans="2:18" x14ac:dyDescent="0.25">
      <c r="B97" s="139">
        <v>10</v>
      </c>
      <c r="C97" s="121">
        <f t="shared" si="55"/>
        <v>0.66353909231065744</v>
      </c>
      <c r="D97" s="121">
        <f t="shared" si="56"/>
        <v>0.66353909231065744</v>
      </c>
      <c r="E97" s="121">
        <f t="shared" si="57"/>
        <v>0.66353909231065744</v>
      </c>
      <c r="F97" s="121">
        <f t="shared" si="58"/>
        <v>0.66353909231065744</v>
      </c>
      <c r="G97" s="142">
        <f t="shared" si="59"/>
        <v>0.66353909231065744</v>
      </c>
      <c r="I97"/>
      <c r="R97"/>
    </row>
    <row r="98" spans="2:18" x14ac:dyDescent="0.25">
      <c r="B98" s="139">
        <v>20</v>
      </c>
      <c r="C98" s="121">
        <f t="shared" si="55"/>
        <v>0.68176125855720826</v>
      </c>
      <c r="D98" s="121">
        <f t="shared" si="56"/>
        <v>0.68176125855720826</v>
      </c>
      <c r="E98" s="121">
        <f t="shared" si="57"/>
        <v>0.68176125855720826</v>
      </c>
      <c r="F98" s="121">
        <f t="shared" si="58"/>
        <v>0.68176125855720826</v>
      </c>
      <c r="G98" s="142">
        <f t="shared" si="59"/>
        <v>0.68176125855720826</v>
      </c>
      <c r="I98"/>
    </row>
    <row r="99" spans="2:18" x14ac:dyDescent="0.25">
      <c r="B99" s="139">
        <v>30</v>
      </c>
      <c r="C99" s="121">
        <f t="shared" si="55"/>
        <v>0.68783531397272524</v>
      </c>
      <c r="D99" s="121">
        <f t="shared" si="56"/>
        <v>0.68783531397272524</v>
      </c>
      <c r="E99" s="121">
        <f t="shared" si="57"/>
        <v>0.68783531397272524</v>
      </c>
      <c r="F99" s="121">
        <f t="shared" si="58"/>
        <v>0.68783531397272524</v>
      </c>
      <c r="G99" s="142">
        <f t="shared" si="59"/>
        <v>0.68783531397272524</v>
      </c>
      <c r="I99"/>
    </row>
    <row r="100" spans="2:18" x14ac:dyDescent="0.25">
      <c r="B100" s="139">
        <v>40</v>
      </c>
      <c r="C100" s="120">
        <f t="shared" si="55"/>
        <v>0.69087234168048361</v>
      </c>
      <c r="D100" s="120">
        <f t="shared" si="56"/>
        <v>0.69087234168048361</v>
      </c>
      <c r="E100" s="120">
        <f t="shared" si="57"/>
        <v>0.69087234168048361</v>
      </c>
      <c r="F100" s="120">
        <f t="shared" si="58"/>
        <v>0.69087234168048361</v>
      </c>
      <c r="G100" s="141">
        <f t="shared" si="59"/>
        <v>0.69087234168048361</v>
      </c>
      <c r="I100"/>
    </row>
    <row r="101" spans="2:18" x14ac:dyDescent="0.25">
      <c r="B101" s="139">
        <v>50</v>
      </c>
      <c r="C101" s="121">
        <f t="shared" si="55"/>
        <v>0.69269455830513871</v>
      </c>
      <c r="D101" s="121">
        <f t="shared" si="56"/>
        <v>0.69269455830513871</v>
      </c>
      <c r="E101" s="121">
        <f t="shared" si="57"/>
        <v>0.69269455830513871</v>
      </c>
      <c r="F101" s="121">
        <f t="shared" si="58"/>
        <v>0.69269455830513871</v>
      </c>
      <c r="G101" s="142">
        <f t="shared" si="59"/>
        <v>0.69269455830513871</v>
      </c>
      <c r="I101"/>
    </row>
    <row r="102" spans="2:18" x14ac:dyDescent="0.25">
      <c r="B102" s="143"/>
      <c r="C102" s="144"/>
      <c r="D102" s="144"/>
      <c r="E102" s="144"/>
      <c r="F102" s="144"/>
      <c r="G102" s="145"/>
      <c r="I102"/>
    </row>
    <row r="103" spans="2:18" x14ac:dyDescent="0.25">
      <c r="I103"/>
    </row>
  </sheetData>
  <pageMargins left="0.7" right="0.7" top="0.75" bottom="0.75" header="0.3" footer="0.3"/>
  <pageSetup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transitionEntry="1" codeName="Sheet6">
    <pageSetUpPr fitToPage="1"/>
  </sheetPr>
  <dimension ref="A1:AR108"/>
  <sheetViews>
    <sheetView showGridLines="0" topLeftCell="A31" zoomScale="90" zoomScaleNormal="90" workbookViewId="0">
      <selection activeCell="Q56" sqref="Q56"/>
    </sheetView>
  </sheetViews>
  <sheetFormatPr defaultRowHeight="12.75" x14ac:dyDescent="0.2"/>
  <cols>
    <col min="3" max="8" width="9.140625" customWidth="1"/>
    <col min="11" max="11" width="5.7109375" customWidth="1"/>
    <col min="14" max="14" width="4.28515625" customWidth="1"/>
    <col min="16" max="16" width="5.7109375" customWidth="1"/>
    <col min="18" max="18" width="9.140625" customWidth="1"/>
    <col min="19" max="19" width="4.28515625" customWidth="1"/>
    <col min="21" max="21" width="5.7109375" customWidth="1"/>
  </cols>
  <sheetData>
    <row r="1" spans="1:44" x14ac:dyDescent="0.2">
      <c r="T1" s="85" t="s">
        <v>43</v>
      </c>
    </row>
    <row r="2" spans="1:44" x14ac:dyDescent="0.2">
      <c r="A2" t="s">
        <v>6</v>
      </c>
      <c r="AR2" t="s">
        <v>22</v>
      </c>
    </row>
    <row r="3" spans="1:44" x14ac:dyDescent="0.2">
      <c r="A3" s="1" t="s">
        <v>7</v>
      </c>
    </row>
    <row r="4" spans="1:44" x14ac:dyDescent="0.2">
      <c r="A4" s="1" t="s">
        <v>34</v>
      </c>
    </row>
    <row r="5" spans="1:44" x14ac:dyDescent="0.2">
      <c r="A5" s="61" t="s">
        <v>21</v>
      </c>
    </row>
    <row r="7" spans="1:44" x14ac:dyDescent="0.2">
      <c r="A7" s="21" t="s">
        <v>5</v>
      </c>
      <c r="G7" s="10">
        <v>2.4500000000000002</v>
      </c>
      <c r="H7" s="15" t="s">
        <v>39</v>
      </c>
      <c r="T7" s="1"/>
      <c r="U7" s="1"/>
    </row>
    <row r="8" spans="1:44" x14ac:dyDescent="0.2">
      <c r="G8">
        <v>4.47</v>
      </c>
      <c r="H8" t="s">
        <v>41</v>
      </c>
    </row>
    <row r="9" spans="1:44" x14ac:dyDescent="0.2">
      <c r="B9" s="34"/>
      <c r="C9" s="10"/>
      <c r="E9" s="10"/>
      <c r="F9" s="10"/>
      <c r="G9" s="18">
        <v>2.9</v>
      </c>
      <c r="H9" s="10" t="s">
        <v>40</v>
      </c>
      <c r="I9" s="10"/>
      <c r="K9" s="10"/>
      <c r="L9" s="10"/>
      <c r="M9" s="10"/>
      <c r="N9" s="10"/>
      <c r="O9" s="10"/>
      <c r="P9" s="10"/>
      <c r="Q9" s="10"/>
      <c r="R9" s="10"/>
    </row>
    <row r="10" spans="1:44" x14ac:dyDescent="0.2">
      <c r="B10" s="18">
        <v>2.4500000000000002</v>
      </c>
      <c r="C10" s="15" t="s">
        <v>37</v>
      </c>
      <c r="E10" s="62" t="s">
        <v>32</v>
      </c>
      <c r="F10" s="10"/>
      <c r="G10" s="15">
        <f>G9/G7</f>
        <v>1.1836734693877551</v>
      </c>
      <c r="H10" s="10" t="s">
        <v>38</v>
      </c>
      <c r="I10" s="10"/>
    </row>
    <row r="11" spans="1:44" x14ac:dyDescent="0.2">
      <c r="B11" s="18">
        <v>4.47</v>
      </c>
      <c r="C11" s="10" t="s">
        <v>1</v>
      </c>
      <c r="F11" s="10"/>
      <c r="G11" s="10">
        <f>G8*G10</f>
        <v>5.2910204081632646</v>
      </c>
      <c r="H11" s="84" t="s">
        <v>42</v>
      </c>
      <c r="I11" s="10"/>
    </row>
    <row r="12" spans="1:44" x14ac:dyDescent="0.2">
      <c r="A12" t="s">
        <v>28</v>
      </c>
      <c r="B12" s="18">
        <v>85</v>
      </c>
      <c r="C12" s="15" t="s">
        <v>8</v>
      </c>
      <c r="F12" s="10"/>
      <c r="G12" s="10"/>
      <c r="H12" s="10"/>
      <c r="I12" s="10"/>
      <c r="J12" s="64" t="s">
        <v>26</v>
      </c>
    </row>
    <row r="13" spans="1:44" x14ac:dyDescent="0.2">
      <c r="A13" t="s">
        <v>29</v>
      </c>
      <c r="C13" s="10"/>
      <c r="D13" s="69"/>
      <c r="E13" s="10"/>
      <c r="F13" s="10"/>
      <c r="G13" s="10"/>
      <c r="H13" s="10"/>
      <c r="I13" s="10"/>
    </row>
    <row r="14" spans="1:44" x14ac:dyDescent="0.2">
      <c r="A14" t="s">
        <v>30</v>
      </c>
      <c r="C14" s="71"/>
      <c r="D14" s="70">
        <v>1</v>
      </c>
      <c r="E14" s="10"/>
      <c r="F14" s="10"/>
      <c r="G14" s="24" t="s">
        <v>13</v>
      </c>
      <c r="H14" s="10"/>
      <c r="I14" s="10"/>
    </row>
    <row r="15" spans="1:44" x14ac:dyDescent="0.2">
      <c r="A15" t="s">
        <v>31</v>
      </c>
      <c r="B15" s="2" t="s">
        <v>10</v>
      </c>
      <c r="C15" s="19" t="s">
        <v>9</v>
      </c>
      <c r="D15" s="19" t="s">
        <v>10</v>
      </c>
      <c r="E15" s="25" t="s">
        <v>12</v>
      </c>
      <c r="F15" s="19" t="s">
        <v>11</v>
      </c>
      <c r="G15" s="26" t="s">
        <v>11</v>
      </c>
      <c r="H15" s="19" t="s">
        <v>11</v>
      </c>
      <c r="I15" s="17"/>
      <c r="J15" s="11"/>
      <c r="K15" s="12"/>
      <c r="L15" s="12"/>
      <c r="M15" s="12"/>
      <c r="N15" s="12"/>
      <c r="O15" s="12"/>
      <c r="P15" s="12"/>
      <c r="Q15" s="12"/>
      <c r="R15" s="12"/>
      <c r="S15" s="37" t="s">
        <v>5</v>
      </c>
      <c r="T15" s="12"/>
      <c r="U15" s="12"/>
      <c r="V15" s="12"/>
      <c r="W15" s="13"/>
      <c r="AA15" s="11"/>
      <c r="AB15" s="12"/>
      <c r="AC15" s="12"/>
      <c r="AD15" s="12"/>
      <c r="AE15" s="12"/>
      <c r="AF15" s="12"/>
      <c r="AG15" s="12"/>
      <c r="AH15" s="12"/>
      <c r="AI15" s="12"/>
      <c r="AJ15" s="37" t="s">
        <v>5</v>
      </c>
      <c r="AK15" s="12"/>
      <c r="AL15" s="12"/>
      <c r="AM15" s="12"/>
      <c r="AN15" s="13"/>
    </row>
    <row r="16" spans="1:44" ht="15" x14ac:dyDescent="0.2">
      <c r="B16" s="76">
        <v>-25.45</v>
      </c>
      <c r="C16" s="17">
        <v>1</v>
      </c>
      <c r="D16" s="30">
        <f>B16*$D$14</f>
        <v>-25.45</v>
      </c>
      <c r="E16" s="32">
        <f>D16/C16</f>
        <v>-25.45</v>
      </c>
      <c r="F16" s="78">
        <f>SQRT(12*32.2*E16^2/(4*$B$12*($B$11*56)*$B$10^2))</f>
        <v>0.69992745230334086</v>
      </c>
      <c r="G16" s="80">
        <v>0.69992745230334086</v>
      </c>
      <c r="H16" s="5">
        <f t="shared" ref="H16:H25" si="0">(F16)</f>
        <v>0.69992745230334086</v>
      </c>
      <c r="I16" s="10"/>
      <c r="J16" s="48" t="s">
        <v>20</v>
      </c>
      <c r="K16" s="10"/>
      <c r="L16" s="10"/>
      <c r="M16" s="10"/>
      <c r="N16" s="10"/>
      <c r="O16" s="10"/>
      <c r="P16" s="10"/>
      <c r="Q16" s="10"/>
      <c r="R16" s="10"/>
      <c r="S16" s="45"/>
      <c r="T16" s="10"/>
      <c r="U16" s="10"/>
      <c r="V16" s="10"/>
      <c r="W16" s="16"/>
      <c r="AA16" s="48" t="s">
        <v>20</v>
      </c>
      <c r="AB16" s="10"/>
      <c r="AC16" s="10"/>
      <c r="AD16" s="10"/>
      <c r="AE16" s="10"/>
      <c r="AF16" s="10"/>
      <c r="AG16" s="10"/>
      <c r="AH16" s="10"/>
      <c r="AI16" s="10"/>
      <c r="AJ16" s="45"/>
      <c r="AK16" s="10"/>
      <c r="AL16" s="10"/>
      <c r="AM16" s="10"/>
      <c r="AN16" s="16"/>
    </row>
    <row r="17" spans="1:40" ht="15" x14ac:dyDescent="0.2">
      <c r="B17" s="77">
        <f>-50.9</f>
        <v>-50.9</v>
      </c>
      <c r="C17" s="31">
        <v>2</v>
      </c>
      <c r="D17" s="65">
        <f t="shared" ref="D17:D25" si="1">B17*$D$14</f>
        <v>-50.9</v>
      </c>
      <c r="E17" s="33">
        <f t="shared" ref="E17:E25" si="2">D17/C17</f>
        <v>-25.45</v>
      </c>
      <c r="F17" s="79">
        <f t="shared" ref="F17:F25" si="3">SQRT(12*32.2*E17^2/(4*$B$12*($B$11*56)*$B$10^2))</f>
        <v>0.69992745230334086</v>
      </c>
      <c r="G17" s="81">
        <v>0.69992745230334086</v>
      </c>
      <c r="H17" s="22">
        <f>(F17)</f>
        <v>0.69992745230334086</v>
      </c>
      <c r="I17" s="4"/>
      <c r="J17" s="14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6"/>
      <c r="AA17" s="14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6"/>
    </row>
    <row r="18" spans="1:40" ht="15" x14ac:dyDescent="0.2">
      <c r="B18" s="76">
        <v>-76.36</v>
      </c>
      <c r="C18" s="17">
        <v>3</v>
      </c>
      <c r="D18" s="30">
        <f t="shared" si="1"/>
        <v>-76.36</v>
      </c>
      <c r="E18" s="32">
        <f t="shared" si="2"/>
        <v>-25.453333333333333</v>
      </c>
      <c r="F18" s="78">
        <f t="shared" si="3"/>
        <v>0.70001912583998827</v>
      </c>
      <c r="G18" s="80">
        <v>0.70001912583998827</v>
      </c>
      <c r="H18" s="5">
        <f t="shared" si="0"/>
        <v>0.70001912583998827</v>
      </c>
      <c r="I18" s="4"/>
      <c r="J18" s="14"/>
      <c r="K18" s="10"/>
      <c r="L18" s="23">
        <v>2.4500000000000002</v>
      </c>
      <c r="M18" s="10" t="s">
        <v>0</v>
      </c>
      <c r="N18" s="10"/>
      <c r="O18" s="10"/>
      <c r="P18" s="10"/>
      <c r="Q18" s="23">
        <v>2.5</v>
      </c>
      <c r="R18" s="10" t="s">
        <v>0</v>
      </c>
      <c r="S18" s="10"/>
      <c r="T18" s="10"/>
      <c r="U18" s="10"/>
      <c r="V18" s="23">
        <v>2.5499999999999998</v>
      </c>
      <c r="W18" s="16" t="s">
        <v>0</v>
      </c>
      <c r="AA18" s="14"/>
      <c r="AB18" s="10"/>
      <c r="AC18" s="23">
        <v>2.4500000000000002</v>
      </c>
      <c r="AD18" s="10" t="s">
        <v>0</v>
      </c>
      <c r="AE18" s="10"/>
      <c r="AF18" s="10"/>
      <c r="AG18" s="10"/>
      <c r="AH18" s="23">
        <v>2.5</v>
      </c>
      <c r="AI18" s="10" t="s">
        <v>0</v>
      </c>
      <c r="AJ18" s="10"/>
      <c r="AK18" s="10"/>
      <c r="AL18" s="10"/>
      <c r="AM18" s="23">
        <v>2.5499999999999998</v>
      </c>
      <c r="AN18" s="16" t="s">
        <v>0</v>
      </c>
    </row>
    <row r="19" spans="1:40" ht="15" x14ac:dyDescent="0.2">
      <c r="B19" s="76">
        <v>-101.81</v>
      </c>
      <c r="C19" s="17">
        <v>4</v>
      </c>
      <c r="D19" s="30">
        <f t="shared" si="1"/>
        <v>-101.81</v>
      </c>
      <c r="E19" s="32">
        <f t="shared" si="2"/>
        <v>-25.452500000000001</v>
      </c>
      <c r="F19" s="78">
        <f t="shared" si="3"/>
        <v>0.69999620745582647</v>
      </c>
      <c r="G19" s="80">
        <v>0.69999620745582647</v>
      </c>
      <c r="H19" s="5">
        <f t="shared" si="0"/>
        <v>0.69999620745582647</v>
      </c>
      <c r="I19" s="4"/>
      <c r="J19" s="14"/>
      <c r="K19" s="10"/>
      <c r="L19" s="23">
        <v>4.47</v>
      </c>
      <c r="M19" s="10" t="s">
        <v>1</v>
      </c>
      <c r="N19" s="10"/>
      <c r="O19" s="10"/>
      <c r="P19" s="10"/>
      <c r="Q19" s="23">
        <v>4.6500000000000004</v>
      </c>
      <c r="R19" s="10" t="s">
        <v>1</v>
      </c>
      <c r="S19" s="10"/>
      <c r="T19" s="10"/>
      <c r="U19" s="10"/>
      <c r="V19" s="23">
        <v>4.82</v>
      </c>
      <c r="W19" s="16" t="s">
        <v>1</v>
      </c>
      <c r="AA19" s="14"/>
      <c r="AB19" s="10"/>
      <c r="AC19" s="23">
        <v>4.47</v>
      </c>
      <c r="AD19" s="10" t="s">
        <v>1</v>
      </c>
      <c r="AE19" s="10"/>
      <c r="AF19" s="10"/>
      <c r="AG19" s="10"/>
      <c r="AH19" s="23">
        <v>4.6500000000000004</v>
      </c>
      <c r="AI19" s="10" t="s">
        <v>1</v>
      </c>
      <c r="AJ19" s="10"/>
      <c r="AK19" s="10"/>
      <c r="AL19" s="10"/>
      <c r="AM19" s="23">
        <v>4.82</v>
      </c>
      <c r="AN19" s="16" t="s">
        <v>1</v>
      </c>
    </row>
    <row r="20" spans="1:40" ht="15" x14ac:dyDescent="0.2">
      <c r="B20" s="77">
        <v>-127.27</v>
      </c>
      <c r="C20" s="31">
        <v>5</v>
      </c>
      <c r="D20" s="65">
        <f t="shared" si="1"/>
        <v>-127.27</v>
      </c>
      <c r="E20" s="33">
        <f t="shared" si="2"/>
        <v>-25.454000000000001</v>
      </c>
      <c r="F20" s="79">
        <f t="shared" si="3"/>
        <v>0.70003746054731775</v>
      </c>
      <c r="G20" s="81">
        <v>0.70003746054731775</v>
      </c>
      <c r="H20" s="22">
        <f t="shared" si="0"/>
        <v>0.70003746054731775</v>
      </c>
      <c r="I20" s="4"/>
      <c r="J20" s="14"/>
      <c r="K20" s="10"/>
      <c r="L20" s="23">
        <v>85</v>
      </c>
      <c r="M20" s="10" t="s">
        <v>8</v>
      </c>
      <c r="N20" s="10"/>
      <c r="O20" s="15" t="s">
        <v>27</v>
      </c>
      <c r="P20" s="10"/>
      <c r="Q20" s="23">
        <v>85</v>
      </c>
      <c r="R20" s="10" t="s">
        <v>8</v>
      </c>
      <c r="S20" s="10"/>
      <c r="T20" s="10"/>
      <c r="U20" s="10"/>
      <c r="V20" s="23">
        <v>85</v>
      </c>
      <c r="W20" s="16" t="s">
        <v>8</v>
      </c>
      <c r="AA20" s="14"/>
      <c r="AB20" s="10"/>
      <c r="AC20" s="23">
        <v>85</v>
      </c>
      <c r="AD20" s="10" t="s">
        <v>8</v>
      </c>
      <c r="AE20" s="10"/>
      <c r="AF20" s="10"/>
      <c r="AG20" s="10"/>
      <c r="AH20" s="23">
        <v>85</v>
      </c>
      <c r="AI20" s="10" t="s">
        <v>8</v>
      </c>
      <c r="AJ20" s="10"/>
      <c r="AK20" s="10"/>
      <c r="AL20" s="10"/>
      <c r="AM20" s="23">
        <v>85</v>
      </c>
      <c r="AN20" s="16" t="s">
        <v>8</v>
      </c>
    </row>
    <row r="21" spans="1:40" ht="15" x14ac:dyDescent="0.2">
      <c r="B21" s="76">
        <v>-254.53</v>
      </c>
      <c r="C21" s="17">
        <v>10</v>
      </c>
      <c r="D21" s="30">
        <f t="shared" si="1"/>
        <v>-254.53</v>
      </c>
      <c r="E21" s="32">
        <f t="shared" si="2"/>
        <v>-25.452999999999999</v>
      </c>
      <c r="F21" s="78">
        <f t="shared" si="3"/>
        <v>0.70000995848632352</v>
      </c>
      <c r="G21" s="80">
        <v>0.70000995848632352</v>
      </c>
      <c r="H21" s="5">
        <f t="shared" si="0"/>
        <v>0.70000995848632352</v>
      </c>
      <c r="I21" s="20"/>
      <c r="J21" s="38" t="s">
        <v>9</v>
      </c>
      <c r="K21" s="56" t="s">
        <v>15</v>
      </c>
      <c r="L21" s="28" t="s">
        <v>10</v>
      </c>
      <c r="M21" s="27" t="s">
        <v>11</v>
      </c>
      <c r="N21" s="10"/>
      <c r="O21" s="27" t="s">
        <v>9</v>
      </c>
      <c r="P21" s="56" t="s">
        <v>15</v>
      </c>
      <c r="Q21" s="28" t="s">
        <v>10</v>
      </c>
      <c r="R21" s="27" t="s">
        <v>11</v>
      </c>
      <c r="S21" s="10"/>
      <c r="T21" s="27" t="s">
        <v>9</v>
      </c>
      <c r="U21" s="56" t="s">
        <v>15</v>
      </c>
      <c r="V21" s="28" t="s">
        <v>10</v>
      </c>
      <c r="W21" s="39" t="s">
        <v>11</v>
      </c>
      <c r="AA21" s="38" t="s">
        <v>9</v>
      </c>
      <c r="AB21" s="56" t="s">
        <v>15</v>
      </c>
      <c r="AC21" s="28" t="s">
        <v>10</v>
      </c>
      <c r="AD21" s="27" t="s">
        <v>11</v>
      </c>
      <c r="AE21" s="10"/>
      <c r="AF21" s="27" t="s">
        <v>9</v>
      </c>
      <c r="AG21" s="56" t="s">
        <v>15</v>
      </c>
      <c r="AH21" s="28" t="s">
        <v>10</v>
      </c>
      <c r="AI21" s="27" t="s">
        <v>11</v>
      </c>
      <c r="AJ21" s="10"/>
      <c r="AK21" s="27" t="s">
        <v>9</v>
      </c>
      <c r="AL21" s="56" t="s">
        <v>15</v>
      </c>
      <c r="AM21" s="28" t="s">
        <v>10</v>
      </c>
      <c r="AN21" s="39" t="s">
        <v>11</v>
      </c>
    </row>
    <row r="22" spans="1:40" ht="15" x14ac:dyDescent="0.2">
      <c r="B22" s="76">
        <v>-509.05</v>
      </c>
      <c r="C22" s="17">
        <v>20</v>
      </c>
      <c r="D22" s="30">
        <f t="shared" si="1"/>
        <v>-509.05</v>
      </c>
      <c r="E22" s="32">
        <f t="shared" si="2"/>
        <v>-25.452500000000001</v>
      </c>
      <c r="F22" s="78">
        <f t="shared" si="3"/>
        <v>0.69999620745582647</v>
      </c>
      <c r="G22" s="80">
        <v>0.69999620745582647</v>
      </c>
      <c r="H22" s="5">
        <f t="shared" si="0"/>
        <v>0.69999620745582647</v>
      </c>
      <c r="I22" s="9"/>
      <c r="J22" s="40">
        <v>1</v>
      </c>
      <c r="K22" s="57"/>
      <c r="L22" s="54">
        <v>-26</v>
      </c>
      <c r="M22" s="5">
        <v>0.7</v>
      </c>
      <c r="N22" s="10"/>
      <c r="O22" s="29">
        <v>1</v>
      </c>
      <c r="P22" s="57"/>
      <c r="Q22" s="54">
        <v>-27.04</v>
      </c>
      <c r="R22" s="5">
        <v>0.7</v>
      </c>
      <c r="S22" s="10"/>
      <c r="T22" s="29">
        <v>1</v>
      </c>
      <c r="U22" s="57"/>
      <c r="V22" s="54">
        <v>-28.080000000000002</v>
      </c>
      <c r="W22" s="41">
        <v>0.7</v>
      </c>
      <c r="AA22" s="40">
        <v>1</v>
      </c>
      <c r="AB22" s="57"/>
      <c r="AC22" s="54">
        <v>26</v>
      </c>
      <c r="AD22" s="5">
        <v>0.7</v>
      </c>
      <c r="AE22" s="10"/>
      <c r="AF22" s="29">
        <v>1</v>
      </c>
      <c r="AG22" s="57"/>
      <c r="AH22" s="54">
        <v>27.04</v>
      </c>
      <c r="AI22" s="5">
        <v>0.7</v>
      </c>
      <c r="AJ22" s="10"/>
      <c r="AK22" s="29">
        <v>1</v>
      </c>
      <c r="AL22" s="57"/>
      <c r="AM22" s="54">
        <v>28.080000000000002</v>
      </c>
      <c r="AN22" s="41">
        <v>0.7</v>
      </c>
    </row>
    <row r="23" spans="1:40" ht="15" x14ac:dyDescent="0.2">
      <c r="B23" s="76">
        <v>-763.6</v>
      </c>
      <c r="C23" s="17">
        <v>30</v>
      </c>
      <c r="D23" s="30">
        <f t="shared" si="1"/>
        <v>-763.6</v>
      </c>
      <c r="E23" s="32">
        <f t="shared" si="2"/>
        <v>-25.453333333333333</v>
      </c>
      <c r="F23" s="78">
        <f t="shared" si="3"/>
        <v>0.70001912583998827</v>
      </c>
      <c r="G23" s="80">
        <v>0.70001912583998827</v>
      </c>
      <c r="H23" s="5">
        <f t="shared" si="0"/>
        <v>0.70001912583998827</v>
      </c>
      <c r="I23" s="9"/>
      <c r="J23" s="40">
        <v>2</v>
      </c>
      <c r="K23" s="58">
        <f>L23-L22</f>
        <v>-25</v>
      </c>
      <c r="L23" s="55">
        <v>-51</v>
      </c>
      <c r="M23" s="22">
        <v>0.7</v>
      </c>
      <c r="N23" s="10"/>
      <c r="O23" s="29">
        <v>2</v>
      </c>
      <c r="P23" s="58">
        <f>Q23-Q22</f>
        <v>-26</v>
      </c>
      <c r="Q23" s="55">
        <v>-53.04</v>
      </c>
      <c r="R23" s="22">
        <v>0.7</v>
      </c>
      <c r="S23" s="10"/>
      <c r="T23" s="29">
        <v>2</v>
      </c>
      <c r="U23" s="58">
        <f>V23-V22</f>
        <v>-27.000000000000004</v>
      </c>
      <c r="V23" s="55">
        <v>-55.080000000000005</v>
      </c>
      <c r="W23" s="42">
        <v>0.7</v>
      </c>
      <c r="AA23" s="40">
        <v>2</v>
      </c>
      <c r="AB23" s="58">
        <f>AC23-AC22</f>
        <v>25</v>
      </c>
      <c r="AC23" s="55">
        <v>51</v>
      </c>
      <c r="AD23" s="22">
        <v>0.7</v>
      </c>
      <c r="AE23" s="10"/>
      <c r="AF23" s="29">
        <v>2</v>
      </c>
      <c r="AG23" s="58">
        <f>AH23-AH22</f>
        <v>26</v>
      </c>
      <c r="AH23" s="55">
        <v>53.04</v>
      </c>
      <c r="AI23" s="22">
        <v>0.7</v>
      </c>
      <c r="AJ23" s="10"/>
      <c r="AK23" s="29">
        <v>2</v>
      </c>
      <c r="AL23" s="58">
        <f>AM23-AM22</f>
        <v>27.000000000000004</v>
      </c>
      <c r="AM23" s="55">
        <v>55.080000000000005</v>
      </c>
      <c r="AN23" s="42">
        <v>0.7</v>
      </c>
    </row>
    <row r="24" spans="1:40" ht="15" x14ac:dyDescent="0.2">
      <c r="B24" s="77">
        <v>-1018.1</v>
      </c>
      <c r="C24" s="31">
        <v>40</v>
      </c>
      <c r="D24" s="65">
        <f t="shared" si="1"/>
        <v>-1018.1</v>
      </c>
      <c r="E24" s="33">
        <f t="shared" si="2"/>
        <v>-25.452500000000001</v>
      </c>
      <c r="F24" s="79">
        <f t="shared" si="3"/>
        <v>0.69999620745582647</v>
      </c>
      <c r="G24" s="81">
        <v>0.69999620745582647</v>
      </c>
      <c r="H24" s="22">
        <f t="shared" si="0"/>
        <v>0.69999620745582647</v>
      </c>
      <c r="I24" s="9"/>
      <c r="J24" s="40">
        <v>3</v>
      </c>
      <c r="K24" s="58">
        <f t="shared" ref="K24:K31" si="4">L24-L23</f>
        <v>-25</v>
      </c>
      <c r="L24" s="54">
        <v>-76</v>
      </c>
      <c r="M24" s="5">
        <v>0.7</v>
      </c>
      <c r="N24" s="10"/>
      <c r="O24" s="29">
        <v>3</v>
      </c>
      <c r="P24" s="58">
        <f t="shared" ref="P24:P31" si="5">Q24-Q23</f>
        <v>-26.000000000000007</v>
      </c>
      <c r="Q24" s="54">
        <v>-79.040000000000006</v>
      </c>
      <c r="R24" s="5">
        <v>0.7</v>
      </c>
      <c r="S24" s="10"/>
      <c r="T24" s="29">
        <v>3</v>
      </c>
      <c r="U24" s="58">
        <f t="shared" ref="U24:U31" si="6">V24-V23</f>
        <v>-27.000000000000007</v>
      </c>
      <c r="V24" s="54">
        <v>-82.080000000000013</v>
      </c>
      <c r="W24" s="41">
        <v>0.7</v>
      </c>
      <c r="AA24" s="40">
        <v>3</v>
      </c>
      <c r="AB24" s="58">
        <f t="shared" ref="AB24:AB31" si="7">AC24-AC23</f>
        <v>25</v>
      </c>
      <c r="AC24" s="54">
        <v>76</v>
      </c>
      <c r="AD24" s="5">
        <v>0.7</v>
      </c>
      <c r="AE24" s="10"/>
      <c r="AF24" s="29">
        <v>3</v>
      </c>
      <c r="AG24" s="58">
        <f t="shared" ref="AG24:AG31" si="8">AH24-AH23</f>
        <v>26.000000000000007</v>
      </c>
      <c r="AH24" s="54">
        <v>79.040000000000006</v>
      </c>
      <c r="AI24" s="5">
        <v>0.7</v>
      </c>
      <c r="AJ24" s="10"/>
      <c r="AK24" s="29">
        <v>3</v>
      </c>
      <c r="AL24" s="58">
        <f t="shared" ref="AL24:AL31" si="9">AM24-AM23</f>
        <v>27.000000000000007</v>
      </c>
      <c r="AM24" s="54">
        <v>82.080000000000013</v>
      </c>
      <c r="AN24" s="41">
        <v>0.7</v>
      </c>
    </row>
    <row r="25" spans="1:40" ht="15" x14ac:dyDescent="0.2">
      <c r="B25" s="76">
        <v>-1272.6099999999999</v>
      </c>
      <c r="C25" s="17">
        <v>50</v>
      </c>
      <c r="D25" s="30">
        <f t="shared" si="1"/>
        <v>-1272.6099999999999</v>
      </c>
      <c r="E25" s="32">
        <f t="shared" si="2"/>
        <v>-25.452199999999998</v>
      </c>
      <c r="F25" s="78">
        <f t="shared" si="3"/>
        <v>0.69998795683752812</v>
      </c>
      <c r="G25" s="80">
        <v>0.69998795683752812</v>
      </c>
      <c r="H25" s="5">
        <f t="shared" si="0"/>
        <v>0.69998795683752812</v>
      </c>
      <c r="I25" s="9"/>
      <c r="J25" s="40">
        <v>4</v>
      </c>
      <c r="K25" s="58">
        <f t="shared" si="4"/>
        <v>-26</v>
      </c>
      <c r="L25" s="54">
        <v>-102</v>
      </c>
      <c r="M25" s="5">
        <v>0.7</v>
      </c>
      <c r="N25" s="10"/>
      <c r="O25" s="29">
        <v>4</v>
      </c>
      <c r="P25" s="58">
        <f t="shared" si="5"/>
        <v>-27.039999999999992</v>
      </c>
      <c r="Q25" s="54">
        <v>-106.08</v>
      </c>
      <c r="R25" s="5">
        <v>0.7</v>
      </c>
      <c r="S25" s="10"/>
      <c r="T25" s="29">
        <v>4</v>
      </c>
      <c r="U25" s="58">
        <f>V25-V24</f>
        <v>-28.08</v>
      </c>
      <c r="V25" s="54">
        <v>-110.16000000000001</v>
      </c>
      <c r="W25" s="41">
        <v>0.7</v>
      </c>
      <c r="AA25" s="40">
        <v>4</v>
      </c>
      <c r="AB25" s="58">
        <f t="shared" si="7"/>
        <v>26</v>
      </c>
      <c r="AC25" s="54">
        <v>102</v>
      </c>
      <c r="AD25" s="5">
        <v>0.7</v>
      </c>
      <c r="AE25" s="10"/>
      <c r="AF25" s="29">
        <v>4</v>
      </c>
      <c r="AG25" s="58">
        <f t="shared" si="8"/>
        <v>27.039999999999992</v>
      </c>
      <c r="AH25" s="54">
        <v>106.08</v>
      </c>
      <c r="AI25" s="5">
        <v>0.7</v>
      </c>
      <c r="AJ25" s="10"/>
      <c r="AK25" s="29">
        <v>4</v>
      </c>
      <c r="AL25" s="58">
        <f t="shared" si="9"/>
        <v>28.08</v>
      </c>
      <c r="AM25" s="54">
        <v>110.16000000000001</v>
      </c>
      <c r="AN25" s="41">
        <v>0.7</v>
      </c>
    </row>
    <row r="26" spans="1:40" x14ac:dyDescent="0.2">
      <c r="A26" s="72" t="s">
        <v>16</v>
      </c>
      <c r="B26" s="73">
        <f>B24/B21</f>
        <v>3.999921423800731</v>
      </c>
      <c r="C26" s="10"/>
      <c r="D26" s="36" t="s">
        <v>14</v>
      </c>
      <c r="E26" s="10"/>
      <c r="F26" s="10"/>
      <c r="G26" s="10"/>
      <c r="H26" s="36"/>
      <c r="I26" s="9"/>
      <c r="J26" s="40">
        <v>5</v>
      </c>
      <c r="K26" s="58">
        <f t="shared" si="4"/>
        <v>-25</v>
      </c>
      <c r="L26" s="55">
        <v>-127</v>
      </c>
      <c r="M26" s="22">
        <v>0.7</v>
      </c>
      <c r="N26" s="10"/>
      <c r="O26" s="29">
        <v>5</v>
      </c>
      <c r="P26" s="58">
        <f t="shared" si="5"/>
        <v>-26.000000000000014</v>
      </c>
      <c r="Q26" s="55">
        <v>-132.08000000000001</v>
      </c>
      <c r="R26" s="22">
        <v>0.7</v>
      </c>
      <c r="S26" s="10"/>
      <c r="T26" s="29">
        <v>5</v>
      </c>
      <c r="U26" s="58">
        <f t="shared" si="6"/>
        <v>-26.999999999999986</v>
      </c>
      <c r="V26" s="55">
        <v>-137.16</v>
      </c>
      <c r="W26" s="42">
        <v>0.7</v>
      </c>
      <c r="AA26" s="40">
        <v>5</v>
      </c>
      <c r="AB26" s="58">
        <f t="shared" si="7"/>
        <v>25</v>
      </c>
      <c r="AC26" s="55">
        <v>127</v>
      </c>
      <c r="AD26" s="22">
        <v>0.7</v>
      </c>
      <c r="AE26" s="10"/>
      <c r="AF26" s="29">
        <v>5</v>
      </c>
      <c r="AG26" s="58">
        <f t="shared" si="8"/>
        <v>26.000000000000014</v>
      </c>
      <c r="AH26" s="55">
        <v>132.08000000000001</v>
      </c>
      <c r="AI26" s="22">
        <v>0.7</v>
      </c>
      <c r="AJ26" s="10"/>
      <c r="AK26" s="29">
        <v>5</v>
      </c>
      <c r="AL26" s="58">
        <f t="shared" si="9"/>
        <v>26.999999999999986</v>
      </c>
      <c r="AM26" s="55">
        <v>137.16</v>
      </c>
      <c r="AN26" s="42">
        <v>0.7</v>
      </c>
    </row>
    <row r="27" spans="1:40" x14ac:dyDescent="0.2">
      <c r="C27" s="10"/>
      <c r="D27" s="36"/>
      <c r="E27" s="10"/>
      <c r="F27" s="10"/>
      <c r="G27" s="10"/>
      <c r="H27" s="36"/>
      <c r="I27" s="9"/>
      <c r="J27" s="40">
        <v>10</v>
      </c>
      <c r="K27" s="58">
        <f t="shared" si="4"/>
        <v>-128</v>
      </c>
      <c r="L27" s="54">
        <v>-255</v>
      </c>
      <c r="M27" s="5">
        <v>0.7</v>
      </c>
      <c r="N27" s="46"/>
      <c r="O27" s="29">
        <v>10</v>
      </c>
      <c r="P27" s="58">
        <f t="shared" si="5"/>
        <v>-133.11999999999998</v>
      </c>
      <c r="Q27" s="54">
        <v>-265.2</v>
      </c>
      <c r="R27" s="5">
        <v>0.7</v>
      </c>
      <c r="S27" s="10"/>
      <c r="T27" s="29">
        <v>10</v>
      </c>
      <c r="U27" s="58">
        <f t="shared" si="6"/>
        <v>-138.24000000000004</v>
      </c>
      <c r="V27" s="54">
        <v>-275.40000000000003</v>
      </c>
      <c r="W27" s="41">
        <v>0.7</v>
      </c>
      <c r="AA27" s="40">
        <v>10</v>
      </c>
      <c r="AB27" s="58">
        <f t="shared" si="7"/>
        <v>128</v>
      </c>
      <c r="AC27" s="54">
        <v>255</v>
      </c>
      <c r="AD27" s="5">
        <v>0.7</v>
      </c>
      <c r="AE27" s="46"/>
      <c r="AF27" s="29">
        <v>10</v>
      </c>
      <c r="AG27" s="58">
        <f t="shared" si="8"/>
        <v>133.11999999999998</v>
      </c>
      <c r="AH27" s="54">
        <v>265.2</v>
      </c>
      <c r="AI27" s="5">
        <v>0.7</v>
      </c>
      <c r="AJ27" s="10"/>
      <c r="AK27" s="29">
        <v>10</v>
      </c>
      <c r="AL27" s="58">
        <f t="shared" si="9"/>
        <v>138.24000000000004</v>
      </c>
      <c r="AM27" s="54">
        <v>275.40000000000003</v>
      </c>
      <c r="AN27" s="41">
        <v>0.7</v>
      </c>
    </row>
    <row r="28" spans="1:40" x14ac:dyDescent="0.2">
      <c r="F28" s="10"/>
      <c r="H28" s="36"/>
      <c r="I28" s="9"/>
      <c r="J28" s="40">
        <v>20</v>
      </c>
      <c r="K28" s="58">
        <f t="shared" si="4"/>
        <v>-254</v>
      </c>
      <c r="L28" s="54">
        <v>-509</v>
      </c>
      <c r="M28" s="5">
        <v>0.7</v>
      </c>
      <c r="N28" s="10"/>
      <c r="O28" s="29">
        <v>20</v>
      </c>
      <c r="P28" s="58">
        <f t="shared" si="5"/>
        <v>-264.16000000000003</v>
      </c>
      <c r="Q28" s="54">
        <v>-529.36</v>
      </c>
      <c r="R28" s="5">
        <v>0.7</v>
      </c>
      <c r="S28" s="10"/>
      <c r="T28" s="29">
        <v>20</v>
      </c>
      <c r="U28" s="58">
        <f t="shared" si="6"/>
        <v>-274.32</v>
      </c>
      <c r="V28" s="54">
        <v>-549.72</v>
      </c>
      <c r="W28" s="41">
        <v>0.7</v>
      </c>
      <c r="AA28" s="40">
        <v>20</v>
      </c>
      <c r="AB28" s="58">
        <f t="shared" si="7"/>
        <v>254</v>
      </c>
      <c r="AC28" s="54">
        <v>509</v>
      </c>
      <c r="AD28" s="5">
        <v>0.7</v>
      </c>
      <c r="AE28" s="10"/>
      <c r="AF28" s="29">
        <v>20</v>
      </c>
      <c r="AG28" s="58">
        <f t="shared" si="8"/>
        <v>264.16000000000003</v>
      </c>
      <c r="AH28" s="54">
        <v>529.36</v>
      </c>
      <c r="AI28" s="5">
        <v>0.7</v>
      </c>
      <c r="AJ28" s="10"/>
      <c r="AK28" s="29">
        <v>20</v>
      </c>
      <c r="AL28" s="58">
        <f t="shared" si="9"/>
        <v>274.32</v>
      </c>
      <c r="AM28" s="54">
        <v>549.72</v>
      </c>
      <c r="AN28" s="41">
        <v>0.7</v>
      </c>
    </row>
    <row r="29" spans="1:40" x14ac:dyDescent="0.2">
      <c r="F29" s="10"/>
      <c r="H29" s="36"/>
      <c r="I29" s="9"/>
      <c r="J29" s="40">
        <v>30</v>
      </c>
      <c r="K29" s="58">
        <f t="shared" si="4"/>
        <v>-255</v>
      </c>
      <c r="L29" s="54">
        <v>-764</v>
      </c>
      <c r="M29" s="5">
        <v>0.7</v>
      </c>
      <c r="N29" s="10"/>
      <c r="O29" s="29">
        <v>30</v>
      </c>
      <c r="P29" s="58">
        <f t="shared" si="5"/>
        <v>-265.20000000000005</v>
      </c>
      <c r="Q29" s="54">
        <v>-794.56000000000006</v>
      </c>
      <c r="R29" s="5">
        <v>0.7</v>
      </c>
      <c r="S29" s="10"/>
      <c r="T29" s="29">
        <v>30</v>
      </c>
      <c r="U29" s="58">
        <f t="shared" si="6"/>
        <v>-275.39999999999998</v>
      </c>
      <c r="V29" s="54">
        <v>-825.12</v>
      </c>
      <c r="W29" s="41">
        <v>0.7</v>
      </c>
      <c r="AA29" s="40">
        <v>30</v>
      </c>
      <c r="AB29" s="58">
        <f t="shared" si="7"/>
        <v>255</v>
      </c>
      <c r="AC29" s="54">
        <v>764</v>
      </c>
      <c r="AD29" s="5">
        <v>0.7</v>
      </c>
      <c r="AE29" s="10"/>
      <c r="AF29" s="29">
        <v>30</v>
      </c>
      <c r="AG29" s="58">
        <f t="shared" si="8"/>
        <v>265.20000000000005</v>
      </c>
      <c r="AH29" s="54">
        <v>794.56000000000006</v>
      </c>
      <c r="AI29" s="5">
        <v>0.7</v>
      </c>
      <c r="AJ29" s="10"/>
      <c r="AK29" s="29">
        <v>30</v>
      </c>
      <c r="AL29" s="58">
        <f t="shared" si="9"/>
        <v>275.39999999999998</v>
      </c>
      <c r="AM29" s="54">
        <v>825.12</v>
      </c>
      <c r="AN29" s="41">
        <v>0.7</v>
      </c>
    </row>
    <row r="30" spans="1:40" x14ac:dyDescent="0.2">
      <c r="J30" s="40">
        <v>40</v>
      </c>
      <c r="K30" s="58">
        <f t="shared" si="4"/>
        <v>-254</v>
      </c>
      <c r="L30" s="55">
        <v>-1018</v>
      </c>
      <c r="M30" s="22">
        <v>0.7</v>
      </c>
      <c r="N30" s="10"/>
      <c r="O30" s="29">
        <v>40</v>
      </c>
      <c r="P30" s="58">
        <f t="shared" si="5"/>
        <v>-264.15999999999997</v>
      </c>
      <c r="Q30" s="55">
        <v>-1058.72</v>
      </c>
      <c r="R30" s="22">
        <v>0.7</v>
      </c>
      <c r="S30" s="10"/>
      <c r="T30" s="29">
        <v>40</v>
      </c>
      <c r="U30" s="58">
        <f t="shared" si="6"/>
        <v>-274.32000000000005</v>
      </c>
      <c r="V30" s="55">
        <v>-1099.44</v>
      </c>
      <c r="W30" s="42">
        <v>0.7</v>
      </c>
      <c r="AA30" s="40">
        <v>40</v>
      </c>
      <c r="AB30" s="58">
        <f t="shared" si="7"/>
        <v>254</v>
      </c>
      <c r="AC30" s="55">
        <v>1018</v>
      </c>
      <c r="AD30" s="22">
        <v>0.7</v>
      </c>
      <c r="AE30" s="10"/>
      <c r="AF30" s="29">
        <v>40</v>
      </c>
      <c r="AG30" s="58">
        <f t="shared" si="8"/>
        <v>264.15999999999997</v>
      </c>
      <c r="AH30" s="55">
        <v>1058.72</v>
      </c>
      <c r="AI30" s="22">
        <v>0.7</v>
      </c>
      <c r="AJ30" s="10"/>
      <c r="AK30" s="29">
        <v>40</v>
      </c>
      <c r="AL30" s="58">
        <f t="shared" si="9"/>
        <v>274.32000000000005</v>
      </c>
      <c r="AM30" s="55">
        <v>1099.44</v>
      </c>
      <c r="AN30" s="42">
        <v>0.7</v>
      </c>
    </row>
    <row r="31" spans="1:40" x14ac:dyDescent="0.2">
      <c r="A31" s="74" t="s">
        <v>35</v>
      </c>
      <c r="B31" s="12"/>
      <c r="C31" s="12"/>
      <c r="D31" s="12"/>
      <c r="E31" s="12"/>
      <c r="F31" s="13"/>
      <c r="G31" s="63">
        <v>3.8660999999999999</v>
      </c>
      <c r="J31" s="40">
        <v>50</v>
      </c>
      <c r="K31" s="58">
        <f t="shared" si="4"/>
        <v>-254</v>
      </c>
      <c r="L31" s="54">
        <v>-1272</v>
      </c>
      <c r="M31" s="5">
        <v>0.7</v>
      </c>
      <c r="N31" s="10"/>
      <c r="O31" s="29">
        <v>50</v>
      </c>
      <c r="P31" s="58">
        <f t="shared" si="5"/>
        <v>-264.16000000000008</v>
      </c>
      <c r="Q31" s="54">
        <v>-1322.88</v>
      </c>
      <c r="R31" s="5">
        <v>0.7</v>
      </c>
      <c r="S31" s="10"/>
      <c r="T31" s="29">
        <v>50</v>
      </c>
      <c r="U31" s="58">
        <f t="shared" si="6"/>
        <v>-274.31999999999994</v>
      </c>
      <c r="V31" s="54">
        <v>-1373.76</v>
      </c>
      <c r="W31" s="41">
        <v>0.7</v>
      </c>
      <c r="AA31" s="40">
        <v>50</v>
      </c>
      <c r="AB31" s="58">
        <f t="shared" si="7"/>
        <v>254</v>
      </c>
      <c r="AC31" s="54">
        <v>1272</v>
      </c>
      <c r="AD31" s="5">
        <v>0.7</v>
      </c>
      <c r="AE31" s="10"/>
      <c r="AF31" s="29">
        <v>50</v>
      </c>
      <c r="AG31" s="58">
        <f t="shared" si="8"/>
        <v>264.16000000000008</v>
      </c>
      <c r="AH31" s="54">
        <v>1322.88</v>
      </c>
      <c r="AI31" s="5">
        <v>0.7</v>
      </c>
      <c r="AJ31" s="10"/>
      <c r="AK31" s="29">
        <v>50</v>
      </c>
      <c r="AL31" s="58">
        <f t="shared" si="9"/>
        <v>274.31999999999994</v>
      </c>
      <c r="AM31" s="54">
        <v>1373.76</v>
      </c>
      <c r="AN31" s="41">
        <v>0.7</v>
      </c>
    </row>
    <row r="32" spans="1:40" x14ac:dyDescent="0.2">
      <c r="A32" s="14"/>
      <c r="B32" s="10"/>
      <c r="C32" s="10"/>
      <c r="D32" s="10"/>
      <c r="E32" s="10"/>
      <c r="F32" s="16"/>
      <c r="G32" s="63">
        <v>-5.0544000000000002</v>
      </c>
      <c r="J32" s="49" t="s">
        <v>16</v>
      </c>
      <c r="K32" s="50">
        <f>L30/L27</f>
        <v>3.9921568627450981</v>
      </c>
      <c r="L32" s="30"/>
      <c r="M32" s="5"/>
      <c r="N32" s="10"/>
      <c r="O32" s="51" t="s">
        <v>16</v>
      </c>
      <c r="P32" s="50">
        <f>Q30/Q27</f>
        <v>3.9921568627450985</v>
      </c>
      <c r="Q32" s="30"/>
      <c r="R32" s="5"/>
      <c r="S32" s="10"/>
      <c r="T32" s="51" t="s">
        <v>16</v>
      </c>
      <c r="U32" s="50">
        <f>V30/V27</f>
        <v>3.9921568627450976</v>
      </c>
      <c r="V32" s="30"/>
      <c r="W32" s="41"/>
      <c r="AA32" s="49" t="s">
        <v>16</v>
      </c>
      <c r="AB32" s="50">
        <f>AC30/AC27</f>
        <v>3.9921568627450981</v>
      </c>
      <c r="AC32" s="30"/>
      <c r="AD32" s="5"/>
      <c r="AE32" s="10"/>
      <c r="AF32" s="51" t="s">
        <v>16</v>
      </c>
      <c r="AG32" s="50">
        <f>AH30/AH27</f>
        <v>3.9921568627450985</v>
      </c>
      <c r="AH32" s="30"/>
      <c r="AI32" s="5"/>
      <c r="AJ32" s="10"/>
      <c r="AK32" s="49" t="s">
        <v>16</v>
      </c>
      <c r="AL32" s="50">
        <f>AM30/AM27</f>
        <v>3.9921568627450976</v>
      </c>
      <c r="AM32" s="30"/>
      <c r="AN32" s="41"/>
    </row>
    <row r="33" spans="1:40" x14ac:dyDescent="0.2">
      <c r="A33" s="14"/>
      <c r="B33" s="19" t="s">
        <v>2</v>
      </c>
      <c r="C33" s="19" t="s">
        <v>3</v>
      </c>
      <c r="D33" s="19" t="s">
        <v>4</v>
      </c>
      <c r="E33" s="66" t="s">
        <v>33</v>
      </c>
      <c r="F33" s="16"/>
      <c r="G33" s="82" t="s">
        <v>36</v>
      </c>
      <c r="J33" s="14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6"/>
      <c r="AA33" s="14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6"/>
    </row>
    <row r="34" spans="1:40" x14ac:dyDescent="0.2">
      <c r="A34" s="14"/>
      <c r="B34" s="5">
        <v>2.4500000000000002</v>
      </c>
      <c r="C34" s="6">
        <v>4.47</v>
      </c>
      <c r="D34" s="6">
        <v>6</v>
      </c>
      <c r="E34" s="67">
        <v>1</v>
      </c>
      <c r="F34" s="16"/>
      <c r="G34" s="83">
        <f>(G$31*B34)+G$32</f>
        <v>4.4175449999999996</v>
      </c>
      <c r="J34" s="14"/>
      <c r="K34" s="10"/>
      <c r="L34" s="23">
        <v>2.6</v>
      </c>
      <c r="M34" s="10" t="s">
        <v>0</v>
      </c>
      <c r="N34" s="10"/>
      <c r="O34" s="10"/>
      <c r="P34" s="10"/>
      <c r="Q34" s="23">
        <v>2.65</v>
      </c>
      <c r="R34" s="10" t="s">
        <v>0</v>
      </c>
      <c r="S34" s="10"/>
      <c r="T34" s="10"/>
      <c r="U34" s="10"/>
      <c r="V34" s="23">
        <v>2.7</v>
      </c>
      <c r="W34" s="16" t="s">
        <v>0</v>
      </c>
      <c r="AA34" s="14"/>
      <c r="AB34" s="10"/>
      <c r="AC34" s="23">
        <v>2.6</v>
      </c>
      <c r="AD34" s="10" t="s">
        <v>0</v>
      </c>
      <c r="AE34" s="10"/>
      <c r="AF34" s="10"/>
      <c r="AG34" s="10"/>
      <c r="AH34" s="23">
        <v>2.65</v>
      </c>
      <c r="AI34" s="10" t="s">
        <v>0</v>
      </c>
      <c r="AJ34" s="10"/>
      <c r="AK34" s="10"/>
      <c r="AL34" s="10"/>
      <c r="AM34" s="23">
        <v>2.7</v>
      </c>
      <c r="AN34" s="16" t="s">
        <v>0</v>
      </c>
    </row>
    <row r="35" spans="1:40" x14ac:dyDescent="0.2">
      <c r="A35" s="14"/>
      <c r="B35" s="5">
        <v>2.5000680331013507</v>
      </c>
      <c r="C35" s="6">
        <v>4.6500000000000004</v>
      </c>
      <c r="D35" s="6">
        <v>6</v>
      </c>
      <c r="E35" s="67">
        <v>1.04</v>
      </c>
      <c r="F35" s="16"/>
      <c r="G35" s="83">
        <f t="shared" ref="G35:G47" si="10">(G$31*B35)+G$32</f>
        <v>4.6111130227731314</v>
      </c>
      <c r="J35" s="14"/>
      <c r="K35" s="10"/>
      <c r="L35" s="35">
        <v>5</v>
      </c>
      <c r="M35" s="10" t="s">
        <v>1</v>
      </c>
      <c r="N35" s="10"/>
      <c r="O35" s="10"/>
      <c r="P35" s="10"/>
      <c r="Q35" s="23">
        <v>5.18</v>
      </c>
      <c r="R35" s="10" t="s">
        <v>1</v>
      </c>
      <c r="S35" s="10"/>
      <c r="T35" s="10"/>
      <c r="U35" s="10"/>
      <c r="V35" s="23">
        <v>5.36</v>
      </c>
      <c r="W35" s="16" t="s">
        <v>1</v>
      </c>
      <c r="AA35" s="14"/>
      <c r="AB35" s="10"/>
      <c r="AC35" s="35">
        <v>5</v>
      </c>
      <c r="AD35" s="10" t="s">
        <v>1</v>
      </c>
      <c r="AE35" s="10"/>
      <c r="AF35" s="10"/>
      <c r="AG35" s="10"/>
      <c r="AH35" s="23">
        <v>5.18</v>
      </c>
      <c r="AI35" s="10" t="s">
        <v>1</v>
      </c>
      <c r="AJ35" s="10"/>
      <c r="AK35" s="10"/>
      <c r="AL35" s="10"/>
      <c r="AM35" s="23">
        <v>5.36</v>
      </c>
      <c r="AN35" s="16" t="s">
        <v>1</v>
      </c>
    </row>
    <row r="36" spans="1:40" x14ac:dyDescent="0.2">
      <c r="A36" s="14"/>
      <c r="B36" s="5">
        <v>2.5501786911101423</v>
      </c>
      <c r="C36" s="6">
        <v>4.82</v>
      </c>
      <c r="D36" s="6">
        <v>6</v>
      </c>
      <c r="E36" s="67">
        <v>1.08</v>
      </c>
      <c r="F36" s="16"/>
      <c r="G36" s="83">
        <f t="shared" si="10"/>
        <v>4.8048458377009213</v>
      </c>
      <c r="J36" s="14"/>
      <c r="K36" s="10"/>
      <c r="L36" s="23">
        <v>85</v>
      </c>
      <c r="M36" s="10" t="s">
        <v>8</v>
      </c>
      <c r="N36" s="10"/>
      <c r="O36" s="10"/>
      <c r="P36" s="10"/>
      <c r="Q36" s="23">
        <v>85</v>
      </c>
      <c r="R36" s="10" t="s">
        <v>8</v>
      </c>
      <c r="S36" s="10"/>
      <c r="T36" s="10"/>
      <c r="U36" s="10"/>
      <c r="V36" s="23">
        <v>85</v>
      </c>
      <c r="W36" s="16" t="s">
        <v>8</v>
      </c>
      <c r="AA36" s="14"/>
      <c r="AB36" s="10"/>
      <c r="AC36" s="23">
        <v>85</v>
      </c>
      <c r="AD36" s="10" t="s">
        <v>8</v>
      </c>
      <c r="AE36" s="10"/>
      <c r="AF36" s="10"/>
      <c r="AG36" s="10"/>
      <c r="AH36" s="23">
        <v>85</v>
      </c>
      <c r="AI36" s="10" t="s">
        <v>8</v>
      </c>
      <c r="AJ36" s="10"/>
      <c r="AK36" s="10"/>
      <c r="AL36" s="10"/>
      <c r="AM36" s="23">
        <v>85</v>
      </c>
      <c r="AN36" s="16" t="s">
        <v>8</v>
      </c>
    </row>
    <row r="37" spans="1:40" x14ac:dyDescent="0.2">
      <c r="A37" s="14"/>
      <c r="B37" s="5">
        <v>2.6</v>
      </c>
      <c r="C37" s="6">
        <v>5</v>
      </c>
      <c r="D37" s="6">
        <v>6</v>
      </c>
      <c r="E37" s="67">
        <v>1.1220000000000001</v>
      </c>
      <c r="F37" s="16"/>
      <c r="G37" s="83">
        <f t="shared" si="10"/>
        <v>4.9974599999999993</v>
      </c>
      <c r="J37" s="38" t="s">
        <v>9</v>
      </c>
      <c r="K37" s="56" t="s">
        <v>15</v>
      </c>
      <c r="L37" s="28" t="s">
        <v>10</v>
      </c>
      <c r="M37" s="27" t="s">
        <v>11</v>
      </c>
      <c r="N37" s="10"/>
      <c r="O37" s="27" t="s">
        <v>9</v>
      </c>
      <c r="P37" s="56" t="s">
        <v>15</v>
      </c>
      <c r="Q37" s="28" t="s">
        <v>10</v>
      </c>
      <c r="R37" s="27" t="s">
        <v>11</v>
      </c>
      <c r="S37" s="10"/>
      <c r="T37" s="27" t="s">
        <v>9</v>
      </c>
      <c r="U37" s="56" t="s">
        <v>15</v>
      </c>
      <c r="V37" s="28" t="s">
        <v>10</v>
      </c>
      <c r="W37" s="39" t="s">
        <v>11</v>
      </c>
      <c r="AA37" s="38" t="s">
        <v>9</v>
      </c>
      <c r="AB37" s="56" t="s">
        <v>15</v>
      </c>
      <c r="AC37" s="28" t="s">
        <v>10</v>
      </c>
      <c r="AD37" s="27" t="s">
        <v>11</v>
      </c>
      <c r="AE37" s="10"/>
      <c r="AF37" s="27" t="s">
        <v>9</v>
      </c>
      <c r="AG37" s="56" t="s">
        <v>15</v>
      </c>
      <c r="AH37" s="28" t="s">
        <v>10</v>
      </c>
      <c r="AI37" s="27" t="s">
        <v>11</v>
      </c>
      <c r="AJ37" s="10"/>
      <c r="AK37" s="27" t="s">
        <v>9</v>
      </c>
      <c r="AL37" s="56" t="s">
        <v>15</v>
      </c>
      <c r="AM37" s="28" t="s">
        <v>10</v>
      </c>
      <c r="AN37" s="39" t="s">
        <v>11</v>
      </c>
    </row>
    <row r="38" spans="1:40" x14ac:dyDescent="0.2">
      <c r="A38" s="14"/>
      <c r="B38" s="5">
        <v>2.6496440938966015</v>
      </c>
      <c r="C38" s="6">
        <v>5.18</v>
      </c>
      <c r="D38" s="6">
        <v>6</v>
      </c>
      <c r="E38" s="67">
        <v>1.1639999999999999</v>
      </c>
      <c r="F38" s="16"/>
      <c r="G38" s="83">
        <f t="shared" si="10"/>
        <v>5.1893890314136497</v>
      </c>
      <c r="J38" s="40">
        <v>1</v>
      </c>
      <c r="K38" s="57"/>
      <c r="L38" s="54">
        <v>-29.172000000000004</v>
      </c>
      <c r="M38" s="5">
        <v>0.7</v>
      </c>
      <c r="N38" s="10"/>
      <c r="O38" s="29">
        <v>1</v>
      </c>
      <c r="P38" s="57"/>
      <c r="Q38" s="54">
        <v>-30.263999999999999</v>
      </c>
      <c r="R38" s="5">
        <v>0.7</v>
      </c>
      <c r="S38" s="10"/>
      <c r="T38" s="29">
        <v>1</v>
      </c>
      <c r="U38" s="57"/>
      <c r="V38" s="54">
        <v>-31.382000000000001</v>
      </c>
      <c r="W38" s="41">
        <v>0.7</v>
      </c>
      <c r="AA38" s="40">
        <v>1</v>
      </c>
      <c r="AB38" s="57"/>
      <c r="AC38" s="54">
        <v>29.172000000000004</v>
      </c>
      <c r="AD38" s="5">
        <v>0.7</v>
      </c>
      <c r="AE38" s="10"/>
      <c r="AF38" s="29">
        <v>1</v>
      </c>
      <c r="AG38" s="57"/>
      <c r="AH38" s="54">
        <v>30.263999999999999</v>
      </c>
      <c r="AI38" s="5">
        <v>0.7</v>
      </c>
      <c r="AJ38" s="10"/>
      <c r="AK38" s="29">
        <v>1</v>
      </c>
      <c r="AL38" s="57"/>
      <c r="AM38" s="54">
        <v>31.382000000000001</v>
      </c>
      <c r="AN38" s="41">
        <v>0.7</v>
      </c>
    </row>
    <row r="39" spans="1:40" x14ac:dyDescent="0.2">
      <c r="A39" s="14"/>
      <c r="B39" s="5">
        <v>2.6995106480969238</v>
      </c>
      <c r="C39" s="6">
        <v>5.36</v>
      </c>
      <c r="D39" s="6">
        <v>6</v>
      </c>
      <c r="E39" s="67">
        <v>1.2070000000000001</v>
      </c>
      <c r="F39" s="16"/>
      <c r="G39" s="83">
        <f t="shared" si="10"/>
        <v>5.3821781166075171</v>
      </c>
      <c r="J39" s="40">
        <v>2</v>
      </c>
      <c r="K39" s="58">
        <f>L39-L38</f>
        <v>-28.050000000000004</v>
      </c>
      <c r="L39" s="55">
        <v>-57.222000000000008</v>
      </c>
      <c r="M39" s="22">
        <v>0.7</v>
      </c>
      <c r="N39" s="10"/>
      <c r="O39" s="29">
        <v>2</v>
      </c>
      <c r="P39" s="58">
        <f>Q39-Q38</f>
        <v>-29.099999999999998</v>
      </c>
      <c r="Q39" s="55">
        <v>-59.363999999999997</v>
      </c>
      <c r="R39" s="22">
        <v>0.7</v>
      </c>
      <c r="S39" s="10"/>
      <c r="T39" s="29">
        <v>2</v>
      </c>
      <c r="U39" s="58">
        <f>V39-V38</f>
        <v>-30.175000000000001</v>
      </c>
      <c r="V39" s="55">
        <v>-61.557000000000002</v>
      </c>
      <c r="W39" s="42">
        <v>0.7</v>
      </c>
      <c r="AA39" s="40">
        <v>2</v>
      </c>
      <c r="AB39" s="58">
        <f>AC39-AC38</f>
        <v>28.050000000000004</v>
      </c>
      <c r="AC39" s="55">
        <v>57.222000000000008</v>
      </c>
      <c r="AD39" s="22">
        <v>0.7</v>
      </c>
      <c r="AE39" s="10"/>
      <c r="AF39" s="29">
        <v>2</v>
      </c>
      <c r="AG39" s="58">
        <f>AH39-AH38</f>
        <v>29.099999999999998</v>
      </c>
      <c r="AH39" s="55">
        <v>59.363999999999997</v>
      </c>
      <c r="AI39" s="22">
        <v>0.7</v>
      </c>
      <c r="AJ39" s="10"/>
      <c r="AK39" s="29">
        <v>2</v>
      </c>
      <c r="AL39" s="58">
        <f>AM39-AM38</f>
        <v>30.175000000000001</v>
      </c>
      <c r="AM39" s="55">
        <v>61.557000000000002</v>
      </c>
      <c r="AN39" s="42">
        <v>0.7</v>
      </c>
    </row>
    <row r="40" spans="1:40" x14ac:dyDescent="0.2">
      <c r="A40" s="14"/>
      <c r="B40" s="5">
        <v>2.75031284808647</v>
      </c>
      <c r="C40" s="6">
        <v>5.55</v>
      </c>
      <c r="D40" s="6">
        <v>6</v>
      </c>
      <c r="E40" s="67">
        <v>1.2509999999999999</v>
      </c>
      <c r="F40" s="16"/>
      <c r="G40" s="83">
        <f t="shared" si="10"/>
        <v>5.578584501987101</v>
      </c>
      <c r="J40" s="40">
        <v>3</v>
      </c>
      <c r="K40" s="58">
        <f t="shared" ref="K40:K47" si="11">L40-L39</f>
        <v>-28.049999999999997</v>
      </c>
      <c r="L40" s="54">
        <v>-85.272000000000006</v>
      </c>
      <c r="M40" s="5">
        <v>0.7</v>
      </c>
      <c r="N40" s="10"/>
      <c r="O40" s="29">
        <v>3</v>
      </c>
      <c r="P40" s="58">
        <f t="shared" ref="P40:P47" si="12">Q40-Q39</f>
        <v>-29.1</v>
      </c>
      <c r="Q40" s="54">
        <v>-88.463999999999999</v>
      </c>
      <c r="R40" s="5">
        <v>0.7</v>
      </c>
      <c r="S40" s="10"/>
      <c r="T40" s="29">
        <v>3</v>
      </c>
      <c r="U40" s="58">
        <f t="shared" ref="U40:U47" si="13">V40-V39</f>
        <v>-30.174999999999997</v>
      </c>
      <c r="V40" s="54">
        <v>-91.731999999999999</v>
      </c>
      <c r="W40" s="41">
        <v>0.7</v>
      </c>
      <c r="AA40" s="40">
        <v>3</v>
      </c>
      <c r="AB40" s="58">
        <f t="shared" ref="AB40:AB47" si="14">AC40-AC39</f>
        <v>28.049999999999997</v>
      </c>
      <c r="AC40" s="54">
        <v>85.272000000000006</v>
      </c>
      <c r="AD40" s="5">
        <v>0.7</v>
      </c>
      <c r="AE40" s="10"/>
      <c r="AF40" s="29">
        <v>3</v>
      </c>
      <c r="AG40" s="58">
        <f t="shared" ref="AG40:AG47" si="15">AH40-AH39</f>
        <v>29.1</v>
      </c>
      <c r="AH40" s="54">
        <v>88.463999999999999</v>
      </c>
      <c r="AI40" s="5">
        <v>0.7</v>
      </c>
      <c r="AJ40" s="10"/>
      <c r="AK40" s="29">
        <v>3</v>
      </c>
      <c r="AL40" s="58">
        <f t="shared" ref="AL40:AL47" si="16">AM40-AM39</f>
        <v>30.174999999999997</v>
      </c>
      <c r="AM40" s="54">
        <v>91.731999999999999</v>
      </c>
      <c r="AN40" s="41">
        <v>0.7</v>
      </c>
    </row>
    <row r="41" spans="1:40" x14ac:dyDescent="0.2">
      <c r="A41" s="75"/>
      <c r="B41" s="5">
        <v>2.8004419881581071</v>
      </c>
      <c r="C41" s="6">
        <v>5.74</v>
      </c>
      <c r="D41" s="6">
        <v>6</v>
      </c>
      <c r="E41" s="67">
        <v>1.2949999999999999</v>
      </c>
      <c r="F41" s="16"/>
      <c r="G41" s="83">
        <f t="shared" si="10"/>
        <v>5.7723887704180568</v>
      </c>
      <c r="J41" s="40">
        <v>4</v>
      </c>
      <c r="K41" s="58">
        <f t="shared" si="11"/>
        <v>-29.172000000000011</v>
      </c>
      <c r="L41" s="54">
        <v>-114.44400000000002</v>
      </c>
      <c r="M41" s="5">
        <v>0.7</v>
      </c>
      <c r="N41" s="10"/>
      <c r="O41" s="29">
        <v>4</v>
      </c>
      <c r="P41" s="58">
        <f t="shared" si="12"/>
        <v>-30.263999999999996</v>
      </c>
      <c r="Q41" s="54">
        <v>-118.72799999999999</v>
      </c>
      <c r="R41" s="5">
        <v>0.7</v>
      </c>
      <c r="S41" s="10"/>
      <c r="T41" s="29">
        <v>4</v>
      </c>
      <c r="U41" s="58">
        <f t="shared" si="13"/>
        <v>-31.382000000000005</v>
      </c>
      <c r="V41" s="54">
        <v>-123.114</v>
      </c>
      <c r="W41" s="41">
        <v>0.7</v>
      </c>
      <c r="AA41" s="40">
        <v>4</v>
      </c>
      <c r="AB41" s="58">
        <f t="shared" si="14"/>
        <v>29.172000000000011</v>
      </c>
      <c r="AC41" s="54">
        <v>114.44400000000002</v>
      </c>
      <c r="AD41" s="5">
        <v>0.7</v>
      </c>
      <c r="AE41" s="10"/>
      <c r="AF41" s="29">
        <v>4</v>
      </c>
      <c r="AG41" s="58">
        <f t="shared" si="15"/>
        <v>30.263999999999996</v>
      </c>
      <c r="AH41" s="54">
        <v>118.72799999999999</v>
      </c>
      <c r="AI41" s="5">
        <v>0.7</v>
      </c>
      <c r="AJ41" s="10"/>
      <c r="AK41" s="29">
        <v>4</v>
      </c>
      <c r="AL41" s="58">
        <f t="shared" si="16"/>
        <v>31.382000000000005</v>
      </c>
      <c r="AM41" s="54">
        <v>123.114</v>
      </c>
      <c r="AN41" s="41">
        <v>0.7</v>
      </c>
    </row>
    <row r="42" spans="1:40" x14ac:dyDescent="0.2">
      <c r="A42" s="14"/>
      <c r="B42" s="5">
        <v>2.8498977493736195</v>
      </c>
      <c r="C42" s="6">
        <v>5.93</v>
      </c>
      <c r="D42" s="6">
        <v>6</v>
      </c>
      <c r="E42" s="67">
        <v>1.34</v>
      </c>
      <c r="F42" s="16"/>
      <c r="G42" s="83">
        <f t="shared" si="10"/>
        <v>5.9635896888533493</v>
      </c>
      <c r="J42" s="40">
        <v>5</v>
      </c>
      <c r="K42" s="58">
        <f t="shared" si="11"/>
        <v>-28.049999999999983</v>
      </c>
      <c r="L42" s="55">
        <v>-142.494</v>
      </c>
      <c r="M42" s="22">
        <v>0.7</v>
      </c>
      <c r="N42" s="10"/>
      <c r="O42" s="29">
        <v>5</v>
      </c>
      <c r="P42" s="58">
        <f t="shared" si="12"/>
        <v>-29.100000000000009</v>
      </c>
      <c r="Q42" s="55">
        <v>-147.828</v>
      </c>
      <c r="R42" s="22">
        <v>0.7</v>
      </c>
      <c r="S42" s="10"/>
      <c r="T42" s="29">
        <v>5</v>
      </c>
      <c r="U42" s="58">
        <f t="shared" si="13"/>
        <v>-30.175000000000011</v>
      </c>
      <c r="V42" s="55">
        <v>-153.28900000000002</v>
      </c>
      <c r="W42" s="42">
        <v>0.7</v>
      </c>
      <c r="AA42" s="40">
        <v>5</v>
      </c>
      <c r="AB42" s="58">
        <f t="shared" si="14"/>
        <v>28.049999999999983</v>
      </c>
      <c r="AC42" s="55">
        <v>142.494</v>
      </c>
      <c r="AD42" s="22">
        <v>0.7</v>
      </c>
      <c r="AE42" s="10"/>
      <c r="AF42" s="29">
        <v>5</v>
      </c>
      <c r="AG42" s="58">
        <f t="shared" si="15"/>
        <v>29.100000000000009</v>
      </c>
      <c r="AH42" s="55">
        <v>147.828</v>
      </c>
      <c r="AI42" s="22">
        <v>0.7</v>
      </c>
      <c r="AJ42" s="10"/>
      <c r="AK42" s="29">
        <v>5</v>
      </c>
      <c r="AL42" s="58">
        <f t="shared" si="16"/>
        <v>30.175000000000011</v>
      </c>
      <c r="AM42" s="55">
        <v>153.28900000000002</v>
      </c>
      <c r="AN42" s="42">
        <v>0.7</v>
      </c>
    </row>
    <row r="43" spans="1:40" x14ac:dyDescent="0.2">
      <c r="A43" s="14"/>
      <c r="B43" s="5">
        <v>2.9001312541402999</v>
      </c>
      <c r="C43" s="6">
        <v>6.12</v>
      </c>
      <c r="D43" s="6">
        <v>6</v>
      </c>
      <c r="E43" s="67">
        <v>1.385</v>
      </c>
      <c r="F43" s="16"/>
      <c r="G43" s="83">
        <f t="shared" si="10"/>
        <v>6.1577974416318133</v>
      </c>
      <c r="J43" s="40">
        <v>10</v>
      </c>
      <c r="K43" s="58">
        <f t="shared" si="11"/>
        <v>-143.61600000000001</v>
      </c>
      <c r="L43" s="54">
        <v>-286.11</v>
      </c>
      <c r="M43" s="5">
        <v>0.7</v>
      </c>
      <c r="N43" s="10"/>
      <c r="O43" s="29">
        <v>10</v>
      </c>
      <c r="P43" s="58">
        <f t="shared" si="12"/>
        <v>-148.99199999999999</v>
      </c>
      <c r="Q43" s="54">
        <v>-296.82</v>
      </c>
      <c r="R43" s="5">
        <v>0.7</v>
      </c>
      <c r="S43" s="10"/>
      <c r="T43" s="29">
        <v>10</v>
      </c>
      <c r="U43" s="58">
        <f t="shared" si="13"/>
        <v>-154.49600000000001</v>
      </c>
      <c r="V43" s="54">
        <v>-307.78500000000003</v>
      </c>
      <c r="W43" s="41">
        <v>0.7</v>
      </c>
      <c r="AA43" s="40">
        <v>10</v>
      </c>
      <c r="AB43" s="58">
        <f t="shared" si="14"/>
        <v>143.61600000000001</v>
      </c>
      <c r="AC43" s="54">
        <v>286.11</v>
      </c>
      <c r="AD43" s="5">
        <v>0.7</v>
      </c>
      <c r="AE43" s="10"/>
      <c r="AF43" s="29">
        <v>10</v>
      </c>
      <c r="AG43" s="58">
        <f t="shared" si="15"/>
        <v>148.99199999999999</v>
      </c>
      <c r="AH43" s="54">
        <v>296.82</v>
      </c>
      <c r="AI43" s="5">
        <v>0.7</v>
      </c>
      <c r="AJ43" s="10"/>
      <c r="AK43" s="29">
        <v>10</v>
      </c>
      <c r="AL43" s="58">
        <f t="shared" si="16"/>
        <v>154.49600000000001</v>
      </c>
      <c r="AM43" s="54">
        <v>307.78500000000003</v>
      </c>
      <c r="AN43" s="41">
        <v>0.7</v>
      </c>
    </row>
    <row r="44" spans="1:40" x14ac:dyDescent="0.2">
      <c r="A44" s="14"/>
      <c r="B44" s="5">
        <v>3</v>
      </c>
      <c r="C44" s="6">
        <v>6.52</v>
      </c>
      <c r="D44" s="6">
        <v>6</v>
      </c>
      <c r="E44" s="67">
        <v>1.4790000000000001</v>
      </c>
      <c r="F44" s="16"/>
      <c r="G44" s="83">
        <f t="shared" si="10"/>
        <v>6.5438999999999998</v>
      </c>
      <c r="J44" s="40">
        <v>20</v>
      </c>
      <c r="K44" s="58">
        <f t="shared" si="11"/>
        <v>-284.98800000000006</v>
      </c>
      <c r="L44" s="54">
        <v>-571.09800000000007</v>
      </c>
      <c r="M44" s="5">
        <v>0.7</v>
      </c>
      <c r="N44" s="10"/>
      <c r="O44" s="29">
        <v>20</v>
      </c>
      <c r="P44" s="58">
        <f t="shared" si="12"/>
        <v>-295.65600000000001</v>
      </c>
      <c r="Q44" s="54">
        <v>-592.476</v>
      </c>
      <c r="R44" s="5">
        <v>0.7</v>
      </c>
      <c r="S44" s="10"/>
      <c r="T44" s="29">
        <v>20</v>
      </c>
      <c r="U44" s="58">
        <f t="shared" si="13"/>
        <v>-306.57800000000003</v>
      </c>
      <c r="V44" s="54">
        <v>-614.36300000000006</v>
      </c>
      <c r="W44" s="41">
        <v>0.7</v>
      </c>
      <c r="AA44" s="40">
        <v>20</v>
      </c>
      <c r="AB44" s="58">
        <f t="shared" si="14"/>
        <v>284.98800000000006</v>
      </c>
      <c r="AC44" s="54">
        <v>571.09800000000007</v>
      </c>
      <c r="AD44" s="5">
        <v>0.7</v>
      </c>
      <c r="AE44" s="10"/>
      <c r="AF44" s="29">
        <v>20</v>
      </c>
      <c r="AG44" s="58">
        <f t="shared" si="15"/>
        <v>295.65600000000001</v>
      </c>
      <c r="AH44" s="54">
        <v>592.476</v>
      </c>
      <c r="AI44" s="5">
        <v>0.7</v>
      </c>
      <c r="AJ44" s="10"/>
      <c r="AK44" s="29">
        <v>20</v>
      </c>
      <c r="AL44" s="58">
        <f t="shared" si="16"/>
        <v>306.57800000000003</v>
      </c>
      <c r="AM44" s="54">
        <v>614.36300000000006</v>
      </c>
      <c r="AN44" s="41">
        <v>0.7</v>
      </c>
    </row>
    <row r="45" spans="1:40" x14ac:dyDescent="0.2">
      <c r="A45" s="14"/>
      <c r="B45" s="5">
        <v>3.1</v>
      </c>
      <c r="C45" s="6">
        <v>6.92</v>
      </c>
      <c r="D45" s="6">
        <v>6</v>
      </c>
      <c r="E45" s="67">
        <v>1.575</v>
      </c>
      <c r="F45" s="16"/>
      <c r="G45" s="83">
        <f t="shared" si="10"/>
        <v>6.9305099999999991</v>
      </c>
      <c r="J45" s="40">
        <v>30</v>
      </c>
      <c r="K45" s="58">
        <f t="shared" si="11"/>
        <v>-286.11</v>
      </c>
      <c r="L45" s="54">
        <v>-857.20800000000008</v>
      </c>
      <c r="M45" s="5">
        <v>0.7</v>
      </c>
      <c r="N45" s="10"/>
      <c r="O45" s="29">
        <v>30</v>
      </c>
      <c r="P45" s="58">
        <f t="shared" si="12"/>
        <v>-296.81999999999994</v>
      </c>
      <c r="Q45" s="54">
        <v>-889.29599999999994</v>
      </c>
      <c r="R45" s="5">
        <v>0.7</v>
      </c>
      <c r="S45" s="10"/>
      <c r="T45" s="29">
        <v>30</v>
      </c>
      <c r="U45" s="58">
        <f t="shared" si="13"/>
        <v>-307.78499999999997</v>
      </c>
      <c r="V45" s="54">
        <v>-922.14800000000002</v>
      </c>
      <c r="W45" s="41">
        <v>0.7</v>
      </c>
      <c r="AA45" s="40">
        <v>30</v>
      </c>
      <c r="AB45" s="58">
        <f t="shared" si="14"/>
        <v>286.11</v>
      </c>
      <c r="AC45" s="54">
        <v>857.20800000000008</v>
      </c>
      <c r="AD45" s="5">
        <v>0.7</v>
      </c>
      <c r="AE45" s="10"/>
      <c r="AF45" s="29">
        <v>30</v>
      </c>
      <c r="AG45" s="58">
        <f t="shared" si="15"/>
        <v>296.81999999999994</v>
      </c>
      <c r="AH45" s="54">
        <v>889.29599999999994</v>
      </c>
      <c r="AI45" s="5">
        <v>0.7</v>
      </c>
      <c r="AJ45" s="10"/>
      <c r="AK45" s="29">
        <v>30</v>
      </c>
      <c r="AL45" s="58">
        <f t="shared" si="16"/>
        <v>307.78499999999997</v>
      </c>
      <c r="AM45" s="54">
        <v>922.14800000000002</v>
      </c>
      <c r="AN45" s="41">
        <v>0.7</v>
      </c>
    </row>
    <row r="46" spans="1:40" x14ac:dyDescent="0.2">
      <c r="A46" s="14"/>
      <c r="B46" s="5">
        <v>3.2</v>
      </c>
      <c r="C46" s="6">
        <v>7.34</v>
      </c>
      <c r="D46" s="6">
        <v>6</v>
      </c>
      <c r="E46" s="67">
        <v>1.6739999999999999</v>
      </c>
      <c r="F46" s="16"/>
      <c r="G46" s="83">
        <f t="shared" si="10"/>
        <v>7.3171200000000001</v>
      </c>
      <c r="J46" s="40">
        <v>40</v>
      </c>
      <c r="K46" s="58">
        <f t="shared" si="11"/>
        <v>-284.98800000000006</v>
      </c>
      <c r="L46" s="55">
        <v>-1142.1960000000001</v>
      </c>
      <c r="M46" s="22">
        <v>0.7</v>
      </c>
      <c r="N46" s="10"/>
      <c r="O46" s="29">
        <v>40</v>
      </c>
      <c r="P46" s="58">
        <f t="shared" si="12"/>
        <v>-295.65600000000006</v>
      </c>
      <c r="Q46" s="55">
        <v>-1184.952</v>
      </c>
      <c r="R46" s="22">
        <v>0.7</v>
      </c>
      <c r="S46" s="10"/>
      <c r="T46" s="29">
        <v>40</v>
      </c>
      <c r="U46" s="58">
        <f t="shared" si="13"/>
        <v>-306.57800000000009</v>
      </c>
      <c r="V46" s="55">
        <v>-1228.7260000000001</v>
      </c>
      <c r="W46" s="42">
        <v>0.7</v>
      </c>
      <c r="AA46" s="40">
        <v>40</v>
      </c>
      <c r="AB46" s="58">
        <f t="shared" si="14"/>
        <v>284.98800000000006</v>
      </c>
      <c r="AC46" s="55">
        <v>1142.1960000000001</v>
      </c>
      <c r="AD46" s="22">
        <v>0.7</v>
      </c>
      <c r="AE46" s="10"/>
      <c r="AF46" s="29">
        <v>40</v>
      </c>
      <c r="AG46" s="58">
        <f t="shared" si="15"/>
        <v>295.65600000000006</v>
      </c>
      <c r="AH46" s="55">
        <v>1184.952</v>
      </c>
      <c r="AI46" s="22">
        <v>0.7</v>
      </c>
      <c r="AJ46" s="10"/>
      <c r="AK46" s="29">
        <v>40</v>
      </c>
      <c r="AL46" s="58">
        <f t="shared" si="16"/>
        <v>306.57800000000009</v>
      </c>
      <c r="AM46" s="55">
        <v>1228.7260000000001</v>
      </c>
      <c r="AN46" s="42">
        <v>0.7</v>
      </c>
    </row>
    <row r="47" spans="1:40" x14ac:dyDescent="0.2">
      <c r="A47" s="14"/>
      <c r="B47" s="5">
        <v>3.3</v>
      </c>
      <c r="C47" s="6">
        <v>7.77</v>
      </c>
      <c r="D47" s="6">
        <v>6</v>
      </c>
      <c r="E47" s="67">
        <v>1.776</v>
      </c>
      <c r="F47" s="16"/>
      <c r="G47" s="83">
        <f t="shared" si="10"/>
        <v>7.7037299999999993</v>
      </c>
      <c r="J47" s="40">
        <v>50</v>
      </c>
      <c r="K47" s="58">
        <f t="shared" si="11"/>
        <v>-284.98800000000006</v>
      </c>
      <c r="L47" s="54">
        <v>-1427.1840000000002</v>
      </c>
      <c r="M47" s="5">
        <v>0.7</v>
      </c>
      <c r="N47" s="10"/>
      <c r="O47" s="29">
        <v>50</v>
      </c>
      <c r="P47" s="58">
        <f t="shared" si="12"/>
        <v>-295.65599999999995</v>
      </c>
      <c r="Q47" s="54">
        <v>-1480.6079999999999</v>
      </c>
      <c r="R47" s="5">
        <v>0.7</v>
      </c>
      <c r="S47" s="10"/>
      <c r="T47" s="29">
        <v>50</v>
      </c>
      <c r="U47" s="58">
        <f t="shared" si="13"/>
        <v>-306.57799999999997</v>
      </c>
      <c r="V47" s="54">
        <v>-1535.3040000000001</v>
      </c>
      <c r="W47" s="41">
        <v>0.7</v>
      </c>
      <c r="AA47" s="40">
        <v>50</v>
      </c>
      <c r="AB47" s="58">
        <f t="shared" si="14"/>
        <v>284.98800000000006</v>
      </c>
      <c r="AC47" s="54">
        <v>1427.1840000000002</v>
      </c>
      <c r="AD47" s="5">
        <v>0.7</v>
      </c>
      <c r="AE47" s="10"/>
      <c r="AF47" s="29">
        <v>50</v>
      </c>
      <c r="AG47" s="58">
        <f t="shared" si="15"/>
        <v>295.65599999999995</v>
      </c>
      <c r="AH47" s="54">
        <v>1480.6079999999999</v>
      </c>
      <c r="AI47" s="5">
        <v>0.7</v>
      </c>
      <c r="AJ47" s="10"/>
      <c r="AK47" s="29">
        <v>50</v>
      </c>
      <c r="AL47" s="58">
        <f t="shared" si="16"/>
        <v>306.57799999999997</v>
      </c>
      <c r="AM47" s="54">
        <v>1535.3040000000001</v>
      </c>
      <c r="AN47" s="41">
        <v>0.7</v>
      </c>
    </row>
    <row r="48" spans="1:40" x14ac:dyDescent="0.2">
      <c r="A48" s="7"/>
      <c r="B48" s="3"/>
      <c r="C48" s="3"/>
      <c r="D48" s="3"/>
      <c r="E48" s="3"/>
      <c r="F48" s="8"/>
      <c r="G48" s="63"/>
      <c r="J48" s="49" t="s">
        <v>16</v>
      </c>
      <c r="K48" s="50">
        <f>L46/L43</f>
        <v>3.9921568627450985</v>
      </c>
      <c r="L48" s="30"/>
      <c r="M48" s="5"/>
      <c r="N48" s="10"/>
      <c r="O48" s="51" t="s">
        <v>16</v>
      </c>
      <c r="P48" s="50">
        <f>Q46/Q43</f>
        <v>3.9921568627450981</v>
      </c>
      <c r="Q48" s="30"/>
      <c r="R48" s="5"/>
      <c r="S48" s="10"/>
      <c r="T48" s="51" t="s">
        <v>16</v>
      </c>
      <c r="U48" s="50">
        <f>V46/V43</f>
        <v>3.9921568627450981</v>
      </c>
      <c r="V48" s="30"/>
      <c r="W48" s="41"/>
      <c r="AA48" s="49" t="s">
        <v>16</v>
      </c>
      <c r="AB48" s="50">
        <f>AC46/AC43</f>
        <v>3.9921568627450985</v>
      </c>
      <c r="AC48" s="30"/>
      <c r="AD48" s="5"/>
      <c r="AE48" s="10"/>
      <c r="AF48" s="49" t="s">
        <v>16</v>
      </c>
      <c r="AG48" s="50">
        <f>AH46/AH43</f>
        <v>3.9921568627450981</v>
      </c>
      <c r="AH48" s="30"/>
      <c r="AI48" s="5"/>
      <c r="AJ48" s="10"/>
      <c r="AK48" s="49" t="s">
        <v>16</v>
      </c>
      <c r="AL48" s="50">
        <f>AM46/AM43</f>
        <v>3.9921568627450981</v>
      </c>
      <c r="AM48" s="30"/>
      <c r="AN48" s="41"/>
    </row>
    <row r="49" spans="10:40" x14ac:dyDescent="0.2">
      <c r="J49" s="14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6"/>
      <c r="AA49" s="14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6"/>
    </row>
    <row r="50" spans="10:40" x14ac:dyDescent="0.2">
      <c r="J50" s="14"/>
      <c r="K50" s="10"/>
      <c r="L50" s="23">
        <v>2.75</v>
      </c>
      <c r="M50" s="10" t="s">
        <v>0</v>
      </c>
      <c r="N50" s="10"/>
      <c r="O50" s="10"/>
      <c r="P50" s="10"/>
      <c r="Q50" s="23">
        <v>2.8</v>
      </c>
      <c r="R50" s="10" t="s">
        <v>0</v>
      </c>
      <c r="S50" s="10"/>
      <c r="T50" s="10"/>
      <c r="U50" s="10"/>
      <c r="V50" s="23">
        <v>2.85</v>
      </c>
      <c r="W50" s="16" t="s">
        <v>0</v>
      </c>
      <c r="AA50" s="14"/>
      <c r="AB50" s="10"/>
      <c r="AC50" s="23">
        <v>2.75</v>
      </c>
      <c r="AD50" s="10" t="s">
        <v>0</v>
      </c>
      <c r="AE50" s="10"/>
      <c r="AF50" s="10"/>
      <c r="AG50" s="10"/>
      <c r="AH50" s="23">
        <v>2.8</v>
      </c>
      <c r="AI50" s="10" t="s">
        <v>0</v>
      </c>
      <c r="AJ50" s="10"/>
      <c r="AK50" s="10"/>
      <c r="AL50" s="10"/>
      <c r="AM50" s="23">
        <v>2.85</v>
      </c>
      <c r="AN50" s="16" t="s">
        <v>0</v>
      </c>
    </row>
    <row r="51" spans="10:40" x14ac:dyDescent="0.2">
      <c r="J51" s="14"/>
      <c r="K51" s="10"/>
      <c r="L51" s="23">
        <v>5.55</v>
      </c>
      <c r="M51" s="10" t="s">
        <v>1</v>
      </c>
      <c r="N51" s="10"/>
      <c r="O51" s="10"/>
      <c r="P51" s="10"/>
      <c r="Q51" s="23">
        <v>5.74</v>
      </c>
      <c r="R51" s="10" t="s">
        <v>1</v>
      </c>
      <c r="S51" s="10"/>
      <c r="T51" s="10"/>
      <c r="U51" s="10"/>
      <c r="V51" s="35">
        <v>5.93</v>
      </c>
      <c r="W51" s="16" t="s">
        <v>1</v>
      </c>
      <c r="AA51" s="14"/>
      <c r="AB51" s="10"/>
      <c r="AC51" s="23">
        <v>5.55</v>
      </c>
      <c r="AD51" s="10" t="s">
        <v>1</v>
      </c>
      <c r="AE51" s="10"/>
      <c r="AF51" s="10"/>
      <c r="AG51" s="10"/>
      <c r="AH51" s="23">
        <v>5.74</v>
      </c>
      <c r="AI51" s="10" t="s">
        <v>1</v>
      </c>
      <c r="AJ51" s="10"/>
      <c r="AK51" s="10"/>
      <c r="AL51" s="10"/>
      <c r="AM51" s="35">
        <v>5.93</v>
      </c>
      <c r="AN51" s="16" t="s">
        <v>1</v>
      </c>
    </row>
    <row r="52" spans="10:40" x14ac:dyDescent="0.2">
      <c r="J52" s="14"/>
      <c r="K52" s="10"/>
      <c r="L52" s="23">
        <v>85</v>
      </c>
      <c r="M52" s="10" t="s">
        <v>8</v>
      </c>
      <c r="N52" s="10"/>
      <c r="O52" s="10"/>
      <c r="P52" s="10"/>
      <c r="Q52" s="23">
        <v>85</v>
      </c>
      <c r="R52" s="10" t="s">
        <v>8</v>
      </c>
      <c r="S52" s="10"/>
      <c r="T52" s="10"/>
      <c r="U52" s="10"/>
      <c r="V52" s="23">
        <v>85</v>
      </c>
      <c r="W52" s="16" t="s">
        <v>8</v>
      </c>
      <c r="AA52" s="14"/>
      <c r="AB52" s="10"/>
      <c r="AC52" s="23">
        <v>85</v>
      </c>
      <c r="AD52" s="10" t="s">
        <v>8</v>
      </c>
      <c r="AE52" s="10"/>
      <c r="AF52" s="10"/>
      <c r="AG52" s="10"/>
      <c r="AH52" s="23">
        <v>85</v>
      </c>
      <c r="AI52" s="10" t="s">
        <v>8</v>
      </c>
      <c r="AJ52" s="10"/>
      <c r="AK52" s="10"/>
      <c r="AL52" s="10"/>
      <c r="AM52" s="23">
        <v>85</v>
      </c>
      <c r="AN52" s="16" t="s">
        <v>8</v>
      </c>
    </row>
    <row r="53" spans="10:40" x14ac:dyDescent="0.2">
      <c r="J53" s="38" t="s">
        <v>9</v>
      </c>
      <c r="K53" s="56" t="s">
        <v>15</v>
      </c>
      <c r="L53" s="28" t="s">
        <v>10</v>
      </c>
      <c r="M53" s="27" t="s">
        <v>11</v>
      </c>
      <c r="N53" s="10"/>
      <c r="O53" s="27" t="s">
        <v>9</v>
      </c>
      <c r="P53" s="56" t="s">
        <v>15</v>
      </c>
      <c r="Q53" s="28" t="s">
        <v>10</v>
      </c>
      <c r="R53" s="27" t="s">
        <v>11</v>
      </c>
      <c r="S53" s="10"/>
      <c r="T53" s="27" t="s">
        <v>9</v>
      </c>
      <c r="U53" s="56" t="s">
        <v>15</v>
      </c>
      <c r="V53" s="28" t="s">
        <v>10</v>
      </c>
      <c r="W53" s="39" t="s">
        <v>11</v>
      </c>
      <c r="AA53" s="38" t="s">
        <v>9</v>
      </c>
      <c r="AB53" s="56" t="s">
        <v>15</v>
      </c>
      <c r="AC53" s="28" t="s">
        <v>10</v>
      </c>
      <c r="AD53" s="27" t="s">
        <v>11</v>
      </c>
      <c r="AE53" s="10"/>
      <c r="AF53" s="27" t="s">
        <v>9</v>
      </c>
      <c r="AG53" s="56" t="s">
        <v>15</v>
      </c>
      <c r="AH53" s="28" t="s">
        <v>10</v>
      </c>
      <c r="AI53" s="27" t="s">
        <v>11</v>
      </c>
      <c r="AJ53" s="10"/>
      <c r="AK53" s="27" t="s">
        <v>9</v>
      </c>
      <c r="AL53" s="56" t="s">
        <v>15</v>
      </c>
      <c r="AM53" s="28" t="s">
        <v>10</v>
      </c>
      <c r="AN53" s="39" t="s">
        <v>11</v>
      </c>
    </row>
    <row r="54" spans="10:40" x14ac:dyDescent="0.2">
      <c r="J54" s="40">
        <v>1</v>
      </c>
      <c r="K54" s="57"/>
      <c r="L54" s="54">
        <v>-32.525999999999996</v>
      </c>
      <c r="M54" s="5">
        <v>0.7</v>
      </c>
      <c r="N54" s="10"/>
      <c r="O54" s="29">
        <v>1</v>
      </c>
      <c r="P54" s="57"/>
      <c r="Q54" s="54">
        <v>-33.67</v>
      </c>
      <c r="R54" s="5">
        <v>0.7</v>
      </c>
      <c r="S54" s="10"/>
      <c r="T54" s="29">
        <v>1</v>
      </c>
      <c r="U54" s="57"/>
      <c r="V54" s="54">
        <v>-34.840000000000003</v>
      </c>
      <c r="W54" s="41">
        <v>0.7</v>
      </c>
      <c r="AA54" s="40">
        <v>1</v>
      </c>
      <c r="AB54" s="57"/>
      <c r="AC54" s="54">
        <v>32.525999999999996</v>
      </c>
      <c r="AD54" s="5">
        <v>0.7</v>
      </c>
      <c r="AE54" s="10"/>
      <c r="AF54" s="29">
        <v>1</v>
      </c>
      <c r="AG54" s="57"/>
      <c r="AH54" s="54">
        <v>33.67</v>
      </c>
      <c r="AI54" s="5">
        <v>0.7</v>
      </c>
      <c r="AJ54" s="10"/>
      <c r="AK54" s="29">
        <v>1</v>
      </c>
      <c r="AL54" s="57"/>
      <c r="AM54" s="54">
        <v>34.840000000000003</v>
      </c>
      <c r="AN54" s="41">
        <v>0.7</v>
      </c>
    </row>
    <row r="55" spans="10:40" x14ac:dyDescent="0.2">
      <c r="J55" s="40">
        <v>2</v>
      </c>
      <c r="K55" s="58">
        <f>L55-L54</f>
        <v>-31.274999999999999</v>
      </c>
      <c r="L55" s="55">
        <v>-63.800999999999995</v>
      </c>
      <c r="M55" s="22">
        <v>0.7</v>
      </c>
      <c r="N55" s="10"/>
      <c r="O55" s="29">
        <v>2</v>
      </c>
      <c r="P55" s="58">
        <f>Q55-Q54</f>
        <v>-32.375</v>
      </c>
      <c r="Q55" s="55">
        <v>-66.045000000000002</v>
      </c>
      <c r="R55" s="22">
        <v>0.7</v>
      </c>
      <c r="S55" s="10"/>
      <c r="T55" s="29">
        <v>2</v>
      </c>
      <c r="U55" s="58">
        <f>V55-V54</f>
        <v>-33.5</v>
      </c>
      <c r="V55" s="55">
        <v>-68.34</v>
      </c>
      <c r="W55" s="42">
        <v>0.7</v>
      </c>
      <c r="AA55" s="40">
        <v>2</v>
      </c>
      <c r="AB55" s="58">
        <f>AC55-AC54</f>
        <v>31.274999999999999</v>
      </c>
      <c r="AC55" s="55">
        <v>63.800999999999995</v>
      </c>
      <c r="AD55" s="22">
        <v>0.7</v>
      </c>
      <c r="AE55" s="10"/>
      <c r="AF55" s="29">
        <v>2</v>
      </c>
      <c r="AG55" s="58">
        <f>AH55-AH54</f>
        <v>32.375</v>
      </c>
      <c r="AH55" s="55">
        <v>66.045000000000002</v>
      </c>
      <c r="AI55" s="22">
        <v>0.7</v>
      </c>
      <c r="AJ55" s="10"/>
      <c r="AK55" s="29">
        <v>2</v>
      </c>
      <c r="AL55" s="58">
        <f>AM55-AM54</f>
        <v>33.5</v>
      </c>
      <c r="AM55" s="55">
        <v>68.34</v>
      </c>
      <c r="AN55" s="42">
        <v>0.7</v>
      </c>
    </row>
    <row r="56" spans="10:40" x14ac:dyDescent="0.2">
      <c r="J56" s="40">
        <v>3</v>
      </c>
      <c r="K56" s="58">
        <f t="shared" ref="K56:K63" si="17">L56-L55</f>
        <v>-31.274999999999999</v>
      </c>
      <c r="L56" s="54">
        <v>-95.075999999999993</v>
      </c>
      <c r="M56" s="5">
        <v>0.7</v>
      </c>
      <c r="N56" s="10"/>
      <c r="O56" s="29">
        <v>3</v>
      </c>
      <c r="P56" s="58">
        <f t="shared" ref="P56:P63" si="18">Q56-Q55</f>
        <v>-32.374999999999986</v>
      </c>
      <c r="Q56" s="54">
        <v>-98.419999999999987</v>
      </c>
      <c r="R56" s="5">
        <v>0.7</v>
      </c>
      <c r="S56" s="10"/>
      <c r="T56" s="29">
        <v>3</v>
      </c>
      <c r="U56" s="58">
        <f t="shared" ref="U56:U63" si="19">V56-V55</f>
        <v>-33.5</v>
      </c>
      <c r="V56" s="54">
        <v>-101.84</v>
      </c>
      <c r="W56" s="41">
        <v>0.7</v>
      </c>
      <c r="AA56" s="40">
        <v>3</v>
      </c>
      <c r="AB56" s="58">
        <f t="shared" ref="AB56:AB63" si="20">AC56-AC55</f>
        <v>31.274999999999999</v>
      </c>
      <c r="AC56" s="54">
        <v>95.075999999999993</v>
      </c>
      <c r="AD56" s="5">
        <v>0.7</v>
      </c>
      <c r="AE56" s="10"/>
      <c r="AF56" s="29">
        <v>3</v>
      </c>
      <c r="AG56" s="58">
        <f t="shared" ref="AG56:AG63" si="21">AH56-AH55</f>
        <v>32.374999999999986</v>
      </c>
      <c r="AH56" s="54">
        <v>98.419999999999987</v>
      </c>
      <c r="AI56" s="5">
        <v>0.7</v>
      </c>
      <c r="AJ56" s="10"/>
      <c r="AK56" s="29">
        <v>3</v>
      </c>
      <c r="AL56" s="58">
        <f t="shared" ref="AL56:AL63" si="22">AM56-AM55</f>
        <v>33.5</v>
      </c>
      <c r="AM56" s="54">
        <v>101.84</v>
      </c>
      <c r="AN56" s="41">
        <v>0.7</v>
      </c>
    </row>
    <row r="57" spans="10:40" x14ac:dyDescent="0.2">
      <c r="J57" s="40">
        <v>4</v>
      </c>
      <c r="K57" s="58">
        <f t="shared" si="17"/>
        <v>-32.525999999999996</v>
      </c>
      <c r="L57" s="54">
        <v>-127.60199999999999</v>
      </c>
      <c r="M57" s="5">
        <v>0.7</v>
      </c>
      <c r="N57" s="10"/>
      <c r="O57" s="29">
        <v>4</v>
      </c>
      <c r="P57" s="58">
        <f t="shared" si="18"/>
        <v>-33.670000000000016</v>
      </c>
      <c r="Q57" s="54">
        <v>-132.09</v>
      </c>
      <c r="R57" s="5">
        <v>0.7</v>
      </c>
      <c r="S57" s="10"/>
      <c r="T57" s="29">
        <v>4</v>
      </c>
      <c r="U57" s="58">
        <f t="shared" si="19"/>
        <v>-34.840000000000003</v>
      </c>
      <c r="V57" s="54">
        <v>-136.68</v>
      </c>
      <c r="W57" s="41">
        <v>0.7</v>
      </c>
      <c r="AA57" s="40">
        <v>4</v>
      </c>
      <c r="AB57" s="58">
        <f t="shared" si="20"/>
        <v>32.525999999999996</v>
      </c>
      <c r="AC57" s="54">
        <v>127.60199999999999</v>
      </c>
      <c r="AD57" s="5">
        <v>0.7</v>
      </c>
      <c r="AE57" s="10"/>
      <c r="AF57" s="29">
        <v>4</v>
      </c>
      <c r="AG57" s="58">
        <f t="shared" si="21"/>
        <v>33.670000000000016</v>
      </c>
      <c r="AH57" s="54">
        <v>132.09</v>
      </c>
      <c r="AI57" s="5">
        <v>0.7</v>
      </c>
      <c r="AJ57" s="10"/>
      <c r="AK57" s="29">
        <v>4</v>
      </c>
      <c r="AL57" s="58">
        <f t="shared" si="22"/>
        <v>34.840000000000003</v>
      </c>
      <c r="AM57" s="54">
        <v>136.68</v>
      </c>
      <c r="AN57" s="41">
        <v>0.7</v>
      </c>
    </row>
    <row r="58" spans="10:40" x14ac:dyDescent="0.2">
      <c r="J58" s="40">
        <v>5</v>
      </c>
      <c r="K58" s="58">
        <f t="shared" si="17"/>
        <v>-31.274999999999991</v>
      </c>
      <c r="L58" s="55">
        <v>-158.87699999999998</v>
      </c>
      <c r="M58" s="22">
        <v>0.7</v>
      </c>
      <c r="N58" s="10"/>
      <c r="O58" s="29">
        <v>5</v>
      </c>
      <c r="P58" s="58">
        <f t="shared" si="18"/>
        <v>-32.375</v>
      </c>
      <c r="Q58" s="55">
        <v>-164.465</v>
      </c>
      <c r="R58" s="22">
        <v>0.7</v>
      </c>
      <c r="S58" s="10"/>
      <c r="T58" s="29">
        <v>5</v>
      </c>
      <c r="U58" s="58">
        <f t="shared" si="19"/>
        <v>-33.5</v>
      </c>
      <c r="V58" s="55">
        <v>-170.18</v>
      </c>
      <c r="W58" s="42">
        <v>0.7</v>
      </c>
      <c r="AA58" s="40">
        <v>5</v>
      </c>
      <c r="AB58" s="58">
        <f t="shared" si="20"/>
        <v>31.274999999999991</v>
      </c>
      <c r="AC58" s="55">
        <v>158.87699999999998</v>
      </c>
      <c r="AD58" s="22">
        <v>0.7</v>
      </c>
      <c r="AE58" s="10"/>
      <c r="AF58" s="29">
        <v>5</v>
      </c>
      <c r="AG58" s="58">
        <f t="shared" si="21"/>
        <v>32.375</v>
      </c>
      <c r="AH58" s="55">
        <v>164.465</v>
      </c>
      <c r="AI58" s="22">
        <v>0.7</v>
      </c>
      <c r="AJ58" s="10"/>
      <c r="AK58" s="29">
        <v>5</v>
      </c>
      <c r="AL58" s="58">
        <f t="shared" si="22"/>
        <v>33.5</v>
      </c>
      <c r="AM58" s="55">
        <v>170.18</v>
      </c>
      <c r="AN58" s="42">
        <v>0.7</v>
      </c>
    </row>
    <row r="59" spans="10:40" x14ac:dyDescent="0.2">
      <c r="J59" s="40">
        <v>10</v>
      </c>
      <c r="K59" s="58">
        <f t="shared" si="17"/>
        <v>-160.12800000000001</v>
      </c>
      <c r="L59" s="54">
        <v>-319.005</v>
      </c>
      <c r="M59" s="5">
        <v>0.7</v>
      </c>
      <c r="N59" s="10"/>
      <c r="O59" s="29">
        <v>10</v>
      </c>
      <c r="P59" s="58">
        <f t="shared" si="18"/>
        <v>-165.75999999999996</v>
      </c>
      <c r="Q59" s="54">
        <v>-330.22499999999997</v>
      </c>
      <c r="R59" s="5">
        <v>0.7</v>
      </c>
      <c r="S59" s="10"/>
      <c r="T59" s="29">
        <v>10</v>
      </c>
      <c r="U59" s="58">
        <f t="shared" si="19"/>
        <v>-171.52000000000004</v>
      </c>
      <c r="V59" s="54">
        <v>-341.70000000000005</v>
      </c>
      <c r="W59" s="41">
        <v>0.7</v>
      </c>
      <c r="AA59" s="40">
        <v>10</v>
      </c>
      <c r="AB59" s="58">
        <f t="shared" si="20"/>
        <v>160.12800000000001</v>
      </c>
      <c r="AC59" s="54">
        <v>319.005</v>
      </c>
      <c r="AD59" s="5">
        <v>0.7</v>
      </c>
      <c r="AE59" s="10"/>
      <c r="AF59" s="29">
        <v>10</v>
      </c>
      <c r="AG59" s="58">
        <f t="shared" si="21"/>
        <v>165.75999999999996</v>
      </c>
      <c r="AH59" s="54">
        <v>330.22499999999997</v>
      </c>
      <c r="AI59" s="5">
        <v>0.7</v>
      </c>
      <c r="AJ59" s="10"/>
      <c r="AK59" s="29">
        <v>10</v>
      </c>
      <c r="AL59" s="58">
        <f t="shared" si="22"/>
        <v>171.52000000000004</v>
      </c>
      <c r="AM59" s="54">
        <v>341.70000000000005</v>
      </c>
      <c r="AN59" s="41">
        <v>0.7</v>
      </c>
    </row>
    <row r="60" spans="10:40" x14ac:dyDescent="0.2">
      <c r="J60" s="40">
        <v>20</v>
      </c>
      <c r="K60" s="58">
        <f t="shared" si="17"/>
        <v>-317.75399999999991</v>
      </c>
      <c r="L60" s="54">
        <v>-636.7589999999999</v>
      </c>
      <c r="M60" s="5">
        <v>0.7</v>
      </c>
      <c r="N60" s="10"/>
      <c r="O60" s="29">
        <v>20</v>
      </c>
      <c r="P60" s="58">
        <f t="shared" si="18"/>
        <v>-328.93</v>
      </c>
      <c r="Q60" s="54">
        <v>-659.15499999999997</v>
      </c>
      <c r="R60" s="5">
        <v>0.7</v>
      </c>
      <c r="S60" s="10"/>
      <c r="T60" s="29">
        <v>20</v>
      </c>
      <c r="U60" s="58">
        <f t="shared" si="19"/>
        <v>-340.36</v>
      </c>
      <c r="V60" s="54">
        <v>-682.06000000000006</v>
      </c>
      <c r="W60" s="41">
        <v>0.7</v>
      </c>
      <c r="AA60" s="40">
        <v>20</v>
      </c>
      <c r="AB60" s="58">
        <f t="shared" si="20"/>
        <v>317.75399999999991</v>
      </c>
      <c r="AC60" s="54">
        <v>636.7589999999999</v>
      </c>
      <c r="AD60" s="5">
        <v>0.7</v>
      </c>
      <c r="AE60" s="10"/>
      <c r="AF60" s="29">
        <v>20</v>
      </c>
      <c r="AG60" s="58">
        <f t="shared" si="21"/>
        <v>328.93</v>
      </c>
      <c r="AH60" s="54">
        <v>659.15499999999997</v>
      </c>
      <c r="AI60" s="5">
        <v>0.7</v>
      </c>
      <c r="AJ60" s="10"/>
      <c r="AK60" s="29">
        <v>20</v>
      </c>
      <c r="AL60" s="58">
        <f t="shared" si="22"/>
        <v>340.36</v>
      </c>
      <c r="AM60" s="54">
        <v>682.06000000000006</v>
      </c>
      <c r="AN60" s="41">
        <v>0.7</v>
      </c>
    </row>
    <row r="61" spans="10:40" x14ac:dyDescent="0.2">
      <c r="J61" s="40">
        <v>30</v>
      </c>
      <c r="K61" s="58">
        <f t="shared" si="17"/>
        <v>-319.005</v>
      </c>
      <c r="L61" s="54">
        <v>-955.7639999999999</v>
      </c>
      <c r="M61" s="5">
        <v>0.7</v>
      </c>
      <c r="N61" s="10"/>
      <c r="O61" s="29">
        <v>30</v>
      </c>
      <c r="P61" s="58">
        <f t="shared" si="18"/>
        <v>-330.22500000000002</v>
      </c>
      <c r="Q61" s="54">
        <v>-989.38</v>
      </c>
      <c r="R61" s="5">
        <v>0.7</v>
      </c>
      <c r="S61" s="10"/>
      <c r="T61" s="29">
        <v>30</v>
      </c>
      <c r="U61" s="58">
        <f t="shared" si="19"/>
        <v>-341.70000000000005</v>
      </c>
      <c r="V61" s="54">
        <v>-1023.7600000000001</v>
      </c>
      <c r="W61" s="41">
        <v>0.7</v>
      </c>
      <c r="AA61" s="40">
        <v>30</v>
      </c>
      <c r="AB61" s="58">
        <f t="shared" si="20"/>
        <v>319.005</v>
      </c>
      <c r="AC61" s="54">
        <v>955.7639999999999</v>
      </c>
      <c r="AD61" s="5">
        <v>0.7</v>
      </c>
      <c r="AE61" s="10"/>
      <c r="AF61" s="29">
        <v>30</v>
      </c>
      <c r="AG61" s="58">
        <f t="shared" si="21"/>
        <v>330.22500000000002</v>
      </c>
      <c r="AH61" s="54">
        <v>989.38</v>
      </c>
      <c r="AI61" s="5">
        <v>0.7</v>
      </c>
      <c r="AJ61" s="10"/>
      <c r="AK61" s="29">
        <v>30</v>
      </c>
      <c r="AL61" s="58">
        <f t="shared" si="22"/>
        <v>341.70000000000005</v>
      </c>
      <c r="AM61" s="54">
        <v>1023.7600000000001</v>
      </c>
      <c r="AN61" s="41">
        <v>0.7</v>
      </c>
    </row>
    <row r="62" spans="10:40" x14ac:dyDescent="0.2">
      <c r="J62" s="40">
        <v>40</v>
      </c>
      <c r="K62" s="58">
        <f t="shared" si="17"/>
        <v>-317.75399999999991</v>
      </c>
      <c r="L62" s="55">
        <v>-1273.5179999999998</v>
      </c>
      <c r="M62" s="22">
        <v>0.7</v>
      </c>
      <c r="N62" s="10"/>
      <c r="O62" s="29">
        <v>40</v>
      </c>
      <c r="P62" s="58">
        <f t="shared" si="18"/>
        <v>-328.92999999999995</v>
      </c>
      <c r="Q62" s="55">
        <v>-1318.31</v>
      </c>
      <c r="R62" s="22">
        <v>0.7</v>
      </c>
      <c r="S62" s="10"/>
      <c r="T62" s="29">
        <v>40</v>
      </c>
      <c r="U62" s="58">
        <f t="shared" si="19"/>
        <v>-340.36</v>
      </c>
      <c r="V62" s="55">
        <v>-1364.1200000000001</v>
      </c>
      <c r="W62" s="42">
        <v>0.7</v>
      </c>
      <c r="AA62" s="40">
        <v>40</v>
      </c>
      <c r="AB62" s="58">
        <f t="shared" si="20"/>
        <v>317.75399999999991</v>
      </c>
      <c r="AC62" s="55">
        <v>1273.5179999999998</v>
      </c>
      <c r="AD62" s="22">
        <v>0.7</v>
      </c>
      <c r="AE62" s="10"/>
      <c r="AF62" s="29">
        <v>40</v>
      </c>
      <c r="AG62" s="58">
        <f t="shared" si="21"/>
        <v>328.92999999999995</v>
      </c>
      <c r="AH62" s="55">
        <v>1318.31</v>
      </c>
      <c r="AI62" s="22">
        <v>0.7</v>
      </c>
      <c r="AJ62" s="10"/>
      <c r="AK62" s="29">
        <v>40</v>
      </c>
      <c r="AL62" s="58">
        <f t="shared" si="22"/>
        <v>340.36</v>
      </c>
      <c r="AM62" s="55">
        <v>1364.1200000000001</v>
      </c>
      <c r="AN62" s="42">
        <v>0.7</v>
      </c>
    </row>
    <row r="63" spans="10:40" x14ac:dyDescent="0.2">
      <c r="J63" s="40">
        <v>50</v>
      </c>
      <c r="K63" s="58">
        <f t="shared" si="17"/>
        <v>-317.75400000000013</v>
      </c>
      <c r="L63" s="54">
        <v>-1591.2719999999999</v>
      </c>
      <c r="M63" s="5">
        <v>0.7</v>
      </c>
      <c r="N63" s="10"/>
      <c r="O63" s="29">
        <v>50</v>
      </c>
      <c r="P63" s="58">
        <f t="shared" si="18"/>
        <v>-328.93000000000006</v>
      </c>
      <c r="Q63" s="54">
        <v>-1647.24</v>
      </c>
      <c r="R63" s="5">
        <v>0.7</v>
      </c>
      <c r="S63" s="10"/>
      <c r="T63" s="29">
        <v>50</v>
      </c>
      <c r="U63" s="58">
        <f t="shared" si="19"/>
        <v>-340.3599999999999</v>
      </c>
      <c r="V63" s="54">
        <v>-1704.48</v>
      </c>
      <c r="W63" s="41">
        <v>0.7</v>
      </c>
      <c r="AA63" s="40">
        <v>50</v>
      </c>
      <c r="AB63" s="58">
        <f t="shared" si="20"/>
        <v>317.75400000000013</v>
      </c>
      <c r="AC63" s="54">
        <v>1591.2719999999999</v>
      </c>
      <c r="AD63" s="5">
        <v>0.7</v>
      </c>
      <c r="AE63" s="10"/>
      <c r="AF63" s="29">
        <v>50</v>
      </c>
      <c r="AG63" s="58">
        <f t="shared" si="21"/>
        <v>328.93000000000006</v>
      </c>
      <c r="AH63" s="54">
        <v>1647.24</v>
      </c>
      <c r="AI63" s="5">
        <v>0.7</v>
      </c>
      <c r="AJ63" s="10"/>
      <c r="AK63" s="29">
        <v>50</v>
      </c>
      <c r="AL63" s="58">
        <f t="shared" si="22"/>
        <v>340.3599999999999</v>
      </c>
      <c r="AM63" s="54">
        <v>1704.48</v>
      </c>
      <c r="AN63" s="41">
        <v>0.7</v>
      </c>
    </row>
    <row r="64" spans="10:40" x14ac:dyDescent="0.2">
      <c r="J64" s="49" t="s">
        <v>16</v>
      </c>
      <c r="K64" s="50">
        <f>L62/L59</f>
        <v>3.9921568627450976</v>
      </c>
      <c r="L64" s="30"/>
      <c r="M64" s="5"/>
      <c r="N64" s="10"/>
      <c r="O64" s="51" t="s">
        <v>16</v>
      </c>
      <c r="P64" s="50">
        <f>Q62/Q59</f>
        <v>3.9921568627450981</v>
      </c>
      <c r="Q64" s="30"/>
      <c r="R64" s="5"/>
      <c r="S64" s="10"/>
      <c r="T64" s="51" t="s">
        <v>16</v>
      </c>
      <c r="U64" s="50">
        <f>V62/V59</f>
        <v>3.9921568627450981</v>
      </c>
      <c r="V64" s="30"/>
      <c r="W64" s="41"/>
      <c r="AA64" s="49" t="s">
        <v>16</v>
      </c>
      <c r="AB64" s="50">
        <f>AC62/AC59</f>
        <v>3.9921568627450976</v>
      </c>
      <c r="AC64" s="30"/>
      <c r="AD64" s="5"/>
      <c r="AE64" s="10"/>
      <c r="AF64" s="49" t="s">
        <v>16</v>
      </c>
      <c r="AG64" s="50">
        <f>AH62/AH59</f>
        <v>3.9921568627450981</v>
      </c>
      <c r="AH64" s="30"/>
      <c r="AI64" s="5"/>
      <c r="AJ64" s="10"/>
      <c r="AK64" s="49" t="s">
        <v>16</v>
      </c>
      <c r="AL64" s="50">
        <f>AM62/AM59</f>
        <v>3.9921568627450981</v>
      </c>
      <c r="AM64" s="30"/>
      <c r="AN64" s="41"/>
    </row>
    <row r="65" spans="10:40" x14ac:dyDescent="0.2">
      <c r="J65" s="14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6"/>
      <c r="AA65" s="14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6"/>
    </row>
    <row r="66" spans="10:40" x14ac:dyDescent="0.2">
      <c r="J66" s="14"/>
      <c r="K66" s="10"/>
      <c r="L66" s="23">
        <v>2.9</v>
      </c>
      <c r="M66" s="10" t="s">
        <v>0</v>
      </c>
      <c r="N66" s="10"/>
      <c r="O66" s="10"/>
      <c r="P66" s="10"/>
      <c r="Q66" s="23">
        <v>3</v>
      </c>
      <c r="R66" s="10" t="s">
        <v>0</v>
      </c>
      <c r="S66" s="10"/>
      <c r="T66" s="10"/>
      <c r="U66" s="10"/>
      <c r="V66" s="23">
        <v>3.1</v>
      </c>
      <c r="W66" s="16" t="s">
        <v>0</v>
      </c>
      <c r="AA66" s="14"/>
      <c r="AB66" s="10"/>
      <c r="AC66" s="23">
        <v>2.9</v>
      </c>
      <c r="AD66" s="10" t="s">
        <v>0</v>
      </c>
      <c r="AE66" s="10"/>
      <c r="AF66" s="10"/>
      <c r="AG66" s="10"/>
      <c r="AH66" s="10"/>
      <c r="AI66" s="10"/>
      <c r="AJ66" s="10"/>
      <c r="AK66" s="10"/>
      <c r="AL66" s="10"/>
      <c r="AM66" s="10"/>
      <c r="AN66" s="16"/>
    </row>
    <row r="67" spans="10:40" x14ac:dyDescent="0.2">
      <c r="J67" s="14"/>
      <c r="K67" s="10"/>
      <c r="L67" s="23">
        <v>6.12</v>
      </c>
      <c r="M67" s="10" t="s">
        <v>1</v>
      </c>
      <c r="N67" s="10"/>
      <c r="O67" s="10"/>
      <c r="P67" s="10"/>
      <c r="Q67" s="23">
        <v>6.52</v>
      </c>
      <c r="R67" s="10" t="s">
        <v>1</v>
      </c>
      <c r="S67" s="10"/>
      <c r="T67" s="10"/>
      <c r="U67" s="10"/>
      <c r="V67" s="23">
        <v>6.52</v>
      </c>
      <c r="W67" s="16" t="s">
        <v>1</v>
      </c>
      <c r="AA67" s="14"/>
      <c r="AB67" s="10"/>
      <c r="AC67" s="23">
        <v>6.12</v>
      </c>
      <c r="AD67" s="10" t="s">
        <v>1</v>
      </c>
      <c r="AE67" s="10"/>
      <c r="AF67" s="10"/>
      <c r="AG67" s="10"/>
      <c r="AH67" s="10"/>
      <c r="AI67" s="10"/>
      <c r="AJ67" s="10"/>
      <c r="AK67" s="10"/>
      <c r="AL67" s="10"/>
      <c r="AM67" s="10"/>
      <c r="AN67" s="16"/>
    </row>
    <row r="68" spans="10:40" x14ac:dyDescent="0.2">
      <c r="J68" s="14"/>
      <c r="K68" s="10"/>
      <c r="L68" s="23">
        <v>85</v>
      </c>
      <c r="M68" s="10" t="s">
        <v>8</v>
      </c>
      <c r="N68" s="10"/>
      <c r="O68" s="10"/>
      <c r="P68" s="10"/>
      <c r="Q68" s="23">
        <v>85</v>
      </c>
      <c r="R68" s="10" t="s">
        <v>8</v>
      </c>
      <c r="S68" s="10"/>
      <c r="T68" s="10"/>
      <c r="U68" s="10"/>
      <c r="V68" s="23">
        <v>85</v>
      </c>
      <c r="W68" s="16" t="s">
        <v>8</v>
      </c>
      <c r="AA68" s="14"/>
      <c r="AB68" s="10"/>
      <c r="AC68" s="23">
        <v>85</v>
      </c>
      <c r="AD68" s="10" t="s">
        <v>8</v>
      </c>
      <c r="AE68" s="10"/>
      <c r="AF68" s="10"/>
      <c r="AG68" s="10"/>
      <c r="AH68" s="10"/>
      <c r="AI68" s="10"/>
      <c r="AJ68" s="10"/>
      <c r="AK68" s="10"/>
      <c r="AL68" s="10"/>
      <c r="AM68" s="10"/>
      <c r="AN68" s="16"/>
    </row>
    <row r="69" spans="10:40" x14ac:dyDescent="0.2">
      <c r="J69" s="38" t="s">
        <v>9</v>
      </c>
      <c r="K69" s="56" t="s">
        <v>15</v>
      </c>
      <c r="L69" s="28" t="s">
        <v>10</v>
      </c>
      <c r="M69" s="27" t="s">
        <v>11</v>
      </c>
      <c r="N69" s="10"/>
      <c r="O69" s="27" t="s">
        <v>9</v>
      </c>
      <c r="P69" s="56" t="s">
        <v>15</v>
      </c>
      <c r="Q69" s="28" t="s">
        <v>10</v>
      </c>
      <c r="R69" s="27" t="s">
        <v>11</v>
      </c>
      <c r="S69" s="10"/>
      <c r="T69" s="27" t="s">
        <v>9</v>
      </c>
      <c r="U69" s="56" t="s">
        <v>15</v>
      </c>
      <c r="V69" s="28" t="s">
        <v>10</v>
      </c>
      <c r="W69" s="39" t="s">
        <v>11</v>
      </c>
      <c r="AA69" s="38" t="s">
        <v>9</v>
      </c>
      <c r="AB69" s="56" t="s">
        <v>15</v>
      </c>
      <c r="AC69" s="28" t="s">
        <v>10</v>
      </c>
      <c r="AD69" s="27" t="s">
        <v>11</v>
      </c>
      <c r="AE69" s="10"/>
      <c r="AF69" s="11"/>
      <c r="AG69" s="12"/>
      <c r="AH69" s="12"/>
      <c r="AI69" s="12"/>
      <c r="AJ69" s="12"/>
      <c r="AK69" s="12"/>
      <c r="AL69" s="12"/>
      <c r="AM69" s="12"/>
      <c r="AN69" s="13"/>
    </row>
    <row r="70" spans="10:40" x14ac:dyDescent="0.2">
      <c r="J70" s="40">
        <v>1</v>
      </c>
      <c r="K70" s="57"/>
      <c r="L70" s="54">
        <v>-36.01</v>
      </c>
      <c r="M70" s="5">
        <v>0.7</v>
      </c>
      <c r="N70" s="10"/>
      <c r="O70" s="29">
        <v>1</v>
      </c>
      <c r="P70" s="57"/>
      <c r="Q70" s="54">
        <v>-38</v>
      </c>
      <c r="R70" s="5">
        <v>0.7</v>
      </c>
      <c r="S70" s="10"/>
      <c r="T70" s="29">
        <v>1</v>
      </c>
      <c r="U70" s="57"/>
      <c r="V70" s="54">
        <v>-41</v>
      </c>
      <c r="W70" s="41">
        <v>0.7</v>
      </c>
      <c r="AA70" s="40">
        <v>1</v>
      </c>
      <c r="AB70" s="57"/>
      <c r="AC70" s="54">
        <v>36.01</v>
      </c>
      <c r="AD70" s="5">
        <v>0.7</v>
      </c>
      <c r="AE70" s="10"/>
      <c r="AF70" s="14" t="s">
        <v>17</v>
      </c>
      <c r="AG70" s="10"/>
      <c r="AH70" s="10"/>
      <c r="AI70" s="10"/>
      <c r="AJ70" s="10"/>
      <c r="AK70" s="10"/>
      <c r="AL70" s="10"/>
      <c r="AM70" s="10"/>
      <c r="AN70" s="16"/>
    </row>
    <row r="71" spans="10:40" x14ac:dyDescent="0.2">
      <c r="J71" s="40">
        <v>2</v>
      </c>
      <c r="K71" s="58">
        <f>L71-L70</f>
        <v>-34.625000000000007</v>
      </c>
      <c r="L71" s="55">
        <v>-70.635000000000005</v>
      </c>
      <c r="M71" s="22">
        <v>0.7</v>
      </c>
      <c r="N71" s="10"/>
      <c r="O71" s="29">
        <v>2</v>
      </c>
      <c r="P71" s="58">
        <f>Q71-Q70</f>
        <v>-37</v>
      </c>
      <c r="Q71" s="55">
        <v>-75</v>
      </c>
      <c r="R71" s="22">
        <v>0.7</v>
      </c>
      <c r="S71" s="10"/>
      <c r="T71" s="29">
        <v>2</v>
      </c>
      <c r="U71" s="58">
        <f>V71-V70</f>
        <v>-39</v>
      </c>
      <c r="V71" s="55">
        <v>-80</v>
      </c>
      <c r="W71" s="42">
        <v>0.7</v>
      </c>
      <c r="AA71" s="40">
        <v>2</v>
      </c>
      <c r="AB71" s="58">
        <f>AC71-AC70</f>
        <v>34.625000000000007</v>
      </c>
      <c r="AC71" s="55">
        <v>70.635000000000005</v>
      </c>
      <c r="AD71" s="22">
        <v>0.7</v>
      </c>
      <c r="AE71" s="10"/>
      <c r="AF71" s="14" t="s">
        <v>18</v>
      </c>
      <c r="AG71" s="10"/>
      <c r="AH71" s="10"/>
      <c r="AI71" s="10"/>
      <c r="AJ71" s="10"/>
      <c r="AK71" s="10"/>
      <c r="AL71" s="10"/>
      <c r="AM71" s="10"/>
      <c r="AN71" s="16"/>
    </row>
    <row r="72" spans="10:40" x14ac:dyDescent="0.2">
      <c r="J72" s="40">
        <v>3</v>
      </c>
      <c r="K72" s="58">
        <f t="shared" ref="K72:K79" si="23">L72-L71</f>
        <v>-34.625</v>
      </c>
      <c r="L72" s="54">
        <v>-105.26</v>
      </c>
      <c r="M72" s="5">
        <v>0.7</v>
      </c>
      <c r="N72" s="10"/>
      <c r="O72" s="29">
        <v>3</v>
      </c>
      <c r="P72" s="58">
        <f t="shared" ref="P72:P79" si="24">Q72-Q71</f>
        <v>-37</v>
      </c>
      <c r="Q72" s="54">
        <v>-112</v>
      </c>
      <c r="R72" s="5">
        <v>0.7</v>
      </c>
      <c r="S72" s="10"/>
      <c r="T72" s="29">
        <v>3</v>
      </c>
      <c r="U72" s="58">
        <f t="shared" ref="U72:U79" si="25">V72-V71</f>
        <v>-40</v>
      </c>
      <c r="V72" s="54">
        <v>-120</v>
      </c>
      <c r="W72" s="41">
        <v>0.7</v>
      </c>
      <c r="AA72" s="40">
        <v>3</v>
      </c>
      <c r="AB72" s="58">
        <f t="shared" ref="AB72:AB79" si="26">AC72-AC71</f>
        <v>34.625</v>
      </c>
      <c r="AC72" s="54">
        <v>105.26</v>
      </c>
      <c r="AD72" s="5">
        <v>0.7</v>
      </c>
      <c r="AE72" s="10"/>
      <c r="AF72" s="47"/>
      <c r="AG72" s="10"/>
      <c r="AH72" s="10"/>
      <c r="AI72" s="10"/>
      <c r="AJ72" s="10"/>
      <c r="AK72" s="10"/>
      <c r="AL72" s="10"/>
      <c r="AM72" s="10"/>
      <c r="AN72" s="16"/>
    </row>
    <row r="73" spans="10:40" x14ac:dyDescent="0.2">
      <c r="J73" s="40">
        <v>4</v>
      </c>
      <c r="K73" s="58">
        <f t="shared" si="23"/>
        <v>-36.010000000000005</v>
      </c>
      <c r="L73" s="54">
        <v>-141.27000000000001</v>
      </c>
      <c r="M73" s="5">
        <v>0.7</v>
      </c>
      <c r="N73" s="10"/>
      <c r="O73" s="29">
        <v>4</v>
      </c>
      <c r="P73" s="58">
        <f t="shared" si="24"/>
        <v>-39</v>
      </c>
      <c r="Q73" s="54">
        <v>-151</v>
      </c>
      <c r="R73" s="5">
        <v>0.7</v>
      </c>
      <c r="S73" s="10"/>
      <c r="T73" s="29">
        <v>4</v>
      </c>
      <c r="U73" s="58">
        <f t="shared" si="25"/>
        <v>-40</v>
      </c>
      <c r="V73" s="54">
        <v>-160</v>
      </c>
      <c r="W73" s="41">
        <v>0.7</v>
      </c>
      <c r="AA73" s="40">
        <v>4</v>
      </c>
      <c r="AB73" s="58">
        <f t="shared" si="26"/>
        <v>36.010000000000005</v>
      </c>
      <c r="AC73" s="54">
        <v>141.27000000000001</v>
      </c>
      <c r="AD73" s="5">
        <v>0.7</v>
      </c>
      <c r="AE73" s="10"/>
      <c r="AF73" s="47" t="s">
        <v>19</v>
      </c>
      <c r="AG73" s="10"/>
      <c r="AH73" s="10"/>
      <c r="AI73" s="10"/>
      <c r="AJ73" s="10"/>
      <c r="AK73" s="10"/>
      <c r="AL73" s="10"/>
      <c r="AM73" s="10"/>
      <c r="AN73" s="16"/>
    </row>
    <row r="74" spans="10:40" x14ac:dyDescent="0.2">
      <c r="J74" s="40">
        <v>5</v>
      </c>
      <c r="K74" s="58">
        <f t="shared" si="23"/>
        <v>-34.625</v>
      </c>
      <c r="L74" s="55">
        <v>-175.89500000000001</v>
      </c>
      <c r="M74" s="22">
        <v>0.7</v>
      </c>
      <c r="N74" s="10"/>
      <c r="O74" s="29">
        <v>5</v>
      </c>
      <c r="P74" s="58">
        <f t="shared" si="24"/>
        <v>-37</v>
      </c>
      <c r="Q74" s="55">
        <v>-188</v>
      </c>
      <c r="R74" s="22">
        <v>0.7</v>
      </c>
      <c r="S74" s="10"/>
      <c r="T74" s="29">
        <v>5</v>
      </c>
      <c r="U74" s="58">
        <f t="shared" si="25"/>
        <v>-40</v>
      </c>
      <c r="V74" s="55">
        <v>-200</v>
      </c>
      <c r="W74" s="42">
        <v>0.7</v>
      </c>
      <c r="AA74" s="40">
        <v>5</v>
      </c>
      <c r="AB74" s="58">
        <f t="shared" si="26"/>
        <v>34.625</v>
      </c>
      <c r="AC74" s="55">
        <v>175.89500000000001</v>
      </c>
      <c r="AD74" s="22">
        <v>0.7</v>
      </c>
      <c r="AE74" s="10"/>
      <c r="AF74" s="14"/>
      <c r="AG74" s="10"/>
      <c r="AH74" s="10"/>
      <c r="AI74" s="10"/>
      <c r="AJ74" s="10"/>
      <c r="AK74" s="10"/>
      <c r="AL74" s="10"/>
      <c r="AM74" s="10"/>
      <c r="AN74" s="16"/>
    </row>
    <row r="75" spans="10:40" x14ac:dyDescent="0.2">
      <c r="J75" s="40">
        <v>10</v>
      </c>
      <c r="K75" s="58">
        <f t="shared" si="23"/>
        <v>-177.28</v>
      </c>
      <c r="L75" s="54">
        <v>-353.17500000000001</v>
      </c>
      <c r="M75" s="5">
        <v>0.7</v>
      </c>
      <c r="N75" s="10"/>
      <c r="O75" s="29">
        <v>10</v>
      </c>
      <c r="P75" s="58">
        <f t="shared" si="24"/>
        <v>-189</v>
      </c>
      <c r="Q75" s="54">
        <v>-377</v>
      </c>
      <c r="R75" s="5">
        <v>0.7</v>
      </c>
      <c r="S75" s="10"/>
      <c r="T75" s="29">
        <v>10</v>
      </c>
      <c r="U75" s="58">
        <f t="shared" si="25"/>
        <v>-202</v>
      </c>
      <c r="V75" s="54">
        <v>-402</v>
      </c>
      <c r="W75" s="41">
        <v>0.7</v>
      </c>
      <c r="AA75" s="40">
        <v>10</v>
      </c>
      <c r="AB75" s="58">
        <f t="shared" si="26"/>
        <v>177.28</v>
      </c>
      <c r="AC75" s="54">
        <v>353.17500000000001</v>
      </c>
      <c r="AD75" s="5">
        <v>0.7</v>
      </c>
      <c r="AE75" s="10"/>
      <c r="AF75" s="47"/>
      <c r="AG75" s="10"/>
      <c r="AH75" s="10"/>
      <c r="AI75" s="10"/>
      <c r="AJ75" s="10"/>
      <c r="AK75" s="10"/>
      <c r="AL75" s="10"/>
      <c r="AM75" s="10"/>
      <c r="AN75" s="16"/>
    </row>
    <row r="76" spans="10:40" x14ac:dyDescent="0.2">
      <c r="J76" s="40">
        <v>20</v>
      </c>
      <c r="K76" s="58">
        <f t="shared" si="23"/>
        <v>-351.79</v>
      </c>
      <c r="L76" s="54">
        <v>-704.96500000000003</v>
      </c>
      <c r="M76" s="5">
        <v>0.7</v>
      </c>
      <c r="N76" s="10"/>
      <c r="O76" s="29">
        <v>20</v>
      </c>
      <c r="P76" s="58">
        <f t="shared" si="24"/>
        <v>-376</v>
      </c>
      <c r="Q76" s="54">
        <v>-753</v>
      </c>
      <c r="R76" s="5">
        <v>0.7</v>
      </c>
      <c r="S76" s="10"/>
      <c r="T76" s="29">
        <v>20</v>
      </c>
      <c r="U76" s="58">
        <f t="shared" si="25"/>
        <v>-400</v>
      </c>
      <c r="V76" s="54">
        <v>-802</v>
      </c>
      <c r="W76" s="41">
        <v>0.7</v>
      </c>
      <c r="AA76" s="40">
        <v>20</v>
      </c>
      <c r="AB76" s="58">
        <f t="shared" si="26"/>
        <v>351.79</v>
      </c>
      <c r="AC76" s="54">
        <v>704.96500000000003</v>
      </c>
      <c r="AD76" s="5">
        <v>0.7</v>
      </c>
      <c r="AE76" s="10"/>
      <c r="AF76" s="14"/>
      <c r="AG76" s="10"/>
      <c r="AH76" s="10"/>
      <c r="AI76" s="10"/>
      <c r="AJ76" s="10"/>
      <c r="AK76" s="10"/>
      <c r="AL76" s="10"/>
      <c r="AM76" s="10"/>
      <c r="AN76" s="16"/>
    </row>
    <row r="77" spans="10:40" x14ac:dyDescent="0.2">
      <c r="J77" s="40">
        <v>30</v>
      </c>
      <c r="K77" s="58">
        <f t="shared" si="23"/>
        <v>-353.17500000000007</v>
      </c>
      <c r="L77" s="54">
        <v>-1058.1400000000001</v>
      </c>
      <c r="M77" s="5">
        <v>0.7</v>
      </c>
      <c r="N77" s="10"/>
      <c r="O77" s="29">
        <v>30</v>
      </c>
      <c r="P77" s="58">
        <f t="shared" si="24"/>
        <v>-377</v>
      </c>
      <c r="Q77" s="54">
        <v>-1130</v>
      </c>
      <c r="R77" s="5">
        <v>0.7</v>
      </c>
      <c r="S77" s="10"/>
      <c r="T77" s="29">
        <v>30</v>
      </c>
      <c r="U77" s="58">
        <f t="shared" si="25"/>
        <v>-401</v>
      </c>
      <c r="V77" s="54">
        <v>-1203</v>
      </c>
      <c r="W77" s="41">
        <v>0.7</v>
      </c>
      <c r="AA77" s="40">
        <v>30</v>
      </c>
      <c r="AB77" s="58">
        <f t="shared" si="26"/>
        <v>353.17500000000007</v>
      </c>
      <c r="AC77" s="54">
        <v>1058.1400000000001</v>
      </c>
      <c r="AD77" s="5">
        <v>0.7</v>
      </c>
      <c r="AE77" s="10"/>
      <c r="AF77" s="14"/>
      <c r="AG77" s="10"/>
      <c r="AH77" s="10"/>
      <c r="AI77" s="10"/>
      <c r="AJ77" s="10"/>
      <c r="AK77" s="10"/>
      <c r="AL77" s="10"/>
      <c r="AM77" s="10"/>
      <c r="AN77" s="16"/>
    </row>
    <row r="78" spans="10:40" x14ac:dyDescent="0.2">
      <c r="J78" s="40">
        <v>40</v>
      </c>
      <c r="K78" s="58">
        <f t="shared" si="23"/>
        <v>-351.78999999999996</v>
      </c>
      <c r="L78" s="55">
        <v>-1409.93</v>
      </c>
      <c r="M78" s="22">
        <v>0.7</v>
      </c>
      <c r="N78" s="10"/>
      <c r="O78" s="29">
        <v>40</v>
      </c>
      <c r="P78" s="58">
        <f t="shared" si="24"/>
        <v>-376</v>
      </c>
      <c r="Q78" s="55">
        <v>-1506</v>
      </c>
      <c r="R78" s="22">
        <v>0.7</v>
      </c>
      <c r="S78" s="10"/>
      <c r="T78" s="29">
        <v>40</v>
      </c>
      <c r="U78" s="58">
        <f t="shared" si="25"/>
        <v>-400</v>
      </c>
      <c r="V78" s="55">
        <v>-1603</v>
      </c>
      <c r="W78" s="42">
        <v>0.7</v>
      </c>
      <c r="AA78" s="40">
        <v>40</v>
      </c>
      <c r="AB78" s="58">
        <f t="shared" si="26"/>
        <v>351.78999999999996</v>
      </c>
      <c r="AC78" s="55">
        <v>1409.93</v>
      </c>
      <c r="AD78" s="22">
        <v>0.7</v>
      </c>
      <c r="AE78" s="10"/>
      <c r="AF78" s="14"/>
      <c r="AG78" s="10"/>
      <c r="AH78" s="10"/>
      <c r="AI78" s="10"/>
      <c r="AJ78" s="10"/>
      <c r="AK78" s="10"/>
      <c r="AL78" s="10"/>
      <c r="AM78" s="10"/>
      <c r="AN78" s="16"/>
    </row>
    <row r="79" spans="10:40" x14ac:dyDescent="0.2">
      <c r="J79" s="40">
        <v>50</v>
      </c>
      <c r="K79" s="58">
        <f t="shared" si="23"/>
        <v>-351.78999999999996</v>
      </c>
      <c r="L79" s="54">
        <v>-1761.72</v>
      </c>
      <c r="M79" s="5">
        <v>0.7</v>
      </c>
      <c r="N79" s="10"/>
      <c r="O79" s="29">
        <v>50</v>
      </c>
      <c r="P79" s="58">
        <f t="shared" si="24"/>
        <v>-375</v>
      </c>
      <c r="Q79" s="54">
        <v>-1881</v>
      </c>
      <c r="R79" s="5">
        <v>0.7</v>
      </c>
      <c r="S79" s="10"/>
      <c r="T79" s="29">
        <v>50</v>
      </c>
      <c r="U79" s="58">
        <f t="shared" si="25"/>
        <v>-400</v>
      </c>
      <c r="V79" s="54">
        <v>-2003</v>
      </c>
      <c r="W79" s="41">
        <v>0.7</v>
      </c>
      <c r="AA79" s="40">
        <v>50</v>
      </c>
      <c r="AB79" s="58">
        <f t="shared" si="26"/>
        <v>351.78999999999996</v>
      </c>
      <c r="AC79" s="54">
        <v>1761.72</v>
      </c>
      <c r="AD79" s="5">
        <v>0.7</v>
      </c>
      <c r="AE79" s="10"/>
      <c r="AF79" s="14"/>
      <c r="AG79" s="10"/>
      <c r="AH79" s="10"/>
      <c r="AI79" s="10"/>
      <c r="AJ79" s="10"/>
      <c r="AK79" s="10"/>
      <c r="AL79" s="10"/>
      <c r="AM79" s="10"/>
      <c r="AN79" s="16"/>
    </row>
    <row r="80" spans="10:40" x14ac:dyDescent="0.2">
      <c r="J80" s="49" t="s">
        <v>16</v>
      </c>
      <c r="K80" s="50">
        <f>L78/L75</f>
        <v>3.9921568627450981</v>
      </c>
      <c r="L80" s="30"/>
      <c r="M80" s="5"/>
      <c r="N80" s="10"/>
      <c r="O80" s="51" t="s">
        <v>16</v>
      </c>
      <c r="P80" s="50">
        <f>Q78/Q75</f>
        <v>3.9946949602122017</v>
      </c>
      <c r="Q80" s="30"/>
      <c r="R80" s="5"/>
      <c r="S80" s="10"/>
      <c r="T80" s="51" t="s">
        <v>16</v>
      </c>
      <c r="U80" s="50">
        <f>V78/V75</f>
        <v>3.9875621890547261</v>
      </c>
      <c r="V80" s="30"/>
      <c r="W80" s="41"/>
      <c r="AA80" s="52" t="s">
        <v>16</v>
      </c>
      <c r="AB80" s="53">
        <f>AC78/AC75</f>
        <v>3.9921568627450981</v>
      </c>
      <c r="AC80" s="43"/>
      <c r="AD80" s="44"/>
      <c r="AE80" s="3"/>
      <c r="AF80" s="7"/>
      <c r="AG80" s="3"/>
      <c r="AH80" s="3"/>
      <c r="AI80" s="3"/>
      <c r="AJ80" s="3"/>
      <c r="AK80" s="3"/>
      <c r="AL80" s="3"/>
      <c r="AM80" s="3"/>
      <c r="AN80" s="8"/>
    </row>
    <row r="81" spans="10:23" x14ac:dyDescent="0.2">
      <c r="J81" s="14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6"/>
    </row>
    <row r="82" spans="10:23" x14ac:dyDescent="0.2">
      <c r="J82" s="14"/>
      <c r="K82" s="10"/>
      <c r="L82" s="23">
        <v>3.2</v>
      </c>
      <c r="M82" s="10" t="s">
        <v>0</v>
      </c>
      <c r="N82" s="10"/>
      <c r="O82" s="10"/>
      <c r="P82" s="10"/>
      <c r="Q82" s="23">
        <v>3.3</v>
      </c>
      <c r="R82" s="10" t="s">
        <v>0</v>
      </c>
      <c r="S82" s="10"/>
      <c r="T82" s="10"/>
      <c r="U82" s="10"/>
      <c r="V82" s="10"/>
      <c r="W82" s="16"/>
    </row>
    <row r="83" spans="10:23" x14ac:dyDescent="0.2">
      <c r="J83" s="14"/>
      <c r="K83" s="10"/>
      <c r="L83" s="23">
        <v>7.34</v>
      </c>
      <c r="M83" s="10" t="s">
        <v>1</v>
      </c>
      <c r="N83" s="10"/>
      <c r="O83" s="10"/>
      <c r="P83" s="10"/>
      <c r="Q83" s="23">
        <v>7.77</v>
      </c>
      <c r="R83" s="10" t="s">
        <v>1</v>
      </c>
      <c r="S83" s="10"/>
      <c r="T83" s="10"/>
      <c r="U83" s="10"/>
      <c r="V83" s="10"/>
      <c r="W83" s="16"/>
    </row>
    <row r="84" spans="10:23" x14ac:dyDescent="0.2">
      <c r="J84" s="14"/>
      <c r="K84" s="10"/>
      <c r="L84" s="23">
        <v>85</v>
      </c>
      <c r="M84" s="10" t="s">
        <v>8</v>
      </c>
      <c r="N84" s="10"/>
      <c r="O84" s="10"/>
      <c r="P84" s="10"/>
      <c r="Q84" s="23">
        <v>85</v>
      </c>
      <c r="R84" s="10" t="s">
        <v>8</v>
      </c>
      <c r="S84" s="10"/>
      <c r="T84" s="10"/>
      <c r="U84" s="10"/>
      <c r="V84" s="10"/>
      <c r="W84" s="16"/>
    </row>
    <row r="85" spans="10:23" x14ac:dyDescent="0.2">
      <c r="J85" s="38" t="s">
        <v>9</v>
      </c>
      <c r="K85" s="56" t="s">
        <v>15</v>
      </c>
      <c r="L85" s="28" t="s">
        <v>10</v>
      </c>
      <c r="M85" s="27" t="s">
        <v>11</v>
      </c>
      <c r="N85" s="10"/>
      <c r="O85" s="27" t="s">
        <v>9</v>
      </c>
      <c r="P85" s="56" t="s">
        <v>15</v>
      </c>
      <c r="Q85" s="28" t="s">
        <v>10</v>
      </c>
      <c r="R85" s="27" t="s">
        <v>11</v>
      </c>
      <c r="S85" s="10"/>
      <c r="T85" s="10"/>
      <c r="U85" s="10"/>
      <c r="V85" s="10"/>
      <c r="W85" s="16"/>
    </row>
    <row r="86" spans="10:23" x14ac:dyDescent="0.2">
      <c r="J86" s="40">
        <v>1</v>
      </c>
      <c r="K86" s="57"/>
      <c r="L86" s="54">
        <v>-44</v>
      </c>
      <c r="M86" s="5">
        <v>0.7</v>
      </c>
      <c r="N86" s="10"/>
      <c r="O86" s="29">
        <v>1</v>
      </c>
      <c r="P86" s="57"/>
      <c r="Q86" s="54">
        <v>-46</v>
      </c>
      <c r="R86" s="5">
        <v>0.7</v>
      </c>
      <c r="S86" s="10"/>
      <c r="T86" s="10"/>
      <c r="U86" s="10"/>
      <c r="V86" s="10"/>
      <c r="W86" s="16"/>
    </row>
    <row r="87" spans="10:23" x14ac:dyDescent="0.2">
      <c r="J87" s="40">
        <v>2</v>
      </c>
      <c r="K87" s="58">
        <f>L87-L86</f>
        <v>-41</v>
      </c>
      <c r="L87" s="55">
        <v>-85</v>
      </c>
      <c r="M87" s="22">
        <v>0.7</v>
      </c>
      <c r="N87" s="10"/>
      <c r="O87" s="29">
        <v>2</v>
      </c>
      <c r="P87" s="58">
        <f>Q87-Q86</f>
        <v>-45</v>
      </c>
      <c r="Q87" s="55">
        <v>-91</v>
      </c>
      <c r="R87" s="22">
        <v>0.7</v>
      </c>
      <c r="S87" s="10"/>
      <c r="T87" s="10"/>
      <c r="U87" s="10"/>
      <c r="V87" s="10"/>
      <c r="W87" s="16"/>
    </row>
    <row r="88" spans="10:23" x14ac:dyDescent="0.2">
      <c r="J88" s="40">
        <v>3</v>
      </c>
      <c r="K88" s="58">
        <f t="shared" ref="K88:K95" si="27">L88-L87</f>
        <v>-42</v>
      </c>
      <c r="L88" s="54">
        <v>-127</v>
      </c>
      <c r="M88" s="5">
        <v>0.7</v>
      </c>
      <c r="N88" s="10"/>
      <c r="O88" s="29">
        <v>3</v>
      </c>
      <c r="P88" s="58">
        <f t="shared" ref="P88:P95" si="28">Q88-Q87</f>
        <v>-44</v>
      </c>
      <c r="Q88" s="54">
        <v>-135</v>
      </c>
      <c r="R88" s="5">
        <v>0.7</v>
      </c>
      <c r="S88" s="10"/>
      <c r="T88" s="10"/>
      <c r="U88" s="10"/>
      <c r="V88" s="10"/>
      <c r="W88" s="16"/>
    </row>
    <row r="89" spans="10:23" x14ac:dyDescent="0.2">
      <c r="J89" s="40">
        <v>4</v>
      </c>
      <c r="K89" s="58">
        <f t="shared" si="27"/>
        <v>-44</v>
      </c>
      <c r="L89" s="54">
        <v>-171</v>
      </c>
      <c r="M89" s="5">
        <v>0.7</v>
      </c>
      <c r="N89" s="10"/>
      <c r="O89" s="29">
        <v>4</v>
      </c>
      <c r="P89" s="58">
        <f t="shared" si="28"/>
        <v>-46</v>
      </c>
      <c r="Q89" s="54">
        <v>-181</v>
      </c>
      <c r="R89" s="5">
        <v>0.7</v>
      </c>
      <c r="S89" s="10"/>
      <c r="T89" s="10"/>
      <c r="U89" s="10"/>
      <c r="V89" s="10"/>
      <c r="W89" s="16"/>
    </row>
    <row r="90" spans="10:23" x14ac:dyDescent="0.2">
      <c r="J90" s="40">
        <v>5</v>
      </c>
      <c r="K90" s="58">
        <f t="shared" si="27"/>
        <v>-42</v>
      </c>
      <c r="L90" s="55">
        <v>-213</v>
      </c>
      <c r="M90" s="22">
        <v>0.7</v>
      </c>
      <c r="N90" s="10"/>
      <c r="O90" s="29">
        <v>5</v>
      </c>
      <c r="P90" s="58">
        <f t="shared" si="28"/>
        <v>-45</v>
      </c>
      <c r="Q90" s="55">
        <v>-226</v>
      </c>
      <c r="R90" s="22">
        <v>0.7</v>
      </c>
      <c r="S90" s="10"/>
      <c r="T90" s="10"/>
      <c r="U90" s="10"/>
      <c r="V90" s="10"/>
      <c r="W90" s="16"/>
    </row>
    <row r="91" spans="10:23" x14ac:dyDescent="0.2">
      <c r="J91" s="40">
        <v>10</v>
      </c>
      <c r="K91" s="58">
        <f t="shared" si="27"/>
        <v>-214</v>
      </c>
      <c r="L91" s="54">
        <v>-427</v>
      </c>
      <c r="M91" s="5">
        <v>0.7</v>
      </c>
      <c r="N91" s="10"/>
      <c r="O91" s="29">
        <v>10</v>
      </c>
      <c r="P91" s="58">
        <f t="shared" si="28"/>
        <v>-227</v>
      </c>
      <c r="Q91" s="54">
        <v>-453</v>
      </c>
      <c r="R91" s="5">
        <v>0.7</v>
      </c>
      <c r="S91" s="10"/>
      <c r="T91" s="10"/>
      <c r="U91" s="10"/>
      <c r="V91" s="10"/>
      <c r="W91" s="16"/>
    </row>
    <row r="92" spans="10:23" x14ac:dyDescent="0.2">
      <c r="J92" s="40">
        <v>20</v>
      </c>
      <c r="K92" s="58">
        <f t="shared" si="27"/>
        <v>-425</v>
      </c>
      <c r="L92" s="54">
        <v>-852</v>
      </c>
      <c r="M92" s="5">
        <v>0.7</v>
      </c>
      <c r="N92" s="10"/>
      <c r="O92" s="29">
        <v>20</v>
      </c>
      <c r="P92" s="58">
        <f t="shared" si="28"/>
        <v>-451</v>
      </c>
      <c r="Q92" s="54">
        <v>-904</v>
      </c>
      <c r="R92" s="5">
        <v>0.7</v>
      </c>
      <c r="S92" s="10"/>
      <c r="T92" s="10"/>
      <c r="U92" s="10"/>
      <c r="V92" s="10"/>
      <c r="W92" s="16"/>
    </row>
    <row r="93" spans="10:23" x14ac:dyDescent="0.2">
      <c r="J93" s="40">
        <v>30</v>
      </c>
      <c r="K93" s="58">
        <f t="shared" si="27"/>
        <v>-427</v>
      </c>
      <c r="L93" s="54">
        <v>-1279</v>
      </c>
      <c r="M93" s="5">
        <v>0.7</v>
      </c>
      <c r="N93" s="10"/>
      <c r="O93" s="29">
        <v>30</v>
      </c>
      <c r="P93" s="58">
        <f t="shared" si="28"/>
        <v>-453</v>
      </c>
      <c r="Q93" s="54">
        <v>-1357</v>
      </c>
      <c r="R93" s="5">
        <v>0.7</v>
      </c>
      <c r="S93" s="10"/>
      <c r="T93" s="10"/>
      <c r="U93" s="10"/>
      <c r="V93" s="10"/>
      <c r="W93" s="16"/>
    </row>
    <row r="94" spans="10:23" x14ac:dyDescent="0.2">
      <c r="J94" s="40">
        <v>40</v>
      </c>
      <c r="K94" s="58">
        <f t="shared" si="27"/>
        <v>-425</v>
      </c>
      <c r="L94" s="55">
        <v>-1704</v>
      </c>
      <c r="M94" s="22">
        <v>0.7</v>
      </c>
      <c r="N94" s="10"/>
      <c r="O94" s="29">
        <v>40</v>
      </c>
      <c r="P94" s="58">
        <f t="shared" si="28"/>
        <v>-451</v>
      </c>
      <c r="Q94" s="55">
        <v>-1808</v>
      </c>
      <c r="R94" s="22">
        <v>0.7</v>
      </c>
      <c r="S94" s="10"/>
      <c r="T94" s="10"/>
      <c r="U94" s="10"/>
      <c r="V94" s="10"/>
      <c r="W94" s="16"/>
    </row>
    <row r="95" spans="10:23" x14ac:dyDescent="0.2">
      <c r="J95" s="40">
        <v>50</v>
      </c>
      <c r="K95" s="58">
        <f t="shared" si="27"/>
        <v>-425</v>
      </c>
      <c r="L95" s="54">
        <v>-2129</v>
      </c>
      <c r="M95" s="5">
        <v>0.7</v>
      </c>
      <c r="N95" s="10"/>
      <c r="O95" s="29">
        <v>50</v>
      </c>
      <c r="P95" s="58">
        <f t="shared" si="28"/>
        <v>-451</v>
      </c>
      <c r="Q95" s="54">
        <v>-2259</v>
      </c>
      <c r="R95" s="5">
        <v>0.7</v>
      </c>
      <c r="S95" s="10"/>
      <c r="T95" s="10"/>
      <c r="U95" s="10"/>
      <c r="V95" s="10"/>
      <c r="W95" s="16"/>
    </row>
    <row r="96" spans="10:23" x14ac:dyDescent="0.2">
      <c r="J96" s="52" t="s">
        <v>16</v>
      </c>
      <c r="K96" s="53">
        <f>L94/L91</f>
        <v>3.9906323185011709</v>
      </c>
      <c r="L96" s="43"/>
      <c r="M96" s="44"/>
      <c r="N96" s="3"/>
      <c r="O96" s="68" t="s">
        <v>16</v>
      </c>
      <c r="P96" s="53">
        <f>Q94/Q91</f>
        <v>3.9911699779249448</v>
      </c>
      <c r="Q96" s="43"/>
      <c r="R96" s="44"/>
      <c r="S96" s="3"/>
      <c r="T96" s="3"/>
      <c r="U96" s="3"/>
      <c r="V96" s="3"/>
      <c r="W96" s="8"/>
    </row>
    <row r="97" spans="15:23" x14ac:dyDescent="0.2">
      <c r="O97" s="14"/>
      <c r="P97" s="10"/>
      <c r="Q97" s="10"/>
      <c r="R97" s="10"/>
      <c r="S97" s="10"/>
      <c r="T97" s="10"/>
      <c r="U97" s="10"/>
      <c r="V97" s="10"/>
      <c r="W97" s="16"/>
    </row>
    <row r="98" spans="15:23" x14ac:dyDescent="0.2">
      <c r="O98" s="47" t="s">
        <v>23</v>
      </c>
      <c r="P98" s="10"/>
      <c r="Q98" s="10"/>
      <c r="R98" s="10"/>
      <c r="S98" s="10"/>
      <c r="T98" s="10"/>
      <c r="U98" s="10"/>
      <c r="V98" s="10"/>
      <c r="W98" s="16"/>
    </row>
    <row r="99" spans="15:23" x14ac:dyDescent="0.2">
      <c r="O99" s="47" t="s">
        <v>24</v>
      </c>
      <c r="P99" s="10"/>
      <c r="Q99" s="10"/>
      <c r="R99" s="10"/>
      <c r="S99" s="10"/>
      <c r="T99" s="10"/>
      <c r="U99" s="10"/>
      <c r="V99" s="10"/>
      <c r="W99" s="16"/>
    </row>
    <row r="100" spans="15:23" x14ac:dyDescent="0.2">
      <c r="O100" s="47" t="s">
        <v>25</v>
      </c>
      <c r="P100" s="10"/>
      <c r="Q100" s="10"/>
      <c r="R100" s="10"/>
      <c r="S100" s="10"/>
      <c r="T100" s="10"/>
      <c r="U100" s="10"/>
      <c r="V100" s="10"/>
      <c r="W100" s="16"/>
    </row>
    <row r="101" spans="15:23" x14ac:dyDescent="0.2">
      <c r="O101" s="59"/>
      <c r="P101" s="10"/>
      <c r="Q101" s="10"/>
      <c r="R101" s="10"/>
      <c r="S101" s="10"/>
      <c r="T101" s="10"/>
      <c r="U101" s="10"/>
      <c r="V101" s="10"/>
      <c r="W101" s="16"/>
    </row>
    <row r="102" spans="15:23" x14ac:dyDescent="0.2">
      <c r="O102" s="60" t="s">
        <v>19</v>
      </c>
      <c r="P102" s="10"/>
      <c r="Q102" s="10"/>
      <c r="R102" s="10"/>
      <c r="S102" s="10"/>
      <c r="T102" s="10"/>
      <c r="U102" s="10"/>
      <c r="V102" s="10"/>
      <c r="W102" s="16"/>
    </row>
    <row r="103" spans="15:23" x14ac:dyDescent="0.2">
      <c r="O103" s="47"/>
      <c r="P103" s="10"/>
      <c r="Q103" s="10"/>
      <c r="R103" s="10"/>
      <c r="S103" s="10"/>
      <c r="T103" s="10"/>
      <c r="U103" s="10"/>
      <c r="V103" s="10"/>
      <c r="W103" s="16"/>
    </row>
    <row r="104" spans="15:23" x14ac:dyDescent="0.2">
      <c r="O104" s="14"/>
      <c r="P104" s="10"/>
      <c r="Q104" s="10"/>
      <c r="R104" s="10"/>
      <c r="S104" s="10"/>
      <c r="T104" s="10"/>
      <c r="U104" s="10"/>
      <c r="V104" s="10"/>
      <c r="W104" s="16"/>
    </row>
    <row r="105" spans="15:23" x14ac:dyDescent="0.2">
      <c r="O105" s="14"/>
      <c r="P105" s="10"/>
      <c r="Q105" s="10"/>
      <c r="R105" s="10"/>
      <c r="S105" s="10"/>
      <c r="T105" s="10"/>
      <c r="U105" s="10"/>
      <c r="V105" s="10"/>
      <c r="W105" s="16"/>
    </row>
    <row r="106" spans="15:23" x14ac:dyDescent="0.2">
      <c r="O106" s="14"/>
      <c r="P106" s="10"/>
      <c r="Q106" s="10"/>
      <c r="R106" s="10"/>
      <c r="S106" s="10"/>
      <c r="T106" s="10"/>
      <c r="U106" s="10"/>
      <c r="V106" s="10"/>
      <c r="W106" s="16"/>
    </row>
    <row r="107" spans="15:23" x14ac:dyDescent="0.2">
      <c r="O107" s="14"/>
      <c r="P107" s="10"/>
      <c r="Q107" s="10"/>
      <c r="R107" s="10"/>
      <c r="S107" s="10"/>
      <c r="T107" s="10"/>
      <c r="U107" s="10"/>
      <c r="V107" s="10"/>
      <c r="W107" s="16"/>
    </row>
    <row r="108" spans="15:23" x14ac:dyDescent="0.2">
      <c r="O108" s="7"/>
      <c r="P108" s="3"/>
      <c r="Q108" s="3"/>
      <c r="R108" s="3"/>
      <c r="S108" s="3"/>
      <c r="T108" s="3"/>
      <c r="U108" s="3"/>
      <c r="V108" s="3"/>
      <c r="W108" s="8"/>
    </row>
  </sheetData>
  <pageMargins left="0.7" right="0.7" top="0.75" bottom="0.75" header="0.3" footer="0.3"/>
  <pageSetup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transitionEntry="1" codeName="Sheet7"/>
  <dimension ref="B4:C5"/>
  <sheetViews>
    <sheetView showGridLines="0" workbookViewId="0">
      <selection activeCell="K22" sqref="K22"/>
    </sheetView>
  </sheetViews>
  <sheetFormatPr defaultRowHeight="12.75" x14ac:dyDescent="0.2"/>
  <sheetData>
    <row r="4" spans="2:3" x14ac:dyDescent="0.2">
      <c r="B4">
        <v>16</v>
      </c>
      <c r="C4">
        <v>44</v>
      </c>
    </row>
    <row r="5" spans="2:3" x14ac:dyDescent="0.2">
      <c r="C5">
        <f>(B4/C4)^2</f>
        <v>0.13223140495867769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nonlinear_zeta_111</vt:lpstr>
      <vt:lpstr>nonlinear_zeta_66_58_62B</vt:lpstr>
      <vt:lpstr>nonlinear_zeta_66_58_62A</vt:lpstr>
      <vt:lpstr>NEW_rzeta_restackor03</vt:lpstr>
      <vt:lpstr>Sheet3_playaround</vt:lpstr>
      <vt:lpstr>Sheet3</vt:lpstr>
      <vt:lpstr>NEW_rzeta_restackor02</vt:lpstr>
      <vt:lpstr>NEW_rzeta_restackor02a</vt:lpstr>
      <vt:lpstr>rzeta_bkwd_less_rebdrag</vt:lpstr>
      <vt:lpstr>NEW_restackor_rzeta01</vt:lpstr>
      <vt:lpstr>rzeta_bkwd_less_compdrag</vt:lpstr>
      <vt:lpstr>shr_per_spr</vt:lpstr>
      <vt:lpstr>Sheet1</vt:lpstr>
      <vt:lpstr>NEW_restackor_rzeta01!Print_Area</vt:lpstr>
      <vt:lpstr>NEW_rzeta_restackor02!Print_Area</vt:lpstr>
      <vt:lpstr>NEW_rzeta_restackor02a!Print_Area</vt:lpstr>
      <vt:lpstr>NEW_rzeta_restackor03!Print_Area</vt:lpstr>
      <vt:lpstr>rzeta_bkwd_less_compdrag!Print_Area</vt:lpstr>
      <vt:lpstr>rzeta_bkwd_less_rebdrag!Print_Area</vt:lpstr>
      <vt:lpstr>shr_per_spr!Print_Area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Stillwell</dc:creator>
  <cp:lastModifiedBy>Kevin</cp:lastModifiedBy>
  <cp:lastPrinted>2022-08-04T21:04:33Z</cp:lastPrinted>
  <dcterms:created xsi:type="dcterms:W3CDTF">2017-08-18T22:36:59Z</dcterms:created>
  <dcterms:modified xsi:type="dcterms:W3CDTF">2022-08-13T18:33:49Z</dcterms:modified>
</cp:coreProperties>
</file>